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tables/table26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5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9 CERMOFUL - Michelle\"/>
    </mc:Choice>
  </mc:AlternateContent>
  <xr:revisionPtr revIDLastSave="0" documentId="8_{71BEDEEC-B128-44B7-B510-BF0592F0E375}" xr6:coauthVersionLast="47" xr6:coauthVersionMax="47" xr10:uidLastSave="{00000000-0000-0000-0000-000000000000}"/>
  <bookViews>
    <workbookView xWindow="-120" yWindow="-120" windowWidth="24240" windowHeight="13140" tabRatio="887" firstSheet="7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state="hidden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state="hidden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Faturas!$AB$1:$AE$421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42" r:id="rId49"/>
    <pivotCache cacheId="43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95" i="89" l="1"/>
  <c r="AN188" i="89"/>
  <c r="J59" i="58"/>
  <c r="J54" i="58"/>
  <c r="J55" i="58"/>
  <c r="J56" i="58"/>
  <c r="J57" i="58"/>
  <c r="J58" i="58"/>
  <c r="J53" i="58"/>
  <c r="K54" i="58"/>
  <c r="K53" i="58"/>
  <c r="K42" i="58"/>
  <c r="J60" i="58" l="1"/>
  <c r="AU248" i="89"/>
  <c r="AU249" i="89"/>
  <c r="AU278" i="89"/>
  <c r="AU281" i="89"/>
  <c r="AU282" i="89"/>
  <c r="AU283" i="89"/>
  <c r="C50" i="64"/>
  <c r="C51" i="64"/>
  <c r="C80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2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70" i="89" l="1"/>
  <c r="AU262" i="89"/>
  <c r="AU271" i="89"/>
  <c r="AU267" i="89"/>
  <c r="AU259" i="89"/>
  <c r="AU250" i="89"/>
  <c r="AU269" i="89"/>
  <c r="AU265" i="89"/>
  <c r="AU261" i="89"/>
  <c r="AU252" i="89"/>
  <c r="AU272" i="89"/>
  <c r="AU268" i="89"/>
  <c r="AU264" i="89"/>
  <c r="AU260" i="89"/>
  <c r="AU256" i="89"/>
  <c r="AU251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E43" i="50"/>
  <c r="H43" i="50"/>
  <c r="I43" i="50"/>
  <c r="J43" i="50"/>
  <c r="K43" i="50"/>
  <c r="L43" i="50"/>
  <c r="M43" i="50"/>
  <c r="E44" i="50"/>
  <c r="H44" i="50"/>
  <c r="I44" i="50"/>
  <c r="J44" i="50"/>
  <c r="K44" i="50"/>
  <c r="L44" i="50"/>
  <c r="M44" i="50"/>
  <c r="E45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Y225" i="89" l="1"/>
  <c r="AO198" i="89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M6" i="58"/>
  <c r="K43" i="58" l="1"/>
  <c r="K47" i="58"/>
  <c r="L47" i="58" s="1"/>
  <c r="K45" i="58"/>
  <c r="L45" i="58" s="1"/>
  <c r="Q209" i="49"/>
  <c r="AU276" i="89"/>
  <c r="L6" i="58"/>
  <c r="L43" i="58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K59" i="58" s="1"/>
  <c r="F58" i="58"/>
  <c r="E58" i="58"/>
  <c r="F57" i="58"/>
  <c r="E57" i="58"/>
  <c r="K57" i="58" s="1"/>
  <c r="F56" i="58"/>
  <c r="E56" i="58"/>
  <c r="F55" i="58"/>
  <c r="E55" i="58"/>
  <c r="K55" i="58" s="1"/>
  <c r="K56" i="58" l="1"/>
  <c r="L56" i="58" s="1"/>
  <c r="K58" i="58"/>
  <c r="I17" i="142"/>
  <c r="L57" i="58"/>
  <c r="L55" i="58"/>
  <c r="L58" i="58"/>
  <c r="L59" i="58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L30" i="58" l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6" i="78"/>
  <c r="C119" i="78"/>
  <c r="C116" i="78"/>
  <c r="C114" i="78"/>
  <c r="C115" i="78"/>
  <c r="D115" i="78"/>
  <c r="D114" i="78"/>
  <c r="D119" i="78"/>
  <c r="D117" i="78"/>
  <c r="C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06" i="49"/>
  <c r="Q113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18" i="78"/>
  <c r="C16" i="78"/>
  <c r="D20" i="78"/>
  <c r="C11" i="78"/>
  <c r="C12" i="78"/>
  <c r="D14" i="78"/>
  <c r="D10" i="78"/>
  <c r="D9" i="78"/>
  <c r="G8" i="78"/>
  <c r="D15" i="78"/>
  <c r="G9" i="78"/>
  <c r="C84" i="78"/>
  <c r="C92" i="78"/>
  <c r="C90" i="78"/>
  <c r="G14" i="78"/>
  <c r="D12" i="78"/>
  <c r="C94" i="78"/>
  <c r="G13" i="78"/>
  <c r="C15" i="78"/>
  <c r="C79" i="78"/>
  <c r="D16" i="78"/>
  <c r="C83" i="78"/>
  <c r="C88" i="78"/>
  <c r="D21" i="78"/>
  <c r="D17" i="78"/>
  <c r="C95" i="78"/>
  <c r="D11" i="78"/>
  <c r="G10" i="78"/>
  <c r="C17" i="78"/>
  <c r="C18" i="78"/>
  <c r="C82" i="78"/>
  <c r="C87" i="78"/>
  <c r="C14" i="78"/>
  <c r="C93" i="78"/>
  <c r="C89" i="78"/>
  <c r="G12" i="78"/>
  <c r="C20" i="78"/>
  <c r="C19" i="78"/>
  <c r="D19" i="78"/>
  <c r="C81" i="78"/>
  <c r="C13" i="78"/>
  <c r="D13" i="78"/>
  <c r="C80" i="78"/>
  <c r="G11" i="78"/>
  <c r="C91" i="78"/>
  <c r="C97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J98" i="89"/>
  <c r="AT231" i="89"/>
  <c r="AT230" i="89" s="1"/>
  <c r="L86" i="89"/>
  <c r="AU223" i="89" l="1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08" i="85"/>
  <c r="C146" i="85"/>
  <c r="C38" i="85"/>
  <c r="C77" i="85"/>
  <c r="C145" i="85"/>
  <c r="C123" i="85"/>
  <c r="C16" i="85"/>
  <c r="C57" i="85"/>
  <c r="C113" i="85"/>
  <c r="C44" i="85"/>
  <c r="C15" i="85"/>
  <c r="C151" i="85"/>
  <c r="C132" i="85"/>
  <c r="C142" i="85"/>
  <c r="C104" i="85"/>
  <c r="C87" i="85"/>
  <c r="C18" i="85"/>
  <c r="C101" i="85"/>
  <c r="C117" i="85"/>
  <c r="C157" i="85"/>
  <c r="C121" i="85"/>
  <c r="C13" i="85"/>
  <c r="C137" i="85"/>
  <c r="C6" i="85"/>
  <c r="C109" i="85"/>
  <c r="C105" i="85"/>
  <c r="C95" i="85"/>
  <c r="C5" i="85"/>
  <c r="C107" i="85"/>
  <c r="C7" i="85"/>
  <c r="C111" i="85"/>
  <c r="C106" i="85"/>
  <c r="C144" i="85"/>
  <c r="C127" i="85"/>
  <c r="C11" i="85"/>
  <c r="C148" i="85"/>
  <c r="C163" i="85"/>
  <c r="C140" i="85"/>
  <c r="C9" i="85"/>
  <c r="C162" i="85"/>
  <c r="C134" i="85"/>
  <c r="C130" i="85"/>
  <c r="C160" i="85"/>
  <c r="C154" i="85"/>
  <c r="C37" i="85"/>
  <c r="C26" i="85"/>
  <c r="C141" i="85"/>
  <c r="C90" i="85"/>
  <c r="C17" i="85"/>
  <c r="C24" i="85"/>
  <c r="C152" i="85"/>
  <c r="C60" i="85"/>
  <c r="C8" i="85"/>
  <c r="C10" i="85"/>
  <c r="C125" i="85"/>
  <c r="C149" i="85"/>
  <c r="C3" i="85"/>
  <c r="C166" i="85"/>
  <c r="C129" i="85"/>
  <c r="C150" i="85"/>
  <c r="C114" i="85"/>
  <c r="C138" i="85"/>
  <c r="C147" i="85"/>
  <c r="C4" i="85"/>
  <c r="C73" i="85"/>
  <c r="C156" i="85"/>
  <c r="C139" i="85"/>
  <c r="C46" i="85"/>
  <c r="C158" i="85"/>
  <c r="C45" i="85"/>
  <c r="C165" i="85"/>
  <c r="C164" i="85"/>
  <c r="C161" i="85"/>
  <c r="C100" i="85"/>
  <c r="C20" i="85"/>
  <c r="C97" i="85"/>
  <c r="C110" i="85"/>
  <c r="C102" i="85"/>
  <c r="C25" i="85"/>
  <c r="C115" i="85"/>
  <c r="C133" i="85"/>
  <c r="C143" i="85"/>
  <c r="C112" i="85"/>
  <c r="C19" i="85"/>
  <c r="C36" i="85"/>
  <c r="C155" i="85"/>
  <c r="C21" i="85"/>
  <c r="C23" i="85"/>
  <c r="C119" i="85"/>
  <c r="C159" i="85"/>
  <c r="C167" i="85"/>
  <c r="C12" i="85"/>
  <c r="C96" i="85"/>
  <c r="C103" i="85"/>
  <c r="C71" i="85"/>
  <c r="C98" i="85"/>
  <c r="C153" i="85"/>
  <c r="C14" i="85"/>
  <c r="C131" i="85"/>
  <c r="C99" i="85"/>
  <c r="C32" i="85"/>
  <c r="C39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22" i="85"/>
  <c r="C70" i="85"/>
  <c r="C135" i="85"/>
  <c r="C82" i="85"/>
  <c r="C136" i="85"/>
  <c r="C88" i="85"/>
  <c r="F31" i="58" l="1"/>
  <c r="F30" i="58"/>
  <c r="F32" i="58"/>
  <c r="H28" i="58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S74" i="78"/>
  <c r="O74" i="78"/>
  <c r="U74" i="78"/>
  <c r="G74" i="78"/>
  <c r="E74" i="78"/>
  <c r="H74" i="78"/>
  <c r="P74" i="78"/>
  <c r="J74" i="78"/>
  <c r="D74" i="78"/>
  <c r="F74" i="78"/>
  <c r="L74" i="78"/>
  <c r="I74" i="78"/>
  <c r="C30" i="85"/>
  <c r="Q74" i="78"/>
  <c r="R74" i="78"/>
  <c r="T74" i="78"/>
  <c r="M74" i="78"/>
  <c r="C72" i="85"/>
  <c r="K74" i="78"/>
  <c r="N74" i="78"/>
  <c r="K30" i="39" l="1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K73" i="78"/>
  <c r="O73" i="78"/>
  <c r="Q73" i="78"/>
  <c r="E73" i="78"/>
  <c r="R73" i="78"/>
  <c r="I73" i="78"/>
  <c r="S73" i="78"/>
  <c r="P73" i="78"/>
  <c r="U73" i="78"/>
  <c r="L73" i="78"/>
  <c r="G73" i="78"/>
  <c r="F73" i="78"/>
  <c r="D73" i="78"/>
  <c r="N73" i="78"/>
  <c r="M73" i="78"/>
  <c r="J73" i="78"/>
  <c r="H73" i="78"/>
  <c r="T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U72" i="78"/>
  <c r="Q72" i="78"/>
  <c r="I72" i="78"/>
  <c r="P72" i="78"/>
  <c r="L72" i="78"/>
  <c r="N72" i="78"/>
  <c r="R72" i="78"/>
  <c r="F72" i="78"/>
  <c r="S72" i="78"/>
  <c r="H72" i="78"/>
  <c r="G72" i="78"/>
  <c r="D72" i="78"/>
  <c r="O72" i="78"/>
  <c r="J72" i="78"/>
  <c r="K72" i="78"/>
  <c r="E72" i="78"/>
  <c r="M72" i="78"/>
  <c r="T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R71" i="78"/>
  <c r="L71" i="78"/>
  <c r="F71" i="78"/>
  <c r="T71" i="78"/>
  <c r="N71" i="78"/>
  <c r="J71" i="78"/>
  <c r="M71" i="78"/>
  <c r="K71" i="78"/>
  <c r="E71" i="78"/>
  <c r="G71" i="78"/>
  <c r="H71" i="78"/>
  <c r="S71" i="78"/>
  <c r="I71" i="78"/>
  <c r="Q71" i="78"/>
  <c r="C55" i="85"/>
  <c r="U71" i="78"/>
  <c r="P71" i="78"/>
  <c r="D71" i="78"/>
  <c r="O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K70" i="78"/>
  <c r="Q70" i="78"/>
  <c r="H70" i="78"/>
  <c r="S70" i="78"/>
  <c r="L70" i="78"/>
  <c r="J70" i="78"/>
  <c r="T70" i="78"/>
  <c r="I70" i="78"/>
  <c r="U70" i="78"/>
  <c r="N70" i="78"/>
  <c r="R70" i="78"/>
  <c r="P70" i="78"/>
  <c r="F70" i="78"/>
  <c r="E70" i="78"/>
  <c r="M70" i="78"/>
  <c r="O70" i="78"/>
  <c r="D70" i="78"/>
  <c r="G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Q69" i="78"/>
  <c r="L69" i="78"/>
  <c r="K69" i="78"/>
  <c r="P69" i="78"/>
  <c r="U69" i="78"/>
  <c r="H69" i="78"/>
  <c r="T69" i="78"/>
  <c r="I69" i="78"/>
  <c r="N69" i="78"/>
  <c r="R69" i="78"/>
  <c r="G69" i="78"/>
  <c r="O69" i="78"/>
  <c r="D69" i="78"/>
  <c r="E69" i="78"/>
  <c r="S69" i="78"/>
  <c r="J69" i="78"/>
  <c r="M69" i="78"/>
  <c r="F69" i="78"/>
  <c r="E35" i="50" l="1"/>
  <c r="E41" i="50"/>
  <c r="E49" i="50"/>
  <c r="E40" i="50"/>
  <c r="E28" i="50"/>
  <c r="E48" i="50"/>
  <c r="E39" i="50"/>
  <c r="E65" i="50"/>
  <c r="E71" i="50"/>
  <c r="E27" i="50"/>
  <c r="E32" i="50"/>
  <c r="E47" i="50"/>
  <c r="E36" i="50"/>
  <c r="E38" i="50"/>
  <c r="E57" i="50"/>
  <c r="E26" i="50"/>
  <c r="E46" i="50"/>
  <c r="E51" i="50"/>
  <c r="E50" i="50"/>
  <c r="E42" i="50"/>
  <c r="E64" i="50"/>
  <c r="E30" i="50"/>
  <c r="E99" i="50"/>
  <c r="E100" i="50"/>
  <c r="E97" i="50"/>
  <c r="E98" i="50"/>
  <c r="E94" i="50"/>
  <c r="E96" i="50"/>
  <c r="E95" i="50"/>
  <c r="E93" i="50"/>
  <c r="E92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E68" i="78"/>
  <c r="M68" i="78"/>
  <c r="T68" i="78"/>
  <c r="N68" i="78"/>
  <c r="U68" i="78"/>
  <c r="Q68" i="78"/>
  <c r="I68" i="78"/>
  <c r="J68" i="78"/>
  <c r="P68" i="78"/>
  <c r="F68" i="78"/>
  <c r="H68" i="78"/>
  <c r="K68" i="78"/>
  <c r="S68" i="78"/>
  <c r="G68" i="78"/>
  <c r="D68" i="78"/>
  <c r="R68" i="78"/>
  <c r="L68" i="78"/>
  <c r="O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D67" i="78"/>
  <c r="L67" i="78"/>
  <c r="R67" i="78"/>
  <c r="G67" i="78"/>
  <c r="Q67" i="78"/>
  <c r="E67" i="78"/>
  <c r="O67" i="78"/>
  <c r="F67" i="78"/>
  <c r="H67" i="78"/>
  <c r="U67" i="78"/>
  <c r="S67" i="78"/>
  <c r="M67" i="78"/>
  <c r="I67" i="78"/>
  <c r="P67" i="78"/>
  <c r="J67" i="78"/>
  <c r="T67" i="78"/>
  <c r="K67" i="78"/>
  <c r="N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K66" i="78"/>
  <c r="E66" i="78"/>
  <c r="M66" i="78"/>
  <c r="F66" i="78"/>
  <c r="L66" i="78"/>
  <c r="D66" i="78"/>
  <c r="H66" i="78"/>
  <c r="J66" i="78"/>
  <c r="I66" i="78"/>
  <c r="T66" i="78"/>
  <c r="R66" i="78"/>
  <c r="G66" i="78"/>
  <c r="P66" i="78"/>
  <c r="S66" i="78"/>
  <c r="U66" i="78"/>
  <c r="N66" i="78"/>
  <c r="Q66" i="78"/>
  <c r="O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P65" i="78"/>
  <c r="R65" i="78"/>
  <c r="S65" i="78"/>
  <c r="K65" i="78"/>
  <c r="L65" i="78"/>
  <c r="U65" i="78"/>
  <c r="O65" i="78"/>
  <c r="G65" i="78"/>
  <c r="N65" i="78"/>
  <c r="T65" i="78"/>
  <c r="F65" i="78"/>
  <c r="H65" i="78"/>
  <c r="Q65" i="78"/>
  <c r="E65" i="78"/>
  <c r="I65" i="78"/>
  <c r="D65" i="78"/>
  <c r="M65" i="78"/>
  <c r="J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D64" i="78"/>
  <c r="N64" i="78"/>
  <c r="G64" i="78"/>
  <c r="S64" i="78"/>
  <c r="E64" i="78"/>
  <c r="I64" i="78"/>
  <c r="R64" i="78"/>
  <c r="Q64" i="78"/>
  <c r="K64" i="78"/>
  <c r="J64" i="78"/>
  <c r="F64" i="78"/>
  <c r="H64" i="78"/>
  <c r="M64" i="78"/>
  <c r="U64" i="78"/>
  <c r="T64" i="78"/>
  <c r="O64" i="78"/>
  <c r="P64" i="78"/>
  <c r="L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L63" i="78"/>
  <c r="D63" i="78"/>
  <c r="R63" i="78"/>
  <c r="E63" i="78"/>
  <c r="G63" i="78"/>
  <c r="I63" i="78"/>
  <c r="T63" i="78"/>
  <c r="M63" i="78"/>
  <c r="P63" i="78"/>
  <c r="U63" i="78"/>
  <c r="S63" i="78"/>
  <c r="J63" i="78"/>
  <c r="N63" i="78"/>
  <c r="Q63" i="78"/>
  <c r="O63" i="78"/>
  <c r="K63" i="78"/>
  <c r="H63" i="78"/>
  <c r="F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AN179" i="89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7" i="89" s="1"/>
  <c r="C57" i="64" l="1"/>
  <c r="AU255" i="89"/>
  <c r="C55" i="64"/>
  <c r="AU253" i="89"/>
  <c r="Q169" i="49"/>
  <c r="P169" i="49" s="1"/>
  <c r="E31" i="50"/>
  <c r="Q167" i="49"/>
  <c r="P167" i="49" s="1"/>
  <c r="E29" i="50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47" i="49" l="1"/>
  <c r="P147" i="49" s="1"/>
  <c r="AO174" i="89"/>
  <c r="X55" i="25"/>
  <c r="X80" i="25" s="1"/>
  <c r="R55" i="25"/>
  <c r="R80" i="25" s="1"/>
  <c r="M42" i="51" s="1"/>
  <c r="D23" i="50" s="1"/>
  <c r="AN170" i="89" s="1"/>
  <c r="P55" i="25"/>
  <c r="P80" i="25" s="1"/>
  <c r="M41" i="51" s="1"/>
  <c r="D22" i="50" s="1"/>
  <c r="T55" i="25"/>
  <c r="T80" i="25" s="1"/>
  <c r="V55" i="25"/>
  <c r="V80" i="25" s="1"/>
  <c r="N55" i="25"/>
  <c r="N80" i="25" s="1"/>
  <c r="M35" i="51" s="1"/>
  <c r="D19" i="50" s="1"/>
  <c r="F16" i="143" s="1"/>
  <c r="D55" i="25"/>
  <c r="F55" i="25"/>
  <c r="L55" i="25"/>
  <c r="L80" i="25" s="1"/>
  <c r="M37" i="51" s="1"/>
  <c r="D21" i="50" s="1"/>
  <c r="H55" i="25"/>
  <c r="H80" i="25" s="1"/>
  <c r="M31" i="51" s="1"/>
  <c r="D15" i="50" s="1"/>
  <c r="J55" i="25"/>
  <c r="J80" i="25" s="1"/>
  <c r="BE291" i="89"/>
  <c r="BE296" i="89"/>
  <c r="BE293" i="89"/>
  <c r="BE294" i="89"/>
  <c r="BE295" i="89"/>
  <c r="M34" i="51"/>
  <c r="D18" i="50" s="1"/>
  <c r="F39" i="143" s="1"/>
  <c r="M36" i="51"/>
  <c r="D20" i="50" s="1"/>
  <c r="C48" i="64" l="1"/>
  <c r="AU246" i="89"/>
  <c r="AN169" i="89"/>
  <c r="AO170" i="89"/>
  <c r="F27" i="143"/>
  <c r="F11" i="143"/>
  <c r="Q161" i="49"/>
  <c r="P161" i="49" s="1"/>
  <c r="E23" i="50"/>
  <c r="Q160" i="49"/>
  <c r="P160" i="49" s="1"/>
  <c r="E22" i="50"/>
  <c r="Q159" i="49"/>
  <c r="P159" i="49" s="1"/>
  <c r="E21" i="50"/>
  <c r="M43" i="51"/>
  <c r="M32" i="51"/>
  <c r="D16" i="50" s="1"/>
  <c r="F15" i="143" s="1"/>
  <c r="BE292" i="89"/>
  <c r="BE297" i="89" s="1"/>
  <c r="C47" i="64" l="1"/>
  <c r="AU245" i="89"/>
  <c r="AN168" i="89"/>
  <c r="Q158" i="49"/>
  <c r="P158" i="49" s="1"/>
  <c r="E20" i="50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D52" i="50"/>
  <c r="D54" i="50"/>
  <c r="E54" i="50" s="1"/>
  <c r="D56" i="50"/>
  <c r="D55" i="50"/>
  <c r="E55" i="50" s="1"/>
  <c r="D25" i="50"/>
  <c r="F20" i="143" s="1"/>
  <c r="D24" i="50"/>
  <c r="E20" i="143"/>
  <c r="F26" i="64"/>
  <c r="C104" i="39"/>
  <c r="BM301" i="89"/>
  <c r="BN301" i="89" s="1"/>
  <c r="AU234" i="89"/>
  <c r="Q24" i="49"/>
  <c r="P24" i="49" s="1"/>
  <c r="E26" i="64"/>
  <c r="C30" i="95"/>
  <c r="C21" i="95"/>
  <c r="AW234" i="89" l="1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E52" i="50"/>
  <c r="Q162" i="49"/>
  <c r="P162" i="49" s="1"/>
  <c r="E24" i="50"/>
  <c r="Q191" i="49"/>
  <c r="P191" i="49" s="1"/>
  <c r="E53" i="50"/>
  <c r="Q163" i="49"/>
  <c r="P163" i="49" s="1"/>
  <c r="E25" i="50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F23" i="143" l="1"/>
  <c r="Q171" i="49"/>
  <c r="P171" i="49" s="1"/>
  <c r="E33" i="50"/>
  <c r="AO179" i="89" l="1"/>
  <c r="D19" i="137"/>
  <c r="E19" i="137" s="1"/>
  <c r="D34" i="50" s="1"/>
  <c r="AU258" i="89" l="1"/>
  <c r="AN181" i="89"/>
  <c r="AO182" i="89"/>
  <c r="C60" i="64"/>
  <c r="Q172" i="49"/>
  <c r="P172" i="49" s="1"/>
  <c r="F7" i="123"/>
  <c r="E34" i="50"/>
  <c r="Q11" i="58"/>
  <c r="Q13" i="58" s="1"/>
  <c r="N13" i="58"/>
  <c r="Q37" i="49" s="1"/>
  <c r="P37" i="49" s="1"/>
  <c r="C59" i="64" l="1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M30" i="58"/>
  <c r="BJ293" i="89"/>
  <c r="BH297" i="89"/>
  <c r="BJ297" i="89" s="1"/>
  <c r="H4" i="50"/>
  <c r="D60" i="50" s="1"/>
  <c r="H5" i="50"/>
  <c r="D61" i="50" s="1"/>
  <c r="H2" i="50"/>
  <c r="H3" i="50"/>
  <c r="E6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D81" i="50"/>
  <c r="Q219" i="49" s="1"/>
  <c r="P219" i="49" s="1"/>
  <c r="D59" i="50"/>
  <c r="E59" i="50" s="1"/>
  <c r="D58" i="50"/>
  <c r="D67" i="50"/>
  <c r="Q205" i="49" s="1"/>
  <c r="P205" i="49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D83" i="50"/>
  <c r="E83" i="50" s="1"/>
  <c r="D78" i="50"/>
  <c r="Q216" i="49" s="1"/>
  <c r="P216" i="49" s="1"/>
  <c r="D85" i="50"/>
  <c r="E85" i="50" s="1"/>
  <c r="D80" i="50"/>
  <c r="Q218" i="49" s="1"/>
  <c r="P218" i="49" s="1"/>
  <c r="D84" i="50"/>
  <c r="E84" i="50" s="1"/>
  <c r="D79" i="50"/>
  <c r="Q217" i="49" s="1"/>
  <c r="P217" i="49" s="1"/>
  <c r="D82" i="50"/>
  <c r="D77" i="50"/>
  <c r="Q215" i="49" s="1"/>
  <c r="P215" i="49" s="1"/>
  <c r="D11" i="50"/>
  <c r="E11" i="50" s="1"/>
  <c r="D88" i="50"/>
  <c r="Q226" i="49" s="1"/>
  <c r="P226" i="49" s="1"/>
  <c r="D13" i="50"/>
  <c r="Q151" i="49" s="1"/>
  <c r="P151" i="49" s="1"/>
  <c r="D90" i="50"/>
  <c r="E90" i="50" s="1"/>
  <c r="D12" i="50"/>
  <c r="Q150" i="49" s="1"/>
  <c r="P150" i="49" s="1"/>
  <c r="D89" i="50"/>
  <c r="E89" i="50" s="1"/>
  <c r="D10" i="50"/>
  <c r="D87" i="50"/>
  <c r="Q201" i="49"/>
  <c r="P201" i="49" s="1"/>
  <c r="E60" i="50"/>
  <c r="Q198" i="49"/>
  <c r="P198" i="49" s="1"/>
  <c r="E61" i="50"/>
  <c r="Q199" i="49"/>
  <c r="P199" i="49" s="1"/>
  <c r="L9" i="51"/>
  <c r="S29" i="58"/>
  <c r="T29" i="58" s="1"/>
  <c r="N30" i="58"/>
  <c r="AA143" i="89"/>
  <c r="AN199" i="89" l="1"/>
  <c r="AU275" i="89" s="1"/>
  <c r="D7" i="50"/>
  <c r="E87" i="50"/>
  <c r="AN204" i="89"/>
  <c r="AU280" i="89" s="1"/>
  <c r="Q220" i="49"/>
  <c r="P220" i="49" s="1"/>
  <c r="AN203" i="89"/>
  <c r="AU279" i="89" s="1"/>
  <c r="E72" i="50"/>
  <c r="AU277" i="89"/>
  <c r="E66" i="50"/>
  <c r="E58" i="50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E67" i="50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D5" i="50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E88" i="50"/>
  <c r="Q210" i="49"/>
  <c r="P210" i="49" s="1"/>
  <c r="Q228" i="49"/>
  <c r="P228" i="49" s="1"/>
  <c r="Q222" i="49"/>
  <c r="P222" i="49" s="1"/>
  <c r="Q149" i="49"/>
  <c r="P149" i="49" s="1"/>
  <c r="Q227" i="49"/>
  <c r="P227" i="49" s="1"/>
  <c r="E12" i="50"/>
  <c r="E13" i="50"/>
  <c r="Q225" i="49"/>
  <c r="P225" i="49" s="1"/>
  <c r="E10" i="50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N208" i="89" l="1"/>
  <c r="K60" i="58"/>
  <c r="E23" i="58" s="1"/>
  <c r="F23" i="58" s="1"/>
  <c r="Q43" i="49" s="1"/>
  <c r="P43" i="49" s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M60" i="58"/>
  <c r="AU284" i="89" l="1"/>
  <c r="C44" i="64"/>
  <c r="D44" i="64" s="1"/>
  <c r="L12" i="89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AY243" i="89" l="1"/>
  <c r="E62" i="50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E14" i="50"/>
  <c r="Q152" i="49"/>
  <c r="P152" i="49" s="1"/>
  <c r="E56" i="50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X219" i="89" s="1"/>
  <c r="AV219" i="89"/>
  <c r="AU238" i="89"/>
  <c r="U11" i="89"/>
  <c r="K1" i="50" l="1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E18" i="50" l="1"/>
  <c r="Q156" i="49"/>
  <c r="P156" i="49" s="1"/>
  <c r="E15" i="50" l="1"/>
  <c r="Q153" i="49"/>
  <c r="P153" i="49" s="1"/>
  <c r="E16" i="50"/>
  <c r="Q154" i="49"/>
  <c r="P154" i="49" s="1"/>
  <c r="Q155" i="49"/>
  <c r="P155" i="49" s="1"/>
  <c r="E17" i="50"/>
  <c r="E19" i="50" l="1"/>
  <c r="Q157" i="49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82" i="50"/>
  <c r="E7" i="50" s="1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231" i="85"/>
  <c r="C1191" i="85"/>
  <c r="C327" i="85"/>
  <c r="C250" i="85"/>
  <c r="C995" i="85"/>
  <c r="C719" i="85"/>
  <c r="C204" i="85"/>
  <c r="C942" i="85"/>
  <c r="C1420" i="85"/>
  <c r="C525" i="85"/>
  <c r="C528" i="85"/>
  <c r="C1212" i="85"/>
  <c r="C815" i="85"/>
  <c r="C1389" i="85"/>
  <c r="C1242" i="85"/>
  <c r="C1749" i="85"/>
  <c r="C275" i="85"/>
  <c r="C312" i="85"/>
  <c r="C1593" i="85"/>
  <c r="C1583" i="85"/>
  <c r="C705" i="85"/>
  <c r="C1665" i="85"/>
  <c r="C1789" i="85"/>
  <c r="C1761" i="85"/>
  <c r="C1176" i="85"/>
  <c r="C978" i="85"/>
  <c r="C1379" i="85"/>
  <c r="C254" i="85"/>
  <c r="C1870" i="85"/>
  <c r="C1728" i="85"/>
  <c r="C1458" i="85"/>
  <c r="C665" i="85"/>
  <c r="C1157" i="85"/>
  <c r="C724" i="85"/>
  <c r="C1105" i="85"/>
  <c r="C575" i="85"/>
  <c r="C360" i="85"/>
  <c r="C954" i="85"/>
  <c r="C1905" i="85"/>
  <c r="C1443" i="85"/>
  <c r="C801" i="85"/>
  <c r="C1891" i="85"/>
  <c r="C375" i="85"/>
  <c r="C1567" i="85"/>
  <c r="C873" i="85"/>
  <c r="C738" i="85"/>
  <c r="C896" i="85"/>
  <c r="C1939" i="85"/>
  <c r="C1562" i="85"/>
  <c r="C645" i="85"/>
  <c r="C1081" i="85"/>
  <c r="C433" i="85"/>
  <c r="C1014" i="85"/>
  <c r="C502" i="85"/>
  <c r="C461" i="85"/>
  <c r="C1025" i="85"/>
  <c r="C198" i="85"/>
  <c r="C372" i="85"/>
  <c r="C793" i="85"/>
  <c r="C1137" i="85"/>
  <c r="C1925" i="85"/>
  <c r="C1013" i="85"/>
  <c r="C1786" i="85"/>
  <c r="C629" i="85"/>
  <c r="C1815" i="85"/>
  <c r="C340" i="85"/>
  <c r="C1330" i="85"/>
  <c r="C1396" i="85"/>
  <c r="C1258" i="85"/>
  <c r="C853" i="85"/>
  <c r="C1172" i="85"/>
  <c r="C1666" i="85"/>
  <c r="C285" i="85"/>
  <c r="C631" i="85"/>
  <c r="C1523" i="85"/>
  <c r="C1000" i="85"/>
  <c r="C1267" i="85"/>
  <c r="C1638" i="85"/>
  <c r="C1545" i="85"/>
  <c r="C319" i="85"/>
  <c r="C783" i="85"/>
  <c r="C1579" i="85"/>
  <c r="C1474" i="85"/>
  <c r="C711" i="85"/>
  <c r="C1304" i="85"/>
  <c r="C1828" i="85"/>
  <c r="C1347" i="85"/>
  <c r="C399" i="85"/>
  <c r="C1557" i="85"/>
  <c r="C1893" i="85"/>
  <c r="C651" i="85"/>
  <c r="C1480" i="85"/>
  <c r="C1054" i="85"/>
  <c r="C892" i="85"/>
  <c r="C598" i="85"/>
  <c r="C454" i="85"/>
  <c r="C517" i="85"/>
  <c r="C1771" i="85"/>
  <c r="C1788" i="85"/>
  <c r="C1167" i="85"/>
  <c r="C346" i="85"/>
  <c r="C1255" i="85"/>
  <c r="C1620" i="85"/>
  <c r="C825" i="85"/>
  <c r="C1873" i="85"/>
  <c r="C416" i="85"/>
  <c r="C1718" i="85"/>
  <c r="C245" i="85"/>
  <c r="C420" i="85"/>
  <c r="C836" i="85"/>
  <c r="C369" i="85"/>
  <c r="C1165" i="85"/>
  <c r="C368" i="85"/>
  <c r="C1646" i="85"/>
  <c r="C1584" i="85"/>
  <c r="C603" i="85"/>
  <c r="C42" i="85"/>
  <c r="C1997" i="85"/>
  <c r="C1748" i="85"/>
  <c r="C1494" i="85"/>
  <c r="C1295" i="85"/>
  <c r="C884" i="85"/>
  <c r="C1950" i="85"/>
  <c r="C446" i="85"/>
  <c r="C824" i="85"/>
  <c r="C367" i="85"/>
  <c r="C1606" i="85"/>
  <c r="C1511" i="85"/>
  <c r="C194" i="85"/>
  <c r="C320" i="85"/>
  <c r="C669" i="85"/>
  <c r="C594" i="85"/>
  <c r="C270" i="85"/>
  <c r="C1268" i="85"/>
  <c r="C1011" i="85"/>
  <c r="C1356" i="85"/>
  <c r="C278" i="85"/>
  <c r="C1051" i="85"/>
  <c r="C1252" i="85"/>
  <c r="C1670" i="85"/>
  <c r="C833" i="85"/>
  <c r="C1230" i="85"/>
  <c r="C1512" i="85"/>
  <c r="C427" i="85"/>
  <c r="C666" i="85"/>
  <c r="C488" i="85"/>
  <c r="C816" i="85"/>
  <c r="C238" i="85"/>
  <c r="C1927" i="85"/>
  <c r="C1455" i="85"/>
  <c r="C530" i="85"/>
  <c r="C284" i="85"/>
  <c r="C1353" i="85"/>
  <c r="C534" i="85"/>
  <c r="C1885" i="85"/>
  <c r="C800" i="85"/>
  <c r="C467" i="85"/>
  <c r="C982" i="85"/>
  <c r="C752" i="85"/>
  <c r="C1065" i="85"/>
  <c r="C1186" i="85"/>
  <c r="C1617" i="85"/>
  <c r="C1250" i="85"/>
  <c r="C1079" i="85"/>
  <c r="C1355" i="85"/>
  <c r="C1570" i="85"/>
  <c r="C1038" i="85"/>
  <c r="C441" i="85"/>
  <c r="C365" i="85"/>
  <c r="C1445" i="85"/>
  <c r="C1440" i="85"/>
  <c r="C1777" i="85"/>
  <c r="C382" i="85"/>
  <c r="C124" i="85"/>
  <c r="C963" i="85"/>
  <c r="C358" i="85"/>
  <c r="C1264" i="85"/>
  <c r="C1104" i="85"/>
  <c r="C1707" i="85"/>
  <c r="C1115" i="85"/>
  <c r="C1154" i="85"/>
  <c r="C1517" i="85"/>
  <c r="C1022" i="85"/>
  <c r="C1596" i="85"/>
  <c r="C1422" i="85"/>
  <c r="C1878" i="85"/>
  <c r="C1524" i="85"/>
  <c r="C1889" i="85"/>
  <c r="C912" i="85"/>
  <c r="C1563" i="85"/>
  <c r="C1505" i="85"/>
  <c r="C1582" i="85"/>
  <c r="C234" i="85"/>
  <c r="C841" i="85"/>
  <c r="C1834" i="85"/>
  <c r="C1780" i="85"/>
  <c r="C1483" i="85"/>
  <c r="C439" i="85"/>
  <c r="C1602" i="85"/>
  <c r="C1589" i="85"/>
  <c r="C182" i="85"/>
  <c r="C331" i="85"/>
  <c r="C1030" i="85"/>
  <c r="C255" i="85"/>
  <c r="C774" i="85"/>
  <c r="C728" i="85"/>
  <c r="C577" i="85"/>
  <c r="C1305" i="85"/>
  <c r="C1587" i="85"/>
  <c r="C492" i="85"/>
  <c r="C437" i="85"/>
  <c r="C1702" i="85"/>
  <c r="C1335" i="85"/>
  <c r="C1671" i="85"/>
  <c r="C1862" i="85"/>
  <c r="C1153" i="85"/>
  <c r="C200" i="85"/>
  <c r="C396" i="85"/>
  <c r="C1300" i="85"/>
  <c r="C1837" i="85"/>
  <c r="C1121" i="85"/>
  <c r="C118" i="85"/>
  <c r="C644" i="85"/>
  <c r="C1668" i="85"/>
  <c r="C806" i="85"/>
  <c r="C768" i="85"/>
  <c r="C176" i="85"/>
  <c r="C1168" i="85"/>
  <c r="C1416" i="85"/>
  <c r="C943" i="85"/>
  <c r="C1412" i="85"/>
  <c r="C808" i="85"/>
  <c r="C656" i="85"/>
  <c r="C1899" i="85"/>
  <c r="C181" i="85"/>
  <c r="C932" i="85"/>
  <c r="C178" i="85"/>
  <c r="C274" i="85"/>
  <c r="C1746" i="85"/>
  <c r="C659" i="85"/>
  <c r="C546" i="85"/>
  <c r="C1476" i="85"/>
  <c r="C1424" i="85"/>
  <c r="C1495" i="85"/>
  <c r="C888" i="85"/>
  <c r="C249" i="85"/>
  <c r="C1943" i="85"/>
  <c r="C1366" i="85"/>
  <c r="C1938" i="85"/>
  <c r="C1178" i="85"/>
  <c r="C410" i="85"/>
  <c r="C1848" i="85"/>
  <c r="C1932" i="85"/>
  <c r="C1626" i="85"/>
  <c r="C1142" i="85"/>
  <c r="C493" i="85"/>
  <c r="C1169" i="85"/>
  <c r="C823" i="85"/>
  <c r="C1630" i="85"/>
  <c r="C1419" i="85"/>
  <c r="C1737" i="85"/>
  <c r="C1130" i="85"/>
  <c r="C1466" i="85"/>
  <c r="C386" i="85"/>
  <c r="C1591" i="85"/>
  <c r="C830" i="85"/>
  <c r="C314" i="85"/>
  <c r="C690" i="85"/>
  <c r="C282" i="85"/>
  <c r="C1992" i="85"/>
  <c r="C243" i="85"/>
  <c r="C632" i="85"/>
  <c r="C1868" i="85"/>
  <c r="C451" i="85"/>
  <c r="C1539" i="85"/>
  <c r="C1662" i="85"/>
  <c r="C1976" i="85"/>
  <c r="C389" i="85"/>
  <c r="C903" i="85"/>
  <c r="C975" i="85"/>
  <c r="C1801" i="85"/>
  <c r="C1542" i="85"/>
  <c r="C422" i="85"/>
  <c r="C538" i="85"/>
  <c r="C1323" i="85"/>
  <c r="C1158" i="85"/>
  <c r="C847" i="85"/>
  <c r="C1248" i="85"/>
  <c r="C654" i="85"/>
  <c r="C1957" i="85"/>
  <c r="C1774" i="85"/>
  <c r="C1847" i="85"/>
  <c r="C1404" i="85"/>
  <c r="C67" i="85"/>
  <c r="C595" i="85"/>
  <c r="C1684" i="85"/>
  <c r="C1736" i="85"/>
  <c r="C1296" i="85"/>
  <c r="C676" i="85"/>
  <c r="C1999" i="85"/>
  <c r="C1745" i="85"/>
  <c r="C862" i="85"/>
  <c r="C78" i="85"/>
  <c r="C585" i="85"/>
  <c r="C1496" i="85"/>
  <c r="C324" i="85"/>
  <c r="C225" i="85"/>
  <c r="C1064" i="85"/>
  <c r="C1824" i="85"/>
  <c r="C1691" i="85"/>
  <c r="C551" i="85"/>
  <c r="C1965" i="85"/>
  <c r="C1634" i="85"/>
  <c r="C463" i="85"/>
  <c r="C291" i="85"/>
  <c r="C926" i="85"/>
  <c r="C1292" i="85"/>
  <c r="C959" i="85"/>
  <c r="C1913" i="85"/>
  <c r="C1183" i="85"/>
  <c r="C1952" i="85"/>
  <c r="C1550" i="85"/>
  <c r="C1026" i="85"/>
  <c r="C1975" i="85"/>
  <c r="C781" i="85"/>
  <c r="C428" i="85"/>
  <c r="C400" i="85"/>
  <c r="C1008" i="85"/>
  <c r="C662" i="85"/>
  <c r="C126" i="85"/>
  <c r="C462" i="85"/>
  <c r="C321" i="85"/>
  <c r="C1439" i="85"/>
  <c r="C695" i="85"/>
  <c r="C190" i="85"/>
  <c r="C569" i="85"/>
  <c r="C891" i="85"/>
  <c r="C1723" i="85"/>
  <c r="C879" i="85"/>
  <c r="C869" i="85"/>
  <c r="C950" i="85"/>
  <c r="C1357" i="85"/>
  <c r="C850" i="85"/>
  <c r="C1179" i="85"/>
  <c r="C478" i="85"/>
  <c r="C1656" i="85"/>
  <c r="C1518" i="85"/>
  <c r="C370" i="85"/>
  <c r="C1076" i="85"/>
  <c r="C1471" i="85"/>
  <c r="C1859" i="85"/>
  <c r="C511" i="85"/>
  <c r="C1265" i="85"/>
  <c r="C1341" i="85"/>
  <c r="C1619" i="85"/>
  <c r="C1144" i="85"/>
  <c r="C1156" i="85"/>
  <c r="C1530" i="85"/>
  <c r="C1096" i="85"/>
  <c r="C1924" i="85"/>
  <c r="C1123" i="85"/>
  <c r="C920" i="85"/>
  <c r="C1597" i="85"/>
  <c r="C846" i="85"/>
  <c r="C582" i="85"/>
  <c r="C1273" i="85"/>
  <c r="C558" i="85"/>
  <c r="C786" i="85"/>
  <c r="C477" i="85"/>
  <c r="C1384" i="85"/>
  <c r="C1552" i="85"/>
  <c r="C1531" i="85"/>
  <c r="C1807" i="85"/>
  <c r="C27" i="85"/>
  <c r="C1812" i="85"/>
  <c r="C1755" i="85"/>
  <c r="C349" i="85"/>
  <c r="C1782" i="85"/>
  <c r="C968" i="85"/>
  <c r="C1163" i="85"/>
  <c r="C566" i="85"/>
  <c r="C887" i="85"/>
  <c r="C865" i="85"/>
  <c r="C1813" i="85"/>
  <c r="C573" i="85"/>
  <c r="C442" i="85"/>
  <c r="C1444" i="85"/>
  <c r="C763" i="85"/>
  <c r="C1954" i="85"/>
  <c r="C886" i="85"/>
  <c r="C622" i="85"/>
  <c r="C737" i="85"/>
  <c r="C1514" i="85"/>
  <c r="C785" i="85"/>
  <c r="C692" i="85"/>
  <c r="C341" i="85"/>
  <c r="C564" i="85"/>
  <c r="C1664" i="85"/>
  <c r="C940" i="85"/>
  <c r="C1962" i="85"/>
  <c r="C821" i="85"/>
  <c r="C1814" i="85"/>
  <c r="C923" i="85"/>
  <c r="C1244" i="85"/>
  <c r="C649" i="85"/>
  <c r="C419" i="85"/>
  <c r="C1605" i="85"/>
  <c r="C210" i="85"/>
  <c r="C1842" i="85"/>
  <c r="C638" i="85"/>
  <c r="C448" i="85"/>
  <c r="C1321" i="85"/>
  <c r="C414" i="85"/>
  <c r="C969" i="85"/>
  <c r="C1827" i="85"/>
  <c r="C47" i="85"/>
  <c r="C1075" i="85"/>
  <c r="C703" i="85"/>
  <c r="C217" i="85"/>
  <c r="C848" i="85"/>
  <c r="C1190" i="85"/>
  <c r="C1487" i="85"/>
  <c r="C1213" i="85"/>
  <c r="C1500" i="85"/>
  <c r="C1364" i="85"/>
  <c r="C220" i="85"/>
  <c r="C777" i="85"/>
  <c r="C1147" i="85"/>
  <c r="C215" i="85"/>
  <c r="C41" i="85"/>
  <c r="C223" i="85"/>
  <c r="C287" i="85"/>
  <c r="C536" i="85"/>
  <c r="C747" i="85"/>
  <c r="C1625" i="85"/>
  <c r="C1023" i="85"/>
  <c r="C580" i="85"/>
  <c r="C1271" i="85"/>
  <c r="C252" i="85"/>
  <c r="C584" i="85"/>
  <c r="C1631" i="85"/>
  <c r="C1650" i="85"/>
  <c r="C630" i="85"/>
  <c r="C120" i="85"/>
  <c r="C1036" i="85"/>
  <c r="C1555" i="85"/>
  <c r="C1986" i="85"/>
  <c r="C1818" i="85"/>
  <c r="C1251" i="85"/>
  <c r="C1779" i="85"/>
  <c r="C201" i="85"/>
  <c r="C1898" i="85"/>
  <c r="C179" i="85"/>
  <c r="C852" i="85"/>
  <c r="C725" i="85"/>
  <c r="C1285" i="85"/>
  <c r="C1711" i="85"/>
  <c r="C452" i="85"/>
  <c r="C1763" i="85"/>
  <c r="C1985" i="85"/>
  <c r="C1892" i="85"/>
  <c r="C404" i="85"/>
  <c r="C1143" i="85"/>
  <c r="C481" i="85"/>
  <c r="C1734" i="85"/>
  <c r="C262" i="85"/>
  <c r="C1393" i="85"/>
  <c r="C718" i="85"/>
  <c r="C1635" i="85"/>
  <c r="C750" i="85"/>
  <c r="C1732" i="85"/>
  <c r="C894" i="85"/>
  <c r="C650" i="85"/>
  <c r="C1301" i="85"/>
  <c r="C309" i="85"/>
  <c r="C831" i="85"/>
  <c r="C1585" i="85"/>
  <c r="C944" i="85"/>
  <c r="C605" i="85"/>
  <c r="C276" i="85"/>
  <c r="C1983" i="85"/>
  <c r="C753" i="85"/>
  <c r="C229" i="85"/>
  <c r="C438" i="85"/>
  <c r="C614" i="85"/>
  <c r="C1359" i="85"/>
  <c r="C40" i="85"/>
  <c r="C989" i="85"/>
  <c r="C1150" i="85"/>
  <c r="C1132" i="85"/>
  <c r="C1128" i="85"/>
  <c r="C469" i="85"/>
  <c r="C361" i="85"/>
  <c r="C337" i="85"/>
  <c r="C874" i="85"/>
  <c r="C872" i="85"/>
  <c r="C859" i="85"/>
  <c r="C486" i="85"/>
  <c r="C835" i="85"/>
  <c r="C552" i="85"/>
  <c r="C633" i="85"/>
  <c r="C1181" i="85"/>
  <c r="C1247" i="85"/>
  <c r="C1830" i="85"/>
  <c r="C539" i="85"/>
  <c r="C444" i="85"/>
  <c r="C374" i="85"/>
  <c r="C983" i="85"/>
  <c r="C1683" i="85"/>
  <c r="C1274" i="85"/>
  <c r="C1766" i="85"/>
  <c r="C713" i="85"/>
  <c r="C394" i="85"/>
  <c r="C974" i="85"/>
  <c r="C720" i="85"/>
  <c r="C1502" i="85"/>
  <c r="C342" i="85"/>
  <c r="C377" i="85"/>
  <c r="C1408" i="85"/>
  <c r="C1035" i="85"/>
  <c r="C1057" i="85"/>
  <c r="C1858" i="85"/>
  <c r="C1371" i="85"/>
  <c r="C1969" i="85"/>
  <c r="C1607" i="85"/>
  <c r="C1693" i="85"/>
  <c r="C1738" i="85"/>
  <c r="C459" i="85"/>
  <c r="C1094" i="85"/>
  <c r="C1040" i="85"/>
  <c r="C1642" i="85"/>
  <c r="C334" i="85"/>
  <c r="C1373" i="85"/>
  <c r="C537" i="85"/>
  <c r="C175" i="85"/>
  <c r="C1334" i="85"/>
  <c r="C1741" i="85"/>
  <c r="C701" i="85"/>
  <c r="C1410" i="85"/>
  <c r="C1546" i="85"/>
  <c r="C1056" i="85"/>
  <c r="C230" i="85"/>
  <c r="C1399" i="85"/>
  <c r="C362" i="85"/>
  <c r="C1922" i="85"/>
  <c r="C1599" i="85"/>
  <c r="C293" i="85"/>
  <c r="C543" i="85"/>
  <c r="C440" i="85"/>
  <c r="C1590" i="85"/>
  <c r="C759" i="85"/>
  <c r="C1475" i="85"/>
  <c r="C56" i="85"/>
  <c r="C1254" i="85"/>
  <c r="C1783" i="85"/>
  <c r="C1324" i="85"/>
  <c r="C1907" i="85"/>
  <c r="C228" i="85"/>
  <c r="C1931" i="85"/>
  <c r="C1781" i="85"/>
  <c r="C212" i="85"/>
  <c r="C1348" i="85"/>
  <c r="C241" i="85"/>
  <c r="C1881" i="85"/>
  <c r="C1708" i="85"/>
  <c r="C1125" i="85"/>
  <c r="C1119" i="85"/>
  <c r="C760" i="85"/>
  <c r="C1260" i="85"/>
  <c r="C992" i="85"/>
  <c r="C1756" i="85"/>
  <c r="C1580" i="85"/>
  <c r="C1195" i="85"/>
  <c r="C1189" i="85"/>
  <c r="C1537" i="85"/>
  <c r="C1730" i="85"/>
  <c r="C1034" i="85"/>
  <c r="C863" i="85"/>
  <c r="C670" i="85"/>
  <c r="C885" i="85"/>
  <c r="C1149" i="85"/>
  <c r="C1402" i="85"/>
  <c r="C306" i="85"/>
  <c r="C1836" i="85"/>
  <c r="C1220" i="85"/>
  <c r="C1987" i="85"/>
  <c r="C881" i="85"/>
  <c r="C905" i="85"/>
  <c r="C1744" i="85"/>
  <c r="C338" i="85"/>
  <c r="C1087" i="85"/>
  <c r="C1821" i="85"/>
  <c r="C1018" i="85"/>
  <c r="C310" i="85"/>
  <c r="C682" i="85"/>
  <c r="C1851" i="85"/>
  <c r="C1152" i="85"/>
  <c r="C1576" i="85"/>
  <c r="C1655" i="85"/>
  <c r="C856" i="85"/>
  <c r="C1490" i="85"/>
  <c r="C1578" i="85"/>
  <c r="C817" i="85"/>
  <c r="C1004" i="85"/>
  <c r="C1485" i="85"/>
  <c r="C867" i="85"/>
  <c r="C533" i="85"/>
  <c r="C624" i="85"/>
  <c r="C1429" i="85"/>
  <c r="C822" i="85"/>
  <c r="C898" i="85"/>
  <c r="C1442" i="85"/>
  <c r="C639" i="85"/>
  <c r="C1811" i="85"/>
  <c r="C35" i="85"/>
  <c r="C1757" i="85"/>
  <c r="C707" i="85"/>
  <c r="C214" i="85"/>
  <c r="C1833" i="85"/>
  <c r="C1043" i="85"/>
  <c r="C1803" i="85"/>
  <c r="C1725" i="85"/>
  <c r="C355" i="85"/>
  <c r="C313" i="85"/>
  <c r="C1098" i="85"/>
  <c r="C1216" i="85"/>
  <c r="C385" i="85"/>
  <c r="C1284" i="85"/>
  <c r="C168" i="85"/>
  <c r="C636" i="85"/>
  <c r="C1345" i="85"/>
  <c r="C1135" i="85"/>
  <c r="C524" i="85"/>
  <c r="C1971" i="85"/>
  <c r="C620" i="85"/>
  <c r="C599" i="85"/>
  <c r="C586" i="85"/>
  <c r="C1257" i="85"/>
  <c r="C1767" i="85"/>
  <c r="C1237" i="85"/>
  <c r="C364" i="85"/>
  <c r="C698" i="85"/>
  <c r="C1663" i="85"/>
  <c r="C696" i="85"/>
  <c r="C1588" i="85"/>
  <c r="C350" i="85"/>
  <c r="C557" i="85"/>
  <c r="C1991" i="85"/>
  <c r="C1808" i="85"/>
  <c r="C1790" i="85"/>
  <c r="C1446" i="85"/>
  <c r="C1016" i="85"/>
  <c r="C878" i="85"/>
  <c r="C587" i="85"/>
  <c r="C246" i="85"/>
  <c r="C1516" i="85"/>
  <c r="C1717" i="85"/>
  <c r="C1914" i="85"/>
  <c r="C1753" i="85"/>
  <c r="C1253" i="85"/>
  <c r="C1365" i="85"/>
  <c r="C700" i="85"/>
  <c r="C1463" i="85"/>
  <c r="C1288" i="85"/>
  <c r="C818" i="85"/>
  <c r="C344" i="85"/>
  <c r="C561" i="85"/>
  <c r="C1398" i="85"/>
  <c r="C1536" i="85"/>
  <c r="C987" i="85"/>
  <c r="C1764" i="85"/>
  <c r="C1491" i="85"/>
  <c r="C475" i="85"/>
  <c r="C1792" i="85"/>
  <c r="C1961" i="85"/>
  <c r="C218" i="85"/>
  <c r="C518" i="85"/>
  <c r="C1604" i="85"/>
  <c r="C906" i="85"/>
  <c r="C928" i="85"/>
  <c r="C1560" i="85"/>
  <c r="C1278" i="85"/>
  <c r="C642" i="85"/>
  <c r="C1249" i="85"/>
  <c r="C681" i="85"/>
  <c r="C75" i="85"/>
  <c r="C1575" i="85"/>
  <c r="C678" i="85"/>
  <c r="C686" i="85"/>
  <c r="C1005" i="85"/>
  <c r="C741" i="85"/>
  <c r="C1872" i="85"/>
  <c r="C411" i="85"/>
  <c r="C1204" i="85"/>
  <c r="C1918" i="85"/>
  <c r="C1021" i="85"/>
  <c r="C1382" i="85"/>
  <c r="C1390" i="85"/>
  <c r="C857" i="85"/>
  <c r="C934" i="85"/>
  <c r="C1469" i="85"/>
  <c r="C1272" i="85"/>
  <c r="C1993" i="85"/>
  <c r="C1423" i="85"/>
  <c r="C907" i="85"/>
  <c r="C838" i="85"/>
  <c r="C395" i="85"/>
  <c r="C1688" i="85"/>
  <c r="C1214" i="85"/>
  <c r="C1468" i="85"/>
  <c r="C436" i="85"/>
  <c r="C1571" i="85"/>
  <c r="C366" i="85"/>
  <c r="C951" i="85"/>
  <c r="C938" i="85"/>
  <c r="C1533" i="85"/>
  <c r="C1171" i="85"/>
  <c r="C1363" i="85"/>
  <c r="C259" i="85"/>
  <c r="C1538" i="85"/>
  <c r="C485" i="85"/>
  <c r="C464" i="85"/>
  <c r="C219" i="85"/>
  <c r="C883" i="85"/>
  <c r="C193" i="85"/>
  <c r="C1151" i="85"/>
  <c r="C271" i="85"/>
  <c r="C222" i="85"/>
  <c r="C512" i="85"/>
  <c r="C213" i="85"/>
  <c r="C1381" i="85"/>
  <c r="C61" i="85"/>
  <c r="C776" i="85"/>
  <c r="C308" i="85"/>
  <c r="C239" i="85"/>
  <c r="C1032" i="85"/>
  <c r="C317" i="85"/>
  <c r="C736" i="85"/>
  <c r="C819" i="85"/>
  <c r="C1101" i="85"/>
  <c r="C871" i="85"/>
  <c r="C1116" i="85"/>
  <c r="C1928" i="85"/>
  <c r="C1291" i="85"/>
  <c r="C1344" i="85"/>
  <c r="C1856" i="85"/>
  <c r="C1074" i="85"/>
  <c r="C875" i="85"/>
  <c r="C1211" i="85"/>
  <c r="C619" i="85"/>
  <c r="C1709" i="85"/>
  <c r="C1467" i="85"/>
  <c r="C373" i="85"/>
  <c r="C76" i="85"/>
  <c r="C618" i="85"/>
  <c r="C1661" i="85"/>
  <c r="C1322" i="85"/>
  <c r="C1915" i="85"/>
  <c r="C434" i="85"/>
  <c r="C1185" i="85"/>
  <c r="C672" i="85"/>
  <c r="C1338" i="85"/>
  <c r="C1874" i="85"/>
  <c r="C694" i="85"/>
  <c r="C1934" i="85"/>
  <c r="C1215" i="85"/>
  <c r="C1486" i="85"/>
  <c r="C1921" i="85"/>
  <c r="C421" i="85"/>
  <c r="C1224" i="85"/>
  <c r="C295" i="85"/>
  <c r="C1994" i="85"/>
  <c r="C1989" i="85"/>
  <c r="C1007" i="85"/>
  <c r="C384" i="85"/>
  <c r="C300" i="85"/>
  <c r="C405" i="85"/>
  <c r="C1806" i="85"/>
  <c r="C519" i="85"/>
  <c r="C913" i="85"/>
  <c r="C1131" i="85"/>
  <c r="C762" i="85"/>
  <c r="C289" i="85"/>
  <c r="C253" i="85"/>
  <c r="C1825" i="85"/>
  <c r="C1897" i="85"/>
  <c r="C1611" i="85"/>
  <c r="C1493" i="85"/>
  <c r="C576" i="85"/>
  <c r="C1840" i="85"/>
  <c r="C1923" i="85"/>
  <c r="C1622" i="85"/>
  <c r="C1595" i="85"/>
  <c r="C1082" i="85"/>
  <c r="C1647" i="85"/>
  <c r="C1391" i="85"/>
  <c r="C858" i="85"/>
  <c r="C922" i="85"/>
  <c r="C1293" i="85"/>
  <c r="C407" i="85"/>
  <c r="C1370" i="85"/>
  <c r="C232" i="85"/>
  <c r="C1705" i="85"/>
  <c r="C956" i="85"/>
  <c r="C1326" i="85"/>
  <c r="C1374" i="85"/>
  <c r="C272" i="85"/>
  <c r="C991" i="85"/>
  <c r="C1967" i="85"/>
  <c r="C465" i="85"/>
  <c r="C251" i="85"/>
  <c r="C1561" i="85"/>
  <c r="C610" i="85"/>
  <c r="C1769" i="85"/>
  <c r="C1388" i="85"/>
  <c r="C778" i="85"/>
  <c r="C1145" i="85"/>
  <c r="C294" i="85"/>
  <c r="C1460" i="85"/>
  <c r="C401" i="85"/>
  <c r="C1222" i="85"/>
  <c r="C980" i="85"/>
  <c r="C1208" i="85"/>
  <c r="C805" i="85"/>
  <c r="C542" i="85"/>
  <c r="C535" i="85"/>
  <c r="C640" i="85"/>
  <c r="C1658" i="85"/>
  <c r="C1236" i="85"/>
  <c r="C668" i="85"/>
  <c r="C578" i="85"/>
  <c r="C908" i="85"/>
  <c r="C1700" i="85"/>
  <c r="C457" i="85"/>
  <c r="C722" i="85"/>
  <c r="C1102" i="85"/>
  <c r="C1544" i="85"/>
  <c r="C748" i="85"/>
  <c r="C1964" i="85"/>
  <c r="C1430" i="85"/>
  <c r="C1527" i="85"/>
  <c r="C1850" i="85"/>
  <c r="C1903" i="85"/>
  <c r="C648" i="85"/>
  <c r="C1182" i="85"/>
  <c r="C1225" i="85"/>
  <c r="C765" i="85"/>
  <c r="C1332" i="85"/>
  <c r="C1535" i="85"/>
  <c r="C1916" i="85"/>
  <c r="C767" i="85"/>
  <c r="C1694" i="85"/>
  <c r="C59" i="85"/>
  <c r="C1311" i="85"/>
  <c r="C1227" i="85"/>
  <c r="C1066" i="85"/>
  <c r="C1241" i="85"/>
  <c r="C423" i="85"/>
  <c r="C773" i="85"/>
  <c r="C476" i="85"/>
  <c r="C733" i="85"/>
  <c r="C81" i="85"/>
  <c r="C1945" i="85"/>
  <c r="C1731" i="85"/>
  <c r="C1289" i="85"/>
  <c r="C297" i="85"/>
  <c r="C1977" i="85"/>
  <c r="C1726" i="85"/>
  <c r="C1139" i="85"/>
  <c r="C1795" i="85"/>
  <c r="C1601" i="85"/>
  <c r="C1009" i="85"/>
  <c r="C1652" i="85"/>
  <c r="C506" i="85"/>
  <c r="C508" i="85"/>
  <c r="C510" i="85"/>
  <c r="C1482" i="85"/>
  <c r="C1328" i="85"/>
  <c r="C264" i="85"/>
  <c r="C1643" i="85"/>
  <c r="C790" i="85"/>
  <c r="C1477" i="85"/>
  <c r="C501" i="85"/>
  <c r="C1869" i="85"/>
  <c r="C1888" i="85"/>
  <c r="C945" i="85"/>
  <c r="C1349" i="85"/>
  <c r="C914" i="85"/>
  <c r="C1509" i="85"/>
  <c r="C426" i="85"/>
  <c r="C864" i="85"/>
  <c r="C1598" i="85"/>
  <c r="C1033" i="85"/>
  <c r="C1508" i="85"/>
  <c r="C1451" i="85"/>
  <c r="C1520" i="85"/>
  <c r="C608" i="85"/>
  <c r="C1129" i="85"/>
  <c r="C1674" i="85"/>
  <c r="C1299" i="85"/>
  <c r="C531" i="85"/>
  <c r="C721" i="85"/>
  <c r="C79" i="85"/>
  <c r="C1765" i="85"/>
  <c r="C933" i="85"/>
  <c r="C1327" i="85"/>
  <c r="C63" i="85"/>
  <c r="C553" i="85"/>
  <c r="C1528" i="85"/>
  <c r="C782" i="85"/>
  <c r="C335" i="85"/>
  <c r="C523" i="85"/>
  <c r="C378" i="85"/>
  <c r="C1529" i="85"/>
  <c r="C1287" i="85"/>
  <c r="C829" i="85"/>
  <c r="C206" i="85"/>
  <c r="C918" i="85"/>
  <c r="C1031" i="85"/>
  <c r="C1003" i="85"/>
  <c r="C795" i="85"/>
  <c r="C726" i="85"/>
  <c r="C122" i="85"/>
  <c r="C1294" i="85"/>
  <c r="C772" i="85"/>
  <c r="C1845" i="85"/>
  <c r="C1386" i="85"/>
  <c r="C1059" i="85"/>
  <c r="C1071" i="85"/>
  <c r="C1641" i="85"/>
  <c r="C495" i="85"/>
  <c r="C1846" i="85"/>
  <c r="C1770" i="85"/>
  <c r="C1826" i="85"/>
  <c r="C1640" i="85"/>
  <c r="C730" i="85"/>
  <c r="C1687" i="85"/>
  <c r="C544" i="85"/>
  <c r="C292" i="85"/>
  <c r="C1447" i="85"/>
  <c r="C532" i="85"/>
  <c r="C1623" i="85"/>
  <c r="C307" i="85"/>
  <c r="C743" i="85"/>
  <c r="C1425" i="85"/>
  <c r="C1155" i="85"/>
  <c r="C473" i="85"/>
  <c r="C1126" i="85"/>
  <c r="C1540" i="85"/>
  <c r="C1290" i="85"/>
  <c r="C623" i="85"/>
  <c r="C1261" i="85"/>
  <c r="C1549" i="85"/>
  <c r="C1434" i="85"/>
  <c r="C281" i="85"/>
  <c r="C1276" i="85"/>
  <c r="C496" i="85"/>
  <c r="C970" i="85"/>
  <c r="C303" i="85"/>
  <c r="C221" i="85"/>
  <c r="C497" i="85"/>
  <c r="C1942" i="85"/>
  <c r="C1377" i="85"/>
  <c r="C729" i="85"/>
  <c r="C1740" i="85"/>
  <c r="C673" i="85"/>
  <c r="C1461" i="85"/>
  <c r="C1110" i="85"/>
  <c r="C784" i="85"/>
  <c r="C870" i="85"/>
  <c r="C266" i="85"/>
  <c r="C195" i="85"/>
  <c r="C548" i="85"/>
  <c r="C1375" i="85"/>
  <c r="C1140" i="85"/>
  <c r="C431" i="85"/>
  <c r="C1218" i="85"/>
  <c r="C1239" i="85"/>
  <c r="C952" i="85"/>
  <c r="C1877" i="85"/>
  <c r="C691" i="85"/>
  <c r="C339" i="85"/>
  <c r="C616" i="85"/>
  <c r="C966" i="85"/>
  <c r="C1996" i="85"/>
  <c r="C323" i="85"/>
  <c r="C1325" i="85"/>
  <c r="C893" i="85"/>
  <c r="C51" i="85"/>
  <c r="C301" i="85"/>
  <c r="C1690" i="85"/>
  <c r="C504" i="85"/>
  <c r="C803" i="85"/>
  <c r="C522" i="85"/>
  <c r="C1090" i="85"/>
  <c r="C521" i="85"/>
  <c r="C589" i="85"/>
  <c r="C326" i="85"/>
  <c r="C1259" i="85"/>
  <c r="C1086" i="85"/>
  <c r="C1122" i="85"/>
  <c r="C1187" i="85"/>
  <c r="C979" i="85"/>
  <c r="C487" i="85"/>
  <c r="C1351" i="85"/>
  <c r="C177" i="85"/>
  <c r="C1715" i="85"/>
  <c r="C1910" i="85"/>
  <c r="C802" i="85"/>
  <c r="C1713" i="85"/>
  <c r="C267" i="85"/>
  <c r="C958" i="85"/>
  <c r="C1060" i="85"/>
  <c r="C1010" i="85"/>
  <c r="C1521" i="85"/>
  <c r="C1352" i="85"/>
  <c r="C1649" i="85"/>
  <c r="C990" i="85"/>
  <c r="C1501" i="85"/>
  <c r="C1243" i="85"/>
  <c r="C1944" i="85"/>
  <c r="C187" i="85"/>
  <c r="C1072" i="85"/>
  <c r="C180" i="85"/>
  <c r="C1095" i="85"/>
  <c r="C207" i="85"/>
  <c r="C596" i="85"/>
  <c r="C1941" i="85"/>
  <c r="C751" i="85"/>
  <c r="C986" i="85"/>
  <c r="C1340" i="85"/>
  <c r="C263" i="85"/>
  <c r="C1269" i="85"/>
  <c r="C687" i="85"/>
  <c r="C609" i="85"/>
  <c r="C889" i="85"/>
  <c r="C237" i="85"/>
  <c r="C967" i="85"/>
  <c r="C1906" i="85"/>
  <c r="C329" i="85"/>
  <c r="C1841" i="85"/>
  <c r="C286" i="85"/>
  <c r="C322" i="85"/>
  <c r="C1346" i="85"/>
  <c r="C1867" i="85"/>
  <c r="C664" i="85"/>
  <c r="C1968" i="85"/>
  <c r="C1080" i="85"/>
  <c r="C1405" i="85"/>
  <c r="C658" i="85"/>
  <c r="C1669" i="85"/>
  <c r="C1855" i="85"/>
  <c r="C827" i="85"/>
  <c r="C702" i="85"/>
  <c r="C1297" i="85"/>
  <c r="C834" i="85"/>
  <c r="C717" i="85"/>
  <c r="C917" i="85"/>
  <c r="C647" i="85"/>
  <c r="C257" i="85"/>
  <c r="C607" i="85"/>
  <c r="C1063" i="85"/>
  <c r="C1990" i="85"/>
  <c r="C418" i="85"/>
  <c r="C1499" i="85"/>
  <c r="C1337" i="85"/>
  <c r="C494" i="85"/>
  <c r="C328" i="85"/>
  <c r="C265" i="85"/>
  <c r="C568" i="85"/>
  <c r="C757" i="85"/>
  <c r="C845" i="85"/>
  <c r="C248" i="85"/>
  <c r="C28" i="85"/>
  <c r="C981" i="85"/>
  <c r="C1982" i="85"/>
  <c r="C1637" i="85"/>
  <c r="C1417" i="85"/>
  <c r="C1900" i="85"/>
  <c r="C1864" i="85"/>
  <c r="C1742" i="85"/>
  <c r="C1522" i="85"/>
  <c r="C1113" i="85"/>
  <c r="C1146" i="85"/>
  <c r="C1438" i="85"/>
  <c r="C415" i="85"/>
  <c r="C1554" i="85"/>
  <c r="C1787" i="85"/>
  <c r="C996" i="85"/>
  <c r="C1678" i="85"/>
  <c r="C1759" i="85"/>
  <c r="C1645" i="85"/>
  <c r="C1735" i="85"/>
  <c r="C1692" i="85"/>
  <c r="C209" i="85"/>
  <c r="C1045" i="85"/>
  <c r="C1937" i="85"/>
  <c r="C811" i="85"/>
  <c r="C1019" i="85"/>
  <c r="C172" i="85"/>
  <c r="C233" i="85"/>
  <c r="C390" i="85"/>
  <c r="C1673" i="85"/>
  <c r="C611" i="85"/>
  <c r="C1283" i="85"/>
  <c r="C1134" i="85"/>
  <c r="C1959" i="85"/>
  <c r="C555" i="85"/>
  <c r="C1879" i="85"/>
  <c r="C1513" i="85"/>
  <c r="C626" i="85"/>
  <c r="C810" i="85"/>
  <c r="C302" i="85"/>
  <c r="C731" i="85"/>
  <c r="C62" i="85"/>
  <c r="C1052" i="85"/>
  <c r="C1680" i="85"/>
  <c r="C895" i="85"/>
  <c r="C1929" i="85"/>
  <c r="C1919" i="85"/>
  <c r="C1303" i="85"/>
  <c r="C1160" i="85"/>
  <c r="C789" i="85"/>
  <c r="C417" i="85"/>
  <c r="C1497" i="85"/>
  <c r="C1908" i="85"/>
  <c r="C1109" i="85"/>
  <c r="C744" i="85"/>
  <c r="C1654" i="85"/>
  <c r="C1784" i="85"/>
  <c r="C1049" i="85"/>
  <c r="C735" i="85"/>
  <c r="C1233" i="85"/>
  <c r="C957" i="85"/>
  <c r="C387" i="85"/>
  <c r="C1002" i="85"/>
  <c r="C1484" i="85"/>
  <c r="C64" i="85"/>
  <c r="C50" i="85"/>
  <c r="C1383" i="85"/>
  <c r="C621" i="85"/>
  <c r="C1092" i="85"/>
  <c r="C211" i="85"/>
  <c r="C1805" i="85"/>
  <c r="C74" i="85"/>
  <c r="C1712" i="85"/>
  <c r="C1541" i="85"/>
  <c r="C964" i="85"/>
  <c r="C832" i="85"/>
  <c r="C93" i="85"/>
  <c r="C571" i="85"/>
  <c r="C791" i="85"/>
  <c r="C1077" i="85"/>
  <c r="C749" i="85"/>
  <c r="C1776" i="85"/>
  <c r="C1329" i="85"/>
  <c r="C456" i="85"/>
  <c r="C1704" i="85"/>
  <c r="C1201" i="85"/>
  <c r="C1980" i="85"/>
  <c r="C1358" i="85"/>
  <c r="C1085" i="85"/>
  <c r="C935" i="85"/>
  <c r="C734" i="85"/>
  <c r="C1078" i="85"/>
  <c r="C1107" i="85"/>
  <c r="C1449" i="85"/>
  <c r="C1935" i="85"/>
  <c r="C627" i="85"/>
  <c r="C1231" i="85"/>
  <c r="C1883" i="85"/>
  <c r="C1306" i="85"/>
  <c r="C85" i="85"/>
  <c r="C1315" i="85"/>
  <c r="C988" i="85"/>
  <c r="C470" i="85"/>
  <c r="C1050" i="85"/>
  <c r="C205" i="85"/>
  <c r="C1701" i="85"/>
  <c r="C792" i="85"/>
  <c r="C1409" i="85"/>
  <c r="C1608" i="85"/>
  <c r="C65" i="85"/>
  <c r="C1675" i="85"/>
  <c r="C258" i="85"/>
  <c r="C1205" i="85"/>
  <c r="C1199" i="85"/>
  <c r="C1286" i="85"/>
  <c r="C1473" i="85"/>
  <c r="C946" i="85"/>
  <c r="C646" i="85"/>
  <c r="C1472" i="85"/>
  <c r="C363" i="85"/>
  <c r="C1309" i="85"/>
  <c r="C503" i="85"/>
  <c r="C572" i="85"/>
  <c r="C1515" i="85"/>
  <c r="C947" i="85"/>
  <c r="C1547" i="85"/>
  <c r="C663" i="85"/>
  <c r="C197" i="85"/>
  <c r="C1235" i="85"/>
  <c r="C574" i="85"/>
  <c r="C1367" i="85"/>
  <c r="C708" i="85"/>
  <c r="C435" i="85"/>
  <c r="C1100" i="85"/>
  <c r="C450" i="85"/>
  <c r="C1648" i="85"/>
  <c r="C1221" i="85"/>
  <c r="C1729" i="85"/>
  <c r="C588" i="85"/>
  <c r="C1703" i="85"/>
  <c r="C839" i="85"/>
  <c r="C49" i="85"/>
  <c r="C1339" i="85"/>
  <c r="C1896" i="85"/>
  <c r="C1685" i="85"/>
  <c r="C604" i="85"/>
  <c r="C1437" i="85"/>
  <c r="C283" i="85"/>
  <c r="C1773" i="85"/>
  <c r="C277" i="85"/>
  <c r="C1053" i="85"/>
  <c r="C1553" i="85"/>
  <c r="C683" i="85"/>
  <c r="C1817" i="85"/>
  <c r="C1376" i="85"/>
  <c r="C1926" i="85"/>
  <c r="C1450" i="85"/>
  <c r="C1621" i="85"/>
  <c r="C704" i="85"/>
  <c r="C371" i="85"/>
  <c r="C556" i="85"/>
  <c r="C471" i="85"/>
  <c r="C1947" i="85"/>
  <c r="C612" i="85"/>
  <c r="C1698" i="85"/>
  <c r="C1194" i="85"/>
  <c r="C1350" i="85"/>
  <c r="C455" i="85"/>
  <c r="C1829" i="85"/>
  <c r="C1397" i="85"/>
  <c r="C1794" i="85"/>
  <c r="C1117" i="85"/>
  <c r="C1981" i="85"/>
  <c r="C311" i="85"/>
  <c r="C1519" i="85"/>
  <c r="C592" i="85"/>
  <c r="C761" i="85"/>
  <c r="C1298" i="85"/>
  <c r="C1679" i="85"/>
  <c r="C58" i="85"/>
  <c r="C689" i="85"/>
  <c r="C343" i="85"/>
  <c r="C652" i="85"/>
  <c r="C617" i="85"/>
  <c r="C1861" i="85"/>
  <c r="C1318" i="85"/>
  <c r="C1844" i="85"/>
  <c r="C240" i="85"/>
  <c r="C1448" i="85"/>
  <c r="C1234" i="85"/>
  <c r="C1832" i="85"/>
  <c r="C1682" i="85"/>
  <c r="C66" i="85"/>
  <c r="C787" i="85"/>
  <c r="C128" i="85"/>
  <c r="C43" i="85"/>
  <c r="C756" i="85"/>
  <c r="C402" i="85"/>
  <c r="C1884" i="85"/>
  <c r="C1904" i="85"/>
  <c r="C1802" i="85"/>
  <c r="C1202" i="85"/>
  <c r="C1027" i="85"/>
  <c r="C505" i="85"/>
  <c r="C227" i="85"/>
  <c r="C1895" i="85"/>
  <c r="C199" i="85"/>
  <c r="C637" i="85"/>
  <c r="C1378" i="85"/>
  <c r="C1797" i="85"/>
  <c r="C1566" i="85"/>
  <c r="C1414" i="85"/>
  <c r="C1629" i="85"/>
  <c r="C1362" i="85"/>
  <c r="C843" i="85"/>
  <c r="C788" i="85"/>
  <c r="C1058" i="85"/>
  <c r="C1177" i="85"/>
  <c r="C1503" i="85"/>
  <c r="C740" i="85"/>
  <c r="C1426" i="85"/>
  <c r="C479" i="85"/>
  <c r="C1966" i="85"/>
  <c r="C1699" i="85"/>
  <c r="C921" i="85"/>
  <c r="C840" i="85"/>
  <c r="C1534" i="85"/>
  <c r="C545" i="85"/>
  <c r="C1857" i="85"/>
  <c r="C1612" i="85"/>
  <c r="C1308" i="85"/>
  <c r="C685" i="85"/>
  <c r="C280" i="85"/>
  <c r="C1988" i="85"/>
  <c r="C971" i="85"/>
  <c r="C529" i="85"/>
  <c r="C675" i="85"/>
  <c r="C1556" i="85"/>
  <c r="C625" i="85"/>
  <c r="C1452" i="85"/>
  <c r="C1816" i="85"/>
  <c r="C1403" i="85"/>
  <c r="C844" i="85"/>
  <c r="C1055" i="85"/>
  <c r="C798" i="85"/>
  <c r="C901" i="85"/>
  <c r="C1240" i="85"/>
  <c r="C860" i="85"/>
  <c r="C1070" i="85"/>
  <c r="C1750" i="85"/>
  <c r="C1088" i="85"/>
  <c r="C634" i="85"/>
  <c r="C1624" i="85"/>
  <c r="C882" i="85"/>
  <c r="C579" i="85"/>
  <c r="C499" i="85"/>
  <c r="C92" i="85"/>
  <c r="C854" i="85"/>
  <c r="C855" i="85"/>
  <c r="C809" i="85"/>
  <c r="C1651" i="85"/>
  <c r="C732" i="85"/>
  <c r="C1628" i="85"/>
  <c r="C1380" i="85"/>
  <c r="C1336" i="85"/>
  <c r="C336" i="85"/>
  <c r="C794" i="85"/>
  <c r="C472" i="85"/>
  <c r="C955" i="85"/>
  <c r="C1724" i="85"/>
  <c r="C1316" i="85"/>
  <c r="C1504" i="85"/>
  <c r="C591" i="85"/>
  <c r="C1411" i="85"/>
  <c r="C1368" i="85"/>
  <c r="C1559" i="85"/>
  <c r="C1039" i="85"/>
  <c r="C661" i="85"/>
  <c r="C1017" i="85"/>
  <c r="C1613" i="85"/>
  <c r="C1696" i="85"/>
  <c r="C826" i="85"/>
  <c r="C1173" i="85"/>
  <c r="C1012" i="85"/>
  <c r="C408" i="85"/>
  <c r="C500" i="85"/>
  <c r="C949" i="85"/>
  <c r="C1568" i="85"/>
  <c r="C1263" i="85"/>
  <c r="C804" i="85"/>
  <c r="C927" i="85"/>
  <c r="C1310" i="85"/>
  <c r="C526" i="85"/>
  <c r="C1197" i="85"/>
  <c r="C1639" i="85"/>
  <c r="C1206" i="85"/>
  <c r="C877" i="85"/>
  <c r="C1510" i="85"/>
  <c r="C1127" i="85"/>
  <c r="C1636" i="85"/>
  <c r="C1525" i="85"/>
  <c r="C1433" i="85"/>
  <c r="C1751" i="85"/>
  <c r="C498" i="85"/>
  <c r="C216" i="85"/>
  <c r="C590" i="85"/>
  <c r="C1488" i="85"/>
  <c r="C812" i="85"/>
  <c r="C1644" i="85"/>
  <c r="C1331" i="85"/>
  <c r="C600" i="85"/>
  <c r="C425" i="85"/>
  <c r="C279" i="85"/>
  <c r="C1421" i="85"/>
  <c r="C1093" i="85"/>
  <c r="C527" i="85"/>
  <c r="C1660" i="85"/>
  <c r="C937" i="85"/>
  <c r="C684" i="85"/>
  <c r="C1207" i="85"/>
  <c r="C1470" i="85"/>
  <c r="C771" i="85"/>
  <c r="C1849" i="85"/>
  <c r="C1758" i="85"/>
  <c r="C393" i="85"/>
  <c r="C1431" i="85"/>
  <c r="C1697" i="85"/>
  <c r="C1302" i="85"/>
  <c r="C994" i="85"/>
  <c r="C429" i="85"/>
  <c r="C34" i="85"/>
  <c r="C430" i="85"/>
  <c r="C445" i="85"/>
  <c r="C1223" i="85"/>
  <c r="C348" i="85"/>
  <c r="C1793" i="85"/>
  <c r="C1148" i="85"/>
  <c r="C766" i="85"/>
  <c r="C1681" i="85"/>
  <c r="C1118" i="85"/>
  <c r="C1192" i="85"/>
  <c r="C1586" i="85"/>
  <c r="C904" i="85"/>
  <c r="C593" i="85"/>
  <c r="C1342" i="85"/>
  <c r="C474" i="85"/>
  <c r="C1465" i="85"/>
  <c r="C1838" i="85"/>
  <c r="C1006" i="85"/>
  <c r="C1459" i="85"/>
  <c r="C742" i="85"/>
  <c r="C54" i="85"/>
  <c r="C1548" i="85"/>
  <c r="C799" i="85"/>
  <c r="C1739" i="85"/>
  <c r="C554" i="85"/>
  <c r="C356" i="85"/>
  <c r="C1037" i="85"/>
  <c r="C1280" i="85"/>
  <c r="C359" i="85"/>
  <c r="C1453" i="85"/>
  <c r="C1778" i="85"/>
  <c r="C1960" i="85"/>
  <c r="C667" i="85"/>
  <c r="C1166" i="85"/>
  <c r="C1610" i="85"/>
  <c r="C1170" i="85"/>
  <c r="C697" i="85"/>
  <c r="C1435" i="85"/>
  <c r="C244" i="85"/>
  <c r="C1946" i="85"/>
  <c r="C653" i="85"/>
  <c r="C1609" i="85"/>
  <c r="C1804" i="85"/>
  <c r="C861" i="85"/>
  <c r="C1800" i="85"/>
  <c r="C1930" i="85"/>
  <c r="C1457" i="85"/>
  <c r="C1507" i="85"/>
  <c r="C1180" i="85"/>
  <c r="C299" i="85"/>
  <c r="C899" i="85"/>
  <c r="C1062" i="85"/>
  <c r="C480" i="85"/>
  <c r="C1949" i="85"/>
  <c r="C1120" i="85"/>
  <c r="C779" i="85"/>
  <c r="C1822" i="85"/>
  <c r="C33" i="85"/>
  <c r="C540" i="85"/>
  <c r="C260" i="85"/>
  <c r="C1839" i="85"/>
  <c r="C1866" i="85"/>
  <c r="C1428" i="85"/>
  <c r="C203" i="85"/>
  <c r="C1633" i="85"/>
  <c r="C1046" i="85"/>
  <c r="C1912" i="85"/>
  <c r="C1760" i="85"/>
  <c r="C1940" i="85"/>
  <c r="C507" i="85"/>
  <c r="C985" i="85"/>
  <c r="C208" i="85"/>
  <c r="C1743" i="85"/>
  <c r="C1436" i="85"/>
  <c r="C709" i="85"/>
  <c r="C1015" i="85"/>
  <c r="C1394" i="85"/>
  <c r="C174" i="85"/>
  <c r="C1196" i="85"/>
  <c r="C1354" i="85"/>
  <c r="C332" i="85"/>
  <c r="C547" i="85"/>
  <c r="C491" i="85"/>
  <c r="C1114" i="85"/>
  <c r="C1686" i="85"/>
  <c r="C1863" i="85"/>
  <c r="C1001" i="85"/>
  <c r="C1184" i="85"/>
  <c r="C1061" i="85"/>
  <c r="C1385" i="85"/>
  <c r="C1400" i="85"/>
  <c r="C1890" i="85"/>
  <c r="C1860" i="85"/>
  <c r="C1193" i="85"/>
  <c r="C1228" i="85"/>
  <c r="C1103" i="85"/>
  <c r="C1188" i="85"/>
  <c r="C351" i="85"/>
  <c r="C1909" i="85"/>
  <c r="C1097" i="85"/>
  <c r="C851" i="85"/>
  <c r="C764" i="85"/>
  <c r="C900" i="85"/>
  <c r="C1133" i="85"/>
  <c r="C489" i="85"/>
  <c r="C909" i="85"/>
  <c r="C1667" i="85"/>
  <c r="C1395" i="85"/>
  <c r="C1413" i="85"/>
  <c r="C514" i="85"/>
  <c r="C714" i="85"/>
  <c r="C1042" i="85"/>
  <c r="C458" i="85"/>
  <c r="C1526" i="85"/>
  <c r="C1048" i="85"/>
  <c r="C1277" i="85"/>
  <c r="C1917" i="85"/>
  <c r="C973" i="85"/>
  <c r="C916" i="85"/>
  <c r="C1226" i="85"/>
  <c r="C273" i="85"/>
  <c r="C188" i="85"/>
  <c r="C1246" i="85"/>
  <c r="C1232" i="85"/>
  <c r="C1843" i="85"/>
  <c r="C482" i="85"/>
  <c r="C1876" i="85"/>
  <c r="C953" i="85"/>
  <c r="C509" i="85"/>
  <c r="C1695" i="85"/>
  <c r="C1902" i="85"/>
  <c r="C1747" i="85"/>
  <c r="C866" i="85"/>
  <c r="C1719" i="85"/>
  <c r="C1209" i="85"/>
  <c r="C1956" i="85"/>
  <c r="C1401" i="85"/>
  <c r="C69" i="85"/>
  <c r="C601" i="85"/>
  <c r="C1456" i="85"/>
  <c r="C1677" i="85"/>
  <c r="C1084" i="85"/>
  <c r="C388" i="85"/>
  <c r="C1028" i="85"/>
  <c r="C1312" i="85"/>
  <c r="C1911" i="85"/>
  <c r="C1920" i="85"/>
  <c r="C1653" i="85"/>
  <c r="C29" i="85"/>
  <c r="C449" i="85"/>
  <c r="C814" i="85"/>
  <c r="C242" i="85"/>
  <c r="C723" i="85"/>
  <c r="C1124" i="85"/>
  <c r="C755" i="85"/>
  <c r="C1162" i="85"/>
  <c r="C1948" i="85"/>
  <c r="C919" i="85"/>
  <c r="C52" i="85"/>
  <c r="C298" i="85"/>
  <c r="C1489" i="85"/>
  <c r="C1464" i="85"/>
  <c r="C1594" i="85"/>
  <c r="C688" i="85"/>
  <c r="C1161" i="85"/>
  <c r="C1887" i="85"/>
  <c r="C677" i="85"/>
  <c r="C842" i="85"/>
  <c r="C1835" i="85"/>
  <c r="C999" i="85"/>
  <c r="C1083" i="85"/>
  <c r="C880" i="85"/>
  <c r="C1279" i="85"/>
  <c r="C606" i="85"/>
  <c r="C1432" i="85"/>
  <c r="C911" i="85"/>
  <c r="C224" i="85"/>
  <c r="C1238" i="85"/>
  <c r="C1091" i="85"/>
  <c r="C173" i="85"/>
  <c r="C849" i="85"/>
  <c r="C660" i="85"/>
  <c r="C1573" i="85"/>
  <c r="C403" i="85"/>
  <c r="C628" i="85"/>
  <c r="C1875" i="85"/>
  <c r="C657" i="85"/>
  <c r="C325" i="85"/>
  <c r="C541" i="85"/>
  <c r="C581" i="85"/>
  <c r="C80" i="85"/>
  <c r="C1565" i="85"/>
  <c r="C1068" i="85"/>
  <c r="C1752" i="85"/>
  <c r="C1407" i="85"/>
  <c r="C1772" i="85"/>
  <c r="C268" i="85"/>
  <c r="C671" i="85"/>
  <c r="C746" i="85"/>
  <c r="C1689" i="85"/>
  <c r="C780" i="85"/>
  <c r="C550" i="85"/>
  <c r="C226" i="85"/>
  <c r="C1106" i="85"/>
  <c r="C727" i="85"/>
  <c r="C998" i="85"/>
  <c r="C1256" i="85"/>
  <c r="C1657" i="85"/>
  <c r="C758" i="85"/>
  <c r="C247" i="85"/>
  <c r="C1492" i="85"/>
  <c r="C706" i="85"/>
  <c r="C868" i="85"/>
  <c r="C936" i="85"/>
  <c r="C1616" i="85"/>
  <c r="C1099" i="85"/>
  <c r="C1672" i="85"/>
  <c r="C1727" i="85"/>
  <c r="C615" i="85"/>
  <c r="C1955" i="85"/>
  <c r="C1069" i="85"/>
  <c r="C1478" i="85"/>
  <c r="C185" i="85"/>
  <c r="C941" i="85"/>
  <c r="C1392" i="85"/>
  <c r="C716" i="85"/>
  <c r="C412" i="85"/>
  <c r="C409" i="85"/>
  <c r="C1320" i="85"/>
  <c r="C1564" i="85"/>
  <c r="C333" i="85"/>
  <c r="C1175" i="85"/>
  <c r="C961" i="85"/>
  <c r="C796" i="85"/>
  <c r="C1854" i="85"/>
  <c r="C406" i="85"/>
  <c r="C570" i="85"/>
  <c r="C890" i="85"/>
  <c r="C1798" i="85"/>
  <c r="C1820" i="85"/>
  <c r="C296" i="85"/>
  <c r="C1361" i="85"/>
  <c r="C1454" i="85"/>
  <c r="C745" i="85"/>
  <c r="C53" i="85"/>
  <c r="C1958" i="85"/>
  <c r="C1791" i="85"/>
  <c r="C643" i="85"/>
  <c r="C256" i="85"/>
  <c r="C972" i="85"/>
  <c r="C1203" i="85"/>
  <c r="C560" i="85"/>
  <c r="C602" i="85"/>
  <c r="C948" i="85"/>
  <c r="C1415" i="85"/>
  <c r="C1159" i="85"/>
  <c r="C443" i="85"/>
  <c r="C169" i="85"/>
  <c r="C739" i="85"/>
  <c r="C83" i="85"/>
  <c r="C1164" i="85"/>
  <c r="C1974" i="85"/>
  <c r="C1210" i="85"/>
  <c r="C1632" i="85"/>
  <c r="C1219" i="85"/>
  <c r="C413" i="85"/>
  <c r="C1020" i="85"/>
  <c r="C1963" i="85"/>
  <c r="C1721" i="85"/>
  <c r="C1108" i="85"/>
  <c r="C960" i="85"/>
  <c r="C915" i="85"/>
  <c r="C1387" i="85"/>
  <c r="C1710" i="85"/>
  <c r="C931" i="85"/>
  <c r="C1600" i="85"/>
  <c r="C330" i="85"/>
  <c r="C674" i="85"/>
  <c r="C1266" i="85"/>
  <c r="C813" i="85"/>
  <c r="C398" i="85"/>
  <c r="C1979" i="85"/>
  <c r="C1882" i="85"/>
  <c r="C962" i="85"/>
  <c r="C1112" i="85"/>
  <c r="C261" i="85"/>
  <c r="C192" i="85"/>
  <c r="C391" i="85"/>
  <c r="C520" i="85"/>
  <c r="C984" i="85"/>
  <c r="C381" i="85"/>
  <c r="C397" i="85"/>
  <c r="C183" i="85"/>
  <c r="C1481" i="85"/>
  <c r="C290" i="85"/>
  <c r="C837" i="85"/>
  <c r="C189" i="85"/>
  <c r="C1174" i="85"/>
  <c r="C597" i="85"/>
  <c r="C679" i="85"/>
  <c r="C1532" i="85"/>
  <c r="C1871" i="85"/>
  <c r="C1200" i="85"/>
  <c r="C655" i="85"/>
  <c r="C699" i="85"/>
  <c r="C715" i="85"/>
  <c r="C965" i="85"/>
  <c r="C976" i="85"/>
  <c r="C1581" i="85"/>
  <c r="C186" i="85"/>
  <c r="C483" i="85"/>
  <c r="C1894" i="85"/>
  <c r="C1462" i="85"/>
  <c r="C490" i="85"/>
  <c r="C353" i="85"/>
  <c r="C820" i="85"/>
  <c r="C316" i="85"/>
  <c r="C515" i="85"/>
  <c r="C1706" i="85"/>
  <c r="C1558" i="85"/>
  <c r="C392" i="85"/>
  <c r="C712" i="85"/>
  <c r="C345" i="85"/>
  <c r="C1047" i="85"/>
  <c r="C235" i="85"/>
  <c r="C930" i="85"/>
  <c r="C1819" i="85"/>
  <c r="C583" i="85"/>
  <c r="C1089" i="85"/>
  <c r="C680" i="85"/>
  <c r="C1041" i="85"/>
  <c r="C1933" i="85"/>
  <c r="C1720" i="85"/>
  <c r="C513" i="85"/>
  <c r="C1880" i="85"/>
  <c r="C347" i="85"/>
  <c r="C562" i="85"/>
  <c r="C1543" i="85"/>
  <c r="C1614" i="85"/>
  <c r="C305" i="85"/>
  <c r="C460" i="85"/>
  <c r="C516" i="85"/>
  <c r="C1775" i="85"/>
  <c r="C1479" i="85"/>
  <c r="C2000" i="85"/>
  <c r="C1716" i="85"/>
  <c r="C318" i="85"/>
  <c r="C354" i="85"/>
  <c r="C769" i="85"/>
  <c r="C383" i="85"/>
  <c r="C1796" i="85"/>
  <c r="C1577" i="85"/>
  <c r="C1551" i="85"/>
  <c r="C1333" i="85"/>
  <c r="C1574" i="85"/>
  <c r="C1984" i="85"/>
  <c r="C1138" i="85"/>
  <c r="C1865" i="85"/>
  <c r="C1951" i="85"/>
  <c r="C897" i="85"/>
  <c r="C828" i="85"/>
  <c r="C1067" i="85"/>
  <c r="C1659" i="85"/>
  <c r="C1372" i="85"/>
  <c r="C1768" i="85"/>
  <c r="C1936" i="85"/>
  <c r="C288" i="85"/>
  <c r="C1569" i="85"/>
  <c r="C797" i="85"/>
  <c r="C1831" i="85"/>
  <c r="C807" i="85"/>
  <c r="C939" i="85"/>
  <c r="C1270" i="85"/>
  <c r="C1785" i="85"/>
  <c r="C1733" i="85"/>
  <c r="C1245" i="85"/>
  <c r="C1369" i="85"/>
  <c r="C1275" i="85"/>
  <c r="C1136" i="85"/>
  <c r="C1618" i="85"/>
  <c r="C1722" i="85"/>
  <c r="C1998" i="85"/>
  <c r="C1852" i="85"/>
  <c r="C1886" i="85"/>
  <c r="C876" i="85"/>
  <c r="C1317" i="85"/>
  <c r="C304" i="85"/>
  <c r="C1978" i="85"/>
  <c r="C94" i="85"/>
  <c r="C1406" i="85"/>
  <c r="C929" i="85"/>
  <c r="C116" i="85"/>
  <c r="C993" i="85"/>
  <c r="C1343" i="85"/>
  <c r="C352" i="85"/>
  <c r="C1418" i="85"/>
  <c r="C1307" i="85"/>
  <c r="C1441" i="85"/>
  <c r="C1029" i="85"/>
  <c r="C563" i="85"/>
  <c r="C91" i="85"/>
  <c r="C380" i="85"/>
  <c r="C635" i="85"/>
  <c r="C86" i="85"/>
  <c r="C1313" i="85"/>
  <c r="C1809" i="85"/>
  <c r="C1970" i="85"/>
  <c r="C1823" i="85"/>
  <c r="C754" i="85"/>
  <c r="C1615" i="85"/>
  <c r="C1754" i="85"/>
  <c r="C770" i="85"/>
  <c r="C171" i="85"/>
  <c r="C549" i="85"/>
  <c r="C1319" i="85"/>
  <c r="C565" i="85"/>
  <c r="C184" i="85"/>
  <c r="C1572" i="85"/>
  <c r="C910" i="85"/>
  <c r="C1498" i="85"/>
  <c r="C170" i="85"/>
  <c r="C468" i="85"/>
  <c r="C357" i="85"/>
  <c r="C925" i="85"/>
  <c r="C1627" i="85"/>
  <c r="C1676" i="85"/>
  <c r="C236" i="85"/>
  <c r="C1973" i="85"/>
  <c r="C1603" i="85"/>
  <c r="C1799" i="85"/>
  <c r="C1141" i="85"/>
  <c r="C1427" i="85"/>
  <c r="C924" i="85"/>
  <c r="C424" i="85"/>
  <c r="C191" i="85"/>
  <c r="C1111" i="85"/>
  <c r="C379" i="85"/>
  <c r="C775" i="85"/>
  <c r="C1024" i="85"/>
  <c r="C1217" i="85"/>
  <c r="C1953" i="85"/>
  <c r="C432" i="85"/>
  <c r="C453" i="85"/>
  <c r="C1592" i="85"/>
  <c r="C1714" i="85"/>
  <c r="C68" i="85"/>
  <c r="C1262" i="85"/>
  <c r="C202" i="85"/>
  <c r="C315" i="85"/>
  <c r="C1901" i="85"/>
  <c r="C484" i="85"/>
  <c r="C269" i="85"/>
  <c r="C1762" i="85"/>
  <c r="C693" i="85"/>
  <c r="C376" i="85"/>
  <c r="C1198" i="85"/>
  <c r="C1995" i="85"/>
  <c r="C559" i="85"/>
  <c r="C1853" i="85"/>
  <c r="C977" i="85"/>
  <c r="C1972" i="85"/>
  <c r="C1044" i="85"/>
  <c r="C447" i="85"/>
  <c r="C902" i="85"/>
  <c r="C1360" i="85"/>
  <c r="C710" i="85"/>
  <c r="C613" i="85"/>
  <c r="C84" i="85"/>
  <c r="C1281" i="85"/>
  <c r="C1810" i="85"/>
  <c r="C1314" i="85"/>
  <c r="C1229" i="85"/>
  <c r="C641" i="85"/>
  <c r="C1506" i="85"/>
  <c r="C466" i="85"/>
  <c r="C1073" i="85"/>
  <c r="C1282" i="85"/>
  <c r="C196" i="85"/>
  <c r="C567" i="85"/>
  <c r="C997" i="85"/>
  <c r="C48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tc={76693693-77E7-4948-932F-D973290A1052}</author>
  </authors>
  <commentList>
    <comment ref="F28" authorId="0" shapeId="0" xr:uid="{76693693-77E7-4948-932F-D973290A105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Efeito médio calculo versão 15 =10%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<sst xmlns="http://schemas.openxmlformats.org/spreadsheetml/2006/main" count="15347" uniqueCount="2411">
  <si>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</si>
  <si>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</si>
  <si>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</si>
  <si>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</si>
  <si>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</si>
  <si>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</si>
  <si>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</si>
  <si>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</si>
  <si>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</si>
  <si>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</si>
  <si>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</si>
  <si>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</si>
  <si>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</si>
  <si>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</si>
  <si>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</si>
  <si>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</si>
  <si>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</si>
  <si>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</si>
  <si>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</si>
  <si>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</si>
  <si>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</si>
  <si>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</si>
  <si>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</si>
  <si>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</si>
  <si>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</si>
  <si>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</si>
  <si>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</si>
  <si>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</si>
  <si>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</si>
  <si>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</si>
  <si>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</si>
  <si>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</si>
  <si>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</si>
  <si>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</si>
  <si>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</si>
  <si>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</si>
  <si>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</si>
  <si>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</si>
  <si>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</si>
  <si>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</si>
  <si>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</si>
  <si>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</si>
  <si>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</si>
  <si>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</si>
  <si>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</si>
  <si>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</si>
  <si>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</si>
  <si>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</si>
  <si>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</si>
  <si>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</si>
  <si>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</si>
  <si>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</si>
  <si>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</si>
  <si>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</si>
  <si>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</si>
  <si>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</si>
  <si>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</si>
  <si>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</si>
  <si>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</si>
  <si>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</si>
  <si>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</si>
  <si>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</si>
  <si>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</si>
  <si>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</si>
  <si>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</si>
  <si>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</si>
  <si>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</si>
  <si>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</si>
  <si>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</si>
  <si>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</si>
  <si>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</si>
  <si>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</si>
  <si>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</si>
  <si>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</si>
  <si>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</si>
  <si>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</si>
  <si>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</si>
  <si>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</si>
  <si>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</si>
  <si>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</si>
  <si>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</si>
  <si>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</si>
  <si>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</si>
  <si>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</si>
  <si>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</si>
  <si>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</si>
  <si>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</si>
  <si>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</si>
  <si>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</si>
  <si>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</si>
  <si>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</si>
  <si>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</si>
  <si>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</si>
  <si>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</si>
  <si>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</si>
  <si>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</si>
  <si>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</si>
  <si>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</si>
  <si>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</si>
  <si>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</si>
  <si>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</si>
  <si>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</si>
  <si>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</si>
  <si>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</si>
  <si>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</si>
  <si>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</si>
  <si>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</si>
  <si>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</si>
  <si>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</si>
  <si>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</si>
  <si>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</si>
  <si>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</si>
  <si>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</si>
  <si>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</si>
  <si>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</si>
  <si>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</si>
  <si>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</si>
  <si>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</si>
  <si>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</si>
  <si>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</si>
  <si>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</si>
  <si>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</si>
  <si>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</si>
  <si>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</si>
  <si>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</si>
  <si>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</si>
  <si>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</si>
  <si>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</si>
  <si>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</si>
  <si>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</si>
  <si>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</si>
  <si>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</si>
  <si>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</si>
  <si>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</si>
  <si>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</si>
  <si>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</si>
  <si>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</si>
  <si>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</si>
  <si>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</si>
  <si>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</si>
  <si>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</si>
  <si>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</si>
  <si>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</si>
  <si>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</si>
  <si>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</si>
  <si>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</si>
  <si>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</si>
  <si>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</si>
  <si>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</si>
  <si>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</si>
  <si>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</si>
  <si>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</si>
  <si>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</si>
  <si>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</si>
  <si>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</si>
  <si>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</si>
  <si>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</si>
  <si>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</si>
  <si>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</si>
  <si>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</si>
  <si>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</si>
  <si>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</si>
  <si>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</si>
  <si>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</si>
  <si>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</si>
  <si>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</si>
  <si>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</si>
  <si>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</si>
  <si>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</si>
  <si>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</si>
  <si>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</si>
  <si>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</si>
  <si>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</si>
  <si>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</si>
  <si>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</si>
  <si>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</si>
  <si>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</si>
  <si>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</si>
  <si>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</si>
  <si>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</si>
  <si>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</si>
  <si>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</si>
  <si>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</si>
  <si>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</si>
  <si>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</si>
  <si>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</si>
  <si>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</si>
  <si>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</si>
  <si>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</si>
  <si>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</si>
  <si>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</si>
  <si>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</si>
  <si>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</si>
  <si>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</si>
  <si>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</si>
  <si>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</si>
  <si>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</si>
  <si>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</si>
  <si>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</si>
  <si>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</si>
  <si>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</si>
  <si>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</si>
  <si>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</si>
  <si>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</si>
  <si>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</si>
  <si>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</si>
  <si>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</si>
  <si>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</si>
  <si>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</si>
  <si>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</si>
  <si>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</si>
  <si>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</si>
  <si>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</si>
  <si>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</si>
  <si>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</si>
  <si>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</si>
  <si>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</si>
  <si>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</si>
  <si>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</si>
  <si>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</si>
  <si>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</si>
  <si>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</si>
  <si>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</si>
  <si>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</si>
  <si>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</si>
  <si>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</si>
  <si>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</si>
  <si>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</si>
  <si>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</si>
  <si>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</si>
  <si>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</si>
  <si>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</si>
  <si>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</si>
  <si>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</si>
  <si>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</si>
  <si>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</si>
  <si>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</si>
  <si>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</si>
  <si>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</si>
  <si>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</si>
  <si>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</si>
  <si>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</si>
  <si>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</si>
  <si>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</si>
  <si>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</si>
  <si>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</si>
  <si>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</si>
  <si>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</si>
  <si>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</si>
  <si>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</si>
  <si>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</si>
  <si>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</si>
  <si>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</si>
  <si>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</si>
  <si>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</si>
  <si>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</si>
  <si>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</si>
  <si>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</si>
  <si>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</si>
  <si>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</si>
  <si>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</si>
  <si>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</si>
  <si>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</si>
  <si>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</si>
  <si>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</si>
  <si>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</si>
  <si>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</si>
  <si>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</si>
  <si>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</si>
  <si>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</si>
  <si>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</si>
  <si>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</si>
  <si>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</si>
  <si>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</si>
  <si>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</si>
  <si>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</si>
  <si>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</si>
  <si>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</si>
  <si>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</si>
  <si>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</si>
  <si>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</si>
  <si>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</si>
  <si>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</si>
  <si>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</si>
  <si>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</si>
  <si>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</si>
  <si>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</si>
  <si>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</si>
  <si>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</si>
  <si>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</si>
  <si>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</si>
  <si>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</si>
  <si>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</si>
  <si>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</si>
  <si>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</si>
  <si>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</si>
  <si>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</si>
  <si>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</si>
  <si>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</si>
  <si>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</si>
  <si>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</si>
  <si>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</si>
  <si>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</si>
  <si>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</si>
  <si>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</si>
  <si>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</si>
  <si>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</si>
  <si>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</si>
  <si>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</si>
  <si>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</si>
  <si>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</si>
  <si>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</si>
  <si>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</si>
  <si>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</si>
  <si>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</si>
  <si>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</si>
  <si>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</si>
  <si>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</si>
  <si>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</si>
  <si>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</si>
  <si>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</si>
  <si>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</si>
  <si>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</si>
  <si>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</si>
  <si>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</si>
  <si>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</si>
  <si>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</si>
  <si>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</si>
  <si>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</si>
  <si>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</si>
  <si>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</si>
  <si>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</si>
  <si>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</si>
  <si>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</si>
  <si>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</si>
  <si>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</si>
  <si>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</si>
  <si>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</si>
  <si>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</si>
  <si>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</si>
  <si>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</si>
  <si>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</si>
  <si>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</si>
  <si>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</si>
  <si>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</si>
  <si>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</si>
  <si>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</si>
  <si>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</si>
  <si>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</si>
  <si>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</si>
  <si>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</si>
  <si>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</si>
  <si>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</si>
  <si>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</si>
  <si>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</si>
  <si>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</si>
  <si>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</si>
  <si>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</si>
  <si>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</si>
  <si>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</si>
  <si>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</si>
  <si>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</si>
  <si>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</si>
  <si>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</si>
  <si>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</si>
  <si>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</si>
  <si>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</si>
  <si>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</si>
  <si>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</si>
  <si>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</si>
  <si>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</si>
  <si>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</si>
  <si>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</si>
  <si>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</si>
  <si>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</si>
  <si>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</si>
  <si>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</si>
  <si>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</si>
  <si>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</si>
  <si>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</si>
  <si>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</si>
  <si>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</si>
  <si>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</si>
  <si>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</si>
  <si>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</si>
  <si>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</si>
  <si>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</si>
  <si>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</si>
  <si>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</si>
  <si>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</si>
  <si>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</si>
  <si>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</si>
  <si>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</si>
  <si>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</si>
  <si>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</si>
  <si>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</si>
  <si>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</si>
  <si>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</si>
  <si>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</si>
  <si>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</si>
  <si>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</si>
  <si>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</si>
  <si>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</si>
  <si>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</si>
  <si>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</si>
  <si>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</si>
  <si>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</si>
  <si>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</si>
  <si>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</si>
  <si>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</si>
  <si>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</si>
  <si>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</si>
  <si>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</si>
  <si>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</si>
  <si>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</si>
  <si>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</si>
  <si>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</si>
  <si>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</si>
  <si>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</si>
  <si>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</si>
  <si>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</si>
  <si>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</si>
  <si>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</si>
  <si>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</si>
  <si>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</si>
  <si>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</si>
  <si>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</si>
  <si>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</si>
  <si>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</si>
  <si>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</si>
  <si>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</si>
  <si>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</si>
  <si>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</si>
  <si>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</si>
  <si>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</si>
  <si>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</si>
  <si>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</si>
  <si>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</si>
  <si>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</si>
  <si>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</si>
  <si>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</si>
  <si>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</si>
  <si>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</si>
  <si>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</si>
  <si>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</si>
  <si>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</si>
  <si>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</si>
  <si>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</si>
  <si>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</si>
  <si>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</si>
  <si>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</si>
  <si>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</si>
  <si>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</si>
  <si>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</si>
  <si>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</si>
  <si>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</si>
  <si>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</si>
  <si>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</si>
  <si>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</si>
  <si>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</si>
  <si>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</si>
  <si>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</si>
  <si>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</si>
  <si>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</si>
  <si>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</si>
  <si>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</si>
  <si>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</si>
  <si>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</si>
  <si>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</si>
  <si>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</si>
  <si>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</si>
  <si>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</si>
  <si>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</si>
  <si>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</si>
  <si>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</si>
  <si>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</si>
  <si>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</si>
  <si>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</si>
  <si>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</si>
  <si>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</si>
  <si>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</si>
  <si>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</si>
  <si>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</si>
  <si>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</si>
  <si>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</si>
  <si>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</si>
  <si>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</si>
  <si>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</si>
  <si>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</si>
  <si>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</si>
  <si>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</si>
  <si>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</si>
  <si>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</si>
  <si>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</si>
  <si>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</si>
  <si>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</si>
  <si>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</si>
  <si>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</si>
  <si>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</si>
  <si>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</si>
  <si>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</si>
  <si>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</si>
  <si>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</si>
  <si>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</si>
  <si>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</si>
  <si>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</si>
  <si>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</si>
  <si>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</si>
  <si>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</si>
  <si>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</si>
  <si>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</si>
  <si>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</si>
  <si>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</si>
  <si>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</si>
  <si>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</si>
  <si>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</si>
  <si>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</si>
  <si>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</si>
  <si>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</si>
  <si>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</si>
  <si>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</si>
  <si>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</si>
  <si>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</si>
  <si>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</si>
  <si>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</si>
  <si>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</si>
  <si>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</si>
  <si>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</si>
  <si>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</si>
  <si>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</si>
  <si>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</si>
  <si>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</si>
  <si>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</si>
  <si>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</si>
  <si>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</si>
  <si>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</si>
  <si>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</si>
  <si>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</si>
  <si>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</si>
  <si>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</si>
  <si>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</si>
  <si>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</si>
  <si>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</si>
  <si>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</si>
  <si>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</si>
  <si>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</si>
  <si>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</si>
  <si>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</si>
  <si>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</si>
  <si>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</si>
  <si>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</si>
  <si>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</si>
  <si>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</si>
  <si>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</si>
  <si>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</si>
  <si>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</si>
  <si>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</si>
  <si>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</si>
  <si>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</si>
  <si>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</si>
  <si>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</si>
  <si>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</si>
  <si>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</si>
  <si>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</si>
  <si>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</si>
  <si>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</si>
  <si>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</si>
  <si>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</si>
  <si>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</si>
  <si>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</si>
  <si>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</si>
  <si>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</si>
  <si>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</si>
  <si>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</si>
  <si>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</si>
  <si>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</si>
  <si>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</si>
  <si>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</si>
  <si>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</si>
  <si>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</si>
  <si>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</si>
  <si>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</si>
  <si>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</si>
  <si>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</si>
  <si>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</si>
  <si>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</si>
  <si>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</si>
  <si>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</si>
  <si>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</si>
  <si>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</si>
  <si>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</si>
  <si>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</si>
  <si>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</si>
  <si>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</si>
  <si>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</si>
  <si>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</si>
  <si>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</si>
  <si>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</si>
  <si>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</si>
  <si>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</si>
  <si>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</si>
  <si>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</si>
  <si>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</si>
  <si>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</si>
  <si>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</si>
  <si>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</si>
  <si>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</si>
  <si>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</si>
  <si>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</si>
  <si>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</si>
  <si>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</si>
  <si>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</si>
  <si>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</si>
  <si>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</si>
  <si>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</si>
  <si>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</si>
  <si>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</si>
  <si>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</si>
  <si>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</si>
  <si>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</si>
  <si>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</si>
  <si>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</si>
  <si>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</si>
  <si>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</si>
  <si>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</si>
  <si>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</si>
  <si>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</si>
  <si>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</si>
  <si>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</si>
  <si>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</si>
  <si>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</si>
  <si>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</si>
  <si>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</si>
  <si>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</si>
  <si>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</si>
  <si>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</si>
  <si>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</si>
  <si>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</si>
  <si>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</si>
  <si>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</si>
  <si>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</si>
  <si>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</si>
  <si>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</si>
  <si>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</si>
  <si>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</si>
  <si>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</si>
  <si>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</si>
  <si>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</si>
  <si>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</si>
  <si>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</si>
  <si>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</si>
  <si>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</si>
  <si>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</si>
  <si>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</si>
  <si>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</si>
  <si>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</si>
  <si>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</si>
  <si>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</si>
  <si>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</si>
  <si>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</si>
  <si>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</si>
  <si>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</si>
  <si>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</si>
  <si>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</si>
  <si>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</si>
  <si>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</si>
  <si>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</si>
  <si>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</si>
  <si>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</si>
  <si>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</si>
  <si>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</si>
  <si>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</si>
  <si>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</si>
  <si>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</si>
  <si>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</si>
  <si>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</si>
  <si>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</si>
  <si>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</si>
  <si>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</si>
  <si>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</si>
  <si>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</si>
  <si>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</si>
  <si>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</si>
  <si>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</si>
  <si>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</si>
  <si>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</si>
  <si>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</si>
  <si>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</si>
  <si>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</si>
  <si>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</si>
  <si>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</si>
  <si>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</si>
  <si>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</si>
  <si>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</si>
  <si>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</si>
  <si>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</si>
  <si>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</si>
  <si>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</si>
  <si>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</si>
  <si>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</si>
  <si>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</si>
  <si>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</si>
  <si>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</si>
  <si>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</si>
  <si>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</si>
  <si>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</si>
  <si>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</si>
  <si>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</si>
  <si>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</si>
  <si>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</si>
  <si>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</si>
  <si>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</si>
  <si>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</si>
  <si>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</si>
  <si>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</si>
  <si>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</si>
  <si>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</si>
  <si>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</si>
  <si>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</si>
  <si>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</si>
  <si>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</si>
  <si>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</si>
  <si>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</si>
  <si>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</si>
  <si>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</si>
  <si>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</si>
  <si>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</si>
  <si>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</si>
  <si>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</si>
  <si>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</si>
  <si>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</si>
  <si>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</si>
  <si>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</si>
  <si>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</si>
  <si>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</si>
  <si>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</si>
  <si>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</si>
  <si>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</si>
  <si>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</si>
  <si>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</si>
  <si>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</si>
  <si>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</si>
  <si>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</si>
  <si>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</si>
  <si>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</si>
  <si>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</si>
  <si>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</si>
  <si>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</si>
  <si>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</si>
  <si>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</si>
  <si>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</si>
  <si>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</si>
  <si>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</si>
  <si>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</si>
  <si>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</si>
  <si>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</si>
  <si>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</si>
  <si>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</si>
  <si>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</si>
  <si>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</si>
  <si>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</si>
  <si>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</si>
  <si>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</si>
  <si>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</si>
  <si>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</si>
  <si>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</si>
  <si>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</si>
  <si>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</si>
  <si>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</si>
  <si>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</si>
  <si>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</si>
  <si>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</si>
  <si>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</si>
  <si>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</si>
  <si>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</si>
  <si>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</si>
  <si>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</si>
  <si>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</si>
  <si>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</si>
  <si>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</si>
  <si>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</si>
  <si>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</si>
  <si>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</si>
  <si>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</si>
  <si>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</si>
  <si>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</si>
  <si>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</si>
  <si>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</si>
  <si>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</si>
  <si>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</si>
  <si>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</si>
  <si>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</si>
  <si>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</si>
  <si>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</si>
  <si>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</si>
  <si>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</si>
  <si>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</si>
  <si>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</si>
  <si>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</si>
  <si>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</si>
  <si>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</si>
  <si>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</si>
  <si>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</si>
  <si>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</si>
  <si>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</si>
  <si>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</si>
  <si>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</si>
  <si>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</si>
  <si>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</si>
  <si>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</si>
  <si>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</si>
  <si>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</si>
  <si>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</si>
  <si>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</si>
  <si>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</si>
  <si>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</si>
  <si>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</si>
  <si>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</si>
  <si>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</si>
  <si>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</si>
  <si>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</si>
  <si>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</si>
  <si>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</si>
  <si>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</si>
  <si>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</si>
  <si>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</si>
  <si>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</si>
  <si>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</si>
  <si>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</si>
  <si>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</si>
  <si>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</si>
  <si>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</si>
  <si>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</si>
  <si>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</si>
  <si>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</si>
  <si>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</si>
  <si>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</si>
  <si>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</si>
  <si>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</si>
  <si>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</si>
  <si>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</si>
  <si>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</si>
  <si>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</si>
  <si>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</si>
  <si>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</si>
  <si>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</si>
  <si>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</si>
  <si>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</si>
  <si>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</si>
  <si>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</si>
  <si>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</si>
  <si>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</si>
  <si>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</si>
  <si>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</si>
  <si>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</si>
  <si>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</si>
  <si>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</si>
  <si>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</si>
  <si>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</si>
  <si>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</si>
  <si>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</si>
  <si>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</si>
  <si>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</si>
  <si>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</si>
  <si>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</si>
  <si>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</si>
  <si>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</si>
  <si>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</si>
  <si>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</si>
  <si>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</si>
  <si>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</si>
  <si>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</si>
  <si>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</si>
  <si>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</si>
  <si>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</si>
  <si>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</si>
  <si>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</si>
  <si>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</si>
  <si>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</si>
  <si>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</si>
  <si>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</si>
  <si>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</si>
  <si>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</si>
  <si>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</si>
  <si>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</si>
  <si>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</si>
  <si>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</si>
  <si>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</si>
  <si>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</si>
  <si>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</si>
  <si>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</si>
  <si>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</si>
  <si>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</si>
  <si>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</si>
  <si>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</si>
  <si>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</si>
  <si>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</si>
  <si>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</si>
  <si>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</si>
  <si>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</si>
  <si>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</si>
  <si>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</si>
  <si>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</si>
  <si>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</si>
  <si>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</si>
  <si>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</si>
  <si>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</si>
  <si>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</si>
  <si>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</si>
  <si>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</si>
  <si>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</si>
  <si>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</si>
  <si>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</si>
  <si>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</si>
  <si>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</si>
  <si>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</si>
  <si>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</si>
  <si>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</si>
  <si>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</si>
  <si>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</si>
  <si>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</si>
  <si>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</si>
  <si>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</si>
  <si>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</si>
  <si>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</si>
  <si>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</si>
  <si>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</si>
  <si>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</si>
  <si>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</si>
  <si>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</si>
  <si>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</si>
  <si>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</si>
  <si>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</si>
  <si>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</si>
  <si>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</si>
  <si>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</si>
  <si>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</si>
  <si>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</si>
  <si>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</si>
  <si>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</si>
  <si>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</si>
  <si>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</si>
  <si>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</si>
  <si>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</si>
  <si>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</si>
  <si>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</si>
  <si>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</si>
  <si>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</si>
  <si>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</si>
  <si>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</si>
  <si>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</si>
  <si>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</si>
  <si>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</si>
  <si>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</si>
  <si>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</si>
  <si>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</si>
  <si>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</si>
  <si>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</si>
  <si>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</si>
  <si>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</si>
  <si>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</si>
  <si>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</si>
  <si>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</si>
  <si>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</si>
  <si>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</si>
  <si>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</si>
  <si>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</si>
  <si>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</si>
  <si>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</si>
  <si>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</si>
  <si>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</si>
  <si>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</si>
  <si>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</si>
  <si>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</si>
  <si>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</si>
  <si>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</si>
  <si>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</si>
  <si>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</si>
  <si>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</si>
  <si>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</si>
  <si>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</si>
  <si>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</si>
  <si>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</si>
  <si>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</si>
  <si>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</si>
  <si>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</si>
  <si>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</si>
  <si>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</si>
  <si>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</si>
  <si>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</si>
  <si>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</si>
  <si>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</si>
  <si>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</si>
  <si>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</si>
  <si>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</si>
  <si>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</si>
  <si>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</si>
  <si>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</si>
  <si>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</si>
  <si>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</si>
  <si>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</si>
  <si>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</si>
  <si>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</si>
  <si>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</si>
  <si>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</si>
  <si>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</si>
  <si>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</si>
  <si>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</si>
  <si>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</si>
  <si>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</si>
  <si>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</si>
  <si>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</si>
  <si>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</si>
  <si>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</si>
  <si>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</si>
  <si>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</si>
  <si>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</si>
  <si>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</si>
  <si>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</si>
  <si>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</si>
  <si>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</si>
  <si>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</si>
  <si>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</si>
  <si>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</si>
  <si>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</si>
  <si>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</si>
  <si>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</si>
  <si>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</si>
  <si>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</si>
  <si>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</si>
  <si>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</si>
  <si>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</si>
  <si>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</si>
  <si>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</si>
  <si>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</si>
  <si>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</si>
  <si>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</si>
  <si>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</si>
  <si>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</si>
  <si>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</si>
  <si>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</si>
  <si>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</si>
  <si>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</si>
  <si>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</si>
  <si>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</si>
  <si>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</si>
  <si>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</si>
  <si>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</si>
  <si>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</si>
  <si>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</si>
  <si>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</si>
  <si>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</si>
  <si>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</si>
  <si>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</si>
  <si>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</si>
  <si>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</si>
  <si>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</si>
  <si>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</si>
  <si>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</si>
  <si>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</si>
  <si>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</si>
  <si>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</si>
  <si>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</si>
  <si>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</si>
  <si>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</si>
  <si>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</si>
  <si>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</si>
  <si>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</si>
  <si>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</si>
  <si>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</si>
  <si>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</si>
  <si>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</si>
  <si>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</si>
  <si>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</si>
  <si>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</si>
  <si>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</si>
  <si>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</si>
  <si>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</si>
  <si>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</si>
  <si>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</si>
  <si>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</si>
  <si>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</si>
  <si>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</si>
  <si>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</si>
  <si>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</si>
  <si>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</si>
  <si>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</si>
  <si>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</si>
  <si>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</si>
  <si>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</si>
  <si>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</si>
  <si>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</si>
  <si>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</si>
  <si>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</si>
  <si>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</si>
  <si>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</si>
  <si>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</si>
  <si>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</si>
  <si>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</si>
  <si>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</si>
  <si>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</si>
  <si>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</si>
  <si>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</si>
  <si>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</si>
  <si>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</si>
  <si>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</si>
  <si>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</si>
  <si>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</si>
  <si>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</si>
  <si>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</si>
  <si>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</si>
  <si>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</si>
  <si>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</si>
  <si>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</si>
  <si>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</si>
  <si>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</si>
  <si>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</si>
  <si>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</si>
  <si>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</si>
  <si>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</si>
  <si>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</si>
  <si>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</si>
  <si>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</si>
  <si>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</si>
  <si>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</si>
  <si>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</si>
  <si>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</si>
  <si>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</si>
  <si>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</si>
  <si>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</si>
  <si>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</si>
  <si>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</si>
  <si>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</si>
  <si>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</si>
  <si>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</si>
  <si>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</si>
  <si>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</si>
  <si>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</si>
  <si>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</si>
  <si>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</si>
  <si>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</si>
  <si>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</si>
  <si>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</si>
  <si>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</si>
  <si>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</si>
  <si>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</si>
  <si>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</si>
  <si>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</si>
  <si>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</si>
  <si>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</si>
  <si>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</si>
  <si>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</si>
  <si>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</si>
  <si>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</si>
  <si>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</si>
  <si>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</si>
  <si>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</si>
  <si>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</si>
  <si>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</si>
  <si>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</si>
  <si>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</si>
  <si>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</si>
  <si>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</si>
  <si>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</si>
  <si>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</si>
  <si>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</si>
  <si>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</si>
  <si>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</si>
  <si>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</si>
  <si>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</si>
  <si>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</si>
  <si>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</si>
  <si>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</si>
  <si>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</si>
  <si>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</si>
  <si>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</si>
  <si>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</si>
  <si>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</si>
  <si>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</si>
  <si>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</si>
  <si>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</si>
  <si>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</si>
  <si>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</si>
  <si>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</si>
  <si>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</si>
  <si>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</si>
  <si>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</si>
  <si>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</si>
  <si>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</si>
  <si>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</si>
  <si>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</si>
  <si>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</si>
  <si>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</si>
  <si>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</si>
  <si>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</si>
  <si>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</si>
  <si>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</si>
  <si>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</si>
  <si>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</si>
  <si>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</si>
  <si>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</si>
  <si>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</si>
  <si>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</si>
  <si>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</si>
  <si>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</si>
  <si>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</si>
  <si>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</si>
  <si>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</si>
  <si>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</si>
  <si>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</si>
  <si>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</si>
  <si>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</si>
  <si>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</si>
  <si>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</si>
  <si>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</si>
  <si>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</si>
  <si>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</si>
  <si>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</si>
  <si>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</si>
  <si>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</si>
  <si>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</si>
  <si>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</si>
  <si>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</si>
  <si>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</si>
  <si>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</si>
  <si>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</si>
  <si>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</si>
  <si>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</si>
  <si>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</si>
  <si>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</si>
  <si>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</si>
  <si>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</si>
  <si>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</si>
  <si>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</si>
  <si>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</si>
  <si>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</si>
  <si>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</si>
  <si>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</si>
  <si>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</si>
  <si>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</si>
  <si>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</si>
  <si>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</si>
  <si>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</si>
  <si>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</si>
  <si>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</si>
  <si>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</si>
  <si>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</si>
  <si>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</si>
  <si>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</si>
  <si>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</si>
  <si>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</si>
  <si>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</si>
  <si>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</si>
  <si>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</si>
  <si>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</si>
  <si>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</si>
  <si>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</si>
  <si>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</si>
  <si>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</si>
  <si>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</si>
  <si>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</si>
  <si>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</si>
  <si>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</si>
  <si>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</si>
  <si>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</si>
  <si>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</si>
  <si>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</si>
  <si>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</si>
  <si>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</si>
  <si>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</si>
  <si>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</si>
  <si>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</si>
  <si>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</si>
  <si>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</si>
  <si>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</si>
  <si>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</si>
  <si>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</si>
  <si>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</si>
  <si>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</si>
  <si>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</si>
  <si>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</si>
  <si>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</si>
  <si>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</si>
  <si>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</si>
  <si>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</si>
  <si>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</si>
  <si>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</si>
  <si>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</si>
  <si>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</si>
  <si>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</si>
  <si>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</si>
  <si>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</si>
  <si>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</si>
  <si>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</si>
  <si>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</si>
  <si>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</si>
  <si>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</si>
  <si>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</si>
  <si>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</si>
  <si>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</si>
  <si>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</si>
  <si>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</si>
  <si>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</si>
  <si>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</si>
  <si>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</si>
  <si>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</si>
  <si>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</si>
  <si>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</si>
  <si>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</si>
  <si>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</si>
  <si>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</si>
  <si>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</si>
  <si>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</si>
  <si>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</si>
  <si>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</si>
  <si>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</si>
  <si>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</si>
  <si>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</si>
  <si>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</si>
  <si>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</si>
  <si>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</si>
  <si>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</si>
  <si>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</si>
  <si>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</si>
  <si>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</si>
  <si>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</si>
  <si>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</si>
  <si>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</si>
  <si>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</si>
  <si>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</si>
  <si>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</si>
  <si>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</si>
  <si>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</si>
  <si>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</si>
  <si>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</si>
  <si>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</si>
  <si>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</si>
  <si>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</si>
  <si>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</si>
  <si>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</si>
  <si>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</si>
  <si>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</si>
  <si>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</si>
  <si>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</si>
  <si>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</si>
  <si>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</si>
  <si>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</si>
  <si>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</si>
  <si>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</si>
  <si>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</si>
  <si>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</si>
  <si>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</si>
  <si>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</si>
  <si>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</si>
  <si>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</si>
  <si>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</si>
  <si>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</si>
  <si>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</si>
  <si>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</si>
  <si>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</si>
  <si>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</si>
  <si>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</si>
  <si>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</si>
  <si>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</si>
  <si>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</si>
  <si>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</si>
  <si>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</si>
  <si>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</si>
  <si>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</si>
  <si>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</si>
  <si>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</si>
  <si>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</si>
  <si>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</si>
  <si>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</si>
  <si>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</si>
  <si>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</si>
  <si>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</si>
  <si>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</si>
  <si>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</si>
  <si>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</si>
  <si>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</si>
  <si>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</si>
  <si>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</si>
  <si>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</si>
  <si>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</si>
  <si>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</si>
  <si>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</si>
  <si>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</si>
  <si>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</si>
  <si>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</si>
  <si>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</si>
  <si>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</si>
  <si>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</si>
  <si>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</si>
  <si>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</si>
  <si>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</si>
  <si>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</si>
  <si>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</si>
  <si>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</si>
  <si>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</si>
  <si>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</si>
  <si>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</si>
  <si>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</si>
  <si>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</si>
  <si>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</si>
  <si>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</si>
  <si>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</si>
  <si>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</si>
  <si>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</si>
  <si>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</si>
  <si>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</si>
  <si>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</si>
  <si>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</si>
  <si>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</si>
  <si>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</si>
  <si>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</si>
  <si>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</si>
  <si>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</si>
  <si>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</si>
  <si>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</si>
  <si>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</si>
  <si>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</si>
  <si>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</si>
  <si>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</si>
  <si>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</si>
  <si>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</si>
  <si>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</si>
  <si>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</si>
  <si>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</si>
  <si>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</si>
  <si>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</si>
  <si>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</si>
  <si>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</si>
  <si>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</si>
  <si>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</si>
  <si>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</si>
  <si>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</si>
  <si>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</si>
  <si>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</si>
  <si>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</si>
  <si>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</si>
  <si>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</si>
  <si>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</si>
  <si>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</si>
  <si>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</si>
  <si>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</si>
  <si>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</si>
  <si>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</si>
  <si>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</si>
  <si>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</si>
  <si>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</si>
  <si>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</si>
  <si>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</si>
  <si>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</si>
  <si>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</si>
  <si>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</si>
  <si>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</si>
  <si>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</si>
  <si>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</si>
  <si>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</si>
  <si>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</si>
  <si>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</si>
  <si>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</si>
  <si>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</si>
  <si>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</si>
  <si>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</si>
  <si>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</si>
  <si>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</si>
  <si>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</si>
  <si>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</si>
  <si>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</si>
  <si>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</si>
  <si>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</si>
  <si>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</si>
  <si>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</si>
  <si>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</si>
  <si>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</si>
  <si>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</si>
  <si>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</si>
  <si>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</si>
  <si>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</si>
  <si>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</si>
  <si>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</si>
  <si>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</si>
  <si>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</si>
  <si>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</si>
  <si>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</si>
  <si>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</si>
  <si>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</si>
  <si>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</si>
  <si>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</si>
  <si>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</si>
  <si>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</si>
  <si>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</si>
  <si>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</si>
  <si>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</si>
  <si>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</si>
  <si>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</si>
  <si>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</si>
  <si>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</si>
  <si>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</si>
  <si>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</si>
  <si>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</si>
  <si>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</si>
  <si>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</si>
  <si>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</si>
  <si>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</si>
  <si>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</si>
  <si>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</si>
  <si>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</si>
  <si>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</si>
  <si>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</si>
  <si>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</si>
  <si>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</si>
  <si>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</si>
  <si>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</si>
  <si>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</si>
  <si>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</si>
  <si>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</si>
  <si>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</si>
  <si>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</si>
  <si>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</si>
  <si>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</si>
  <si>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</si>
  <si>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</si>
  <si>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</si>
  <si>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</si>
  <si>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</si>
  <si>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</si>
  <si>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</si>
  <si>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</si>
  <si>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</si>
  <si>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</si>
  <si>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</si>
  <si>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</si>
  <si>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</si>
  <si>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</si>
  <si>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</si>
  <si>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</si>
  <si>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</si>
  <si>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</si>
  <si>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</si>
  <si>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</si>
  <si>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</si>
  <si>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</si>
  <si>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</si>
  <si>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</si>
  <si>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</si>
  <si>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</si>
  <si>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</si>
  <si>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</si>
  <si>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</si>
  <si>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</si>
  <si>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</si>
  <si>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</si>
  <si>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</si>
  <si>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</si>
  <si>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</si>
  <si>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</si>
  <si>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</si>
  <si>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</si>
  <si>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</si>
  <si>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</si>
  <si>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</si>
  <si>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</si>
  <si>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</si>
  <si>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</si>
  <si>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</si>
  <si>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</si>
  <si>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</si>
  <si>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</si>
  <si>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</si>
  <si>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</si>
  <si>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</si>
  <si>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</si>
  <si>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</si>
  <si>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</si>
  <si>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</si>
  <si>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</si>
  <si>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</si>
  <si>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</si>
  <si>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</si>
  <si>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</si>
  <si>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</si>
  <si>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</si>
  <si>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</si>
  <si>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</si>
  <si>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</si>
  <si>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</si>
  <si>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</si>
  <si>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</si>
  <si>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</si>
  <si>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</si>
  <si>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</si>
  <si>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</si>
  <si>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</si>
  <si>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</si>
  <si>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</si>
  <si>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</si>
  <si>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</si>
  <si>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</si>
  <si>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</si>
  <si>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</si>
  <si>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</si>
  <si>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</si>
  <si>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</si>
  <si>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</si>
  <si>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</si>
  <si>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</si>
  <si>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</si>
  <si>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</si>
  <si>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</si>
  <si>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</si>
  <si>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</si>
  <si>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</si>
  <si>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</si>
  <si>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</si>
  <si>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</si>
  <si>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</si>
  <si>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</si>
  <si>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</si>
  <si>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</si>
  <si>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</si>
  <si>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</si>
  <si>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</si>
  <si>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</si>
  <si>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</si>
  <si>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</si>
  <si>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</si>
  <si>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</si>
  <si>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</si>
  <si>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</si>
  <si>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</si>
  <si>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</si>
  <si>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</si>
  <si>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</si>
  <si>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</si>
  <si>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</si>
  <si>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</si>
  <si>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</si>
  <si>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</si>
  <si>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</si>
  <si>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</si>
  <si>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</si>
  <si>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</si>
  <si>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</si>
  <si>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</si>
  <si>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</si>
  <si>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</si>
  <si>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</si>
  <si>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</si>
  <si>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</si>
  <si>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</si>
  <si>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</si>
  <si>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</si>
  <si>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</si>
  <si>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</si>
  <si>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</si>
  <si>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</si>
  <si>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</si>
  <si>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</si>
  <si>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</si>
  <si>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</si>
  <si>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</si>
  <si>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</si>
  <si>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</si>
  <si>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</si>
  <si>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</si>
  <si>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</si>
  <si>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</si>
  <si>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</si>
  <si>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</si>
  <si>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</si>
  <si>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</si>
  <si>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</si>
  <si>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</si>
  <si>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</si>
  <si>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</si>
  <si>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</si>
  <si>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</si>
  <si>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</si>
  <si>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</si>
  <si>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</si>
  <si>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</si>
  <si>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</si>
  <si>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</si>
  <si>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</si>
  <si>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</si>
  <si>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</si>
  <si>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</si>
  <si>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</si>
  <si>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</si>
  <si>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</si>
  <si>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</si>
  <si>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</si>
  <si>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</si>
  <si>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</si>
  <si>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</si>
  <si>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</si>
  <si>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</si>
  <si>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</si>
  <si>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</si>
  <si>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</si>
  <si>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</si>
  <si>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</si>
  <si>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</si>
  <si>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</si>
  <si>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</si>
  <si>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</si>
  <si>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</si>
  <si>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</si>
  <si>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</si>
  <si>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</si>
  <si>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</si>
  <si>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</si>
  <si>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</si>
  <si>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</si>
  <si>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</si>
  <si>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</si>
  <si>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</si>
  <si>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</si>
  <si>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</si>
  <si>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</si>
  <si>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</si>
  <si>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</si>
  <si>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</si>
  <si>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</si>
  <si>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</si>
  <si>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</si>
  <si>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</si>
  <si>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</si>
  <si>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</si>
  <si>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</si>
  <si>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</si>
  <si>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</si>
  <si>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</si>
  <si>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</si>
  <si>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</si>
  <si>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</si>
  <si>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</si>
  <si>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</si>
  <si>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</si>
  <si>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</si>
  <si>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</si>
  <si>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</si>
  <si>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</si>
  <si>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</si>
  <si>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</si>
  <si>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</si>
  <si>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</si>
  <si>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</si>
  <si>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</si>
  <si>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</si>
  <si>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</si>
  <si>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</si>
  <si>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</si>
  <si>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</si>
  <si>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</si>
  <si>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</si>
  <si>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</si>
  <si>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</si>
  <si>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</si>
  <si>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</si>
  <si>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</si>
  <si>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</si>
  <si>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</si>
  <si>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</si>
  <si>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</si>
  <si>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</si>
  <si>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</si>
  <si>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</si>
  <si>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</si>
  <si>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</si>
  <si>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</si>
  <si>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</si>
  <si>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</si>
  <si>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</si>
  <si>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</si>
  <si>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</si>
  <si>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</si>
  <si>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</si>
  <si>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</si>
  <si>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</si>
  <si>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</si>
  <si>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</si>
  <si>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</si>
  <si>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</si>
  <si>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</si>
  <si>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</si>
  <si>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</si>
  <si>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</si>
  <si>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</si>
  <si>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</si>
  <si>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</si>
  <si>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</si>
  <si>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</si>
  <si>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</si>
  <si>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</si>
  <si>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</si>
  <si>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</si>
  <si>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</si>
  <si>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</si>
  <si>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</si>
  <si>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</si>
  <si>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</si>
  <si>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</si>
  <si>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</si>
  <si>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</si>
  <si>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</si>
  <si>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</si>
  <si>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</si>
  <si>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</si>
  <si>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</si>
  <si>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</si>
  <si>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</si>
  <si>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</si>
  <si>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</si>
  <si>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</si>
  <si>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</si>
  <si>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</si>
  <si>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</si>
  <si>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</si>
  <si>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</si>
  <si>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</si>
  <si>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</si>
  <si>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</si>
  <si>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</si>
  <si>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</si>
  <si>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</si>
  <si>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</si>
  <si>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</si>
  <si>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</si>
  <si>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</si>
  <si>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</si>
  <si>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</si>
  <si>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</si>
  <si>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</si>
  <si>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</si>
  <si>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</si>
  <si>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</si>
  <si>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</si>
  <si>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</si>
  <si>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</si>
  <si>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</si>
  <si>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</si>
  <si>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</si>
  <si>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</si>
  <si>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</si>
  <si>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</si>
  <si>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</si>
  <si>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</si>
  <si>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</si>
  <si>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</si>
  <si>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</si>
  <si>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</si>
  <si>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</si>
  <si>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</si>
  <si>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</si>
  <si>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</si>
  <si>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</si>
  <si>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</si>
  <si>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</si>
  <si>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</si>
  <si>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</si>
  <si>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</si>
  <si>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</si>
  <si>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</si>
  <si>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</si>
  <si>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</si>
  <si>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</si>
  <si>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</si>
  <si>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</si>
  <si>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</si>
  <si>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</si>
  <si>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</si>
  <si>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</si>
  <si>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</si>
  <si>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</si>
  <si>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</si>
  <si>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</si>
  <si>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</si>
  <si>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</si>
  <si>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</si>
  <si>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</si>
  <si>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</si>
  <si>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</si>
  <si>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</si>
  <si>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</si>
  <si>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</si>
  <si>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</si>
  <si>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</si>
  <si>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</si>
  <si>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</si>
  <si>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</si>
  <si>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</si>
  <si>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</si>
  <si>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</si>
  <si>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</si>
  <si>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</si>
  <si>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</si>
  <si>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</si>
  <si>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</si>
  <si>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</si>
  <si>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</si>
  <si>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</si>
  <si>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</si>
  <si>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</si>
  <si>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</si>
  <si>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</si>
  <si>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</si>
  <si>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</si>
  <si>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</si>
  <si>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</si>
  <si>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</si>
  <si>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</si>
  <si>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</si>
  <si>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</si>
  <si>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</si>
  <si>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</si>
  <si>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</si>
  <si>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</si>
  <si>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</si>
  <si>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</si>
  <si>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</si>
  <si>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</si>
  <si>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</si>
  <si>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</si>
  <si>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</si>
  <si>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</si>
  <si>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</si>
  <si>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</si>
  <si>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</si>
  <si>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</si>
  <si>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</si>
  <si>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</si>
  <si>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</si>
  <si>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</si>
  <si>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</si>
  <si>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</si>
  <si>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</si>
  <si>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</si>
  <si>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</si>
  <si>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</si>
  <si>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</si>
  <si>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</si>
  <si>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</si>
  <si>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</si>
  <si>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</si>
  <si>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</si>
  <si>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</si>
  <si>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</si>
  <si>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</si>
  <si>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</si>
  <si>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</si>
  <si>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</si>
  <si>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</si>
  <si>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</si>
  <si>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</si>
  <si>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</si>
  <si>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</si>
  <si>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</si>
  <si>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</si>
  <si>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</si>
  <si>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</si>
  <si>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</si>
  <si>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</si>
  <si>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</si>
  <si>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</si>
  <si>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</si>
  <si>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</si>
  <si>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</si>
  <si>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</si>
  <si>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</si>
  <si>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</si>
  <si>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</si>
  <si>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</si>
  <si>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</si>
  <si>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</si>
  <si>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</si>
  <si>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</si>
  <si>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</si>
  <si>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</si>
  <si>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</si>
  <si>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</si>
  <si>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</si>
  <si>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</si>
  <si>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</si>
  <si>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</si>
  <si>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</si>
  <si>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</si>
  <si>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</si>
  <si>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</si>
  <si>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</si>
  <si>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</si>
  <si>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</si>
  <si>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</si>
  <si>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</si>
  <si>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</si>
  <si>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</si>
  <si>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</si>
  <si>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</si>
  <si>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</si>
  <si>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</si>
  <si>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</si>
  <si>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</si>
  <si>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</si>
  <si>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</si>
  <si>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</si>
  <si>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</si>
  <si>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</si>
  <si>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</si>
  <si>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</si>
  <si>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</si>
  <si>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</si>
  <si>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</si>
  <si>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</si>
  <si>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</si>
  <si>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</si>
  <si>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</si>
  <si>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</si>
  <si>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</si>
  <si>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</si>
  <si>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</si>
  <si>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</si>
  <si>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</si>
  <si>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</si>
  <si>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</si>
  <si>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</si>
  <si>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</si>
  <si>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</si>
  <si>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</si>
  <si>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</si>
  <si>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</si>
  <si>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</si>
  <si>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</si>
  <si>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</si>
  <si>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</si>
  <si>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</si>
  <si>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</si>
  <si>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</si>
  <si>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</si>
  <si>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</si>
  <si>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</si>
  <si>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</si>
  <si>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</si>
  <si>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</si>
  <si>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</si>
  <si>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</si>
  <si>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</si>
  <si>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</si>
  <si>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</si>
  <si>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</si>
  <si>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</si>
  <si>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</si>
  <si>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</si>
  <si>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</si>
  <si>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</si>
  <si>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</si>
  <si>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</si>
  <si>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</si>
  <si>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</si>
  <si>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</si>
  <si>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</si>
  <si>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</si>
  <si>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</si>
  <si>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</si>
  <si>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</si>
  <si>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</si>
  <si>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</si>
  <si>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</si>
  <si>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</si>
  <si>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</si>
  <si>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</si>
  <si>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</si>
  <si>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</si>
  <si>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</si>
  <si>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</si>
  <si>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</si>
  <si>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</si>
  <si>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</si>
  <si>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</si>
  <si>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</si>
  <si>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</si>
  <si>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</si>
  <si>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</si>
  <si>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</si>
  <si>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</si>
  <si>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</si>
  <si>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</si>
  <si>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</si>
  <si>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</si>
  <si>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</si>
  <si>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</si>
  <si>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</si>
  <si>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</si>
  <si>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</si>
  <si>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</si>
  <si>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</si>
  <si>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</si>
  <si>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</si>
  <si>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</si>
  <si>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</si>
  <si>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</si>
  <si>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</si>
  <si>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</si>
  <si>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</si>
  <si>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</si>
  <si>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</si>
  <si>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</si>
  <si>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</si>
  <si>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</si>
  <si>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</si>
  <si>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</si>
  <si>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</si>
  <si>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</si>
  <si>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</si>
  <si>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</si>
  <si>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</si>
  <si>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</si>
  <si>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</si>
  <si>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</si>
  <si>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</si>
  <si>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</si>
  <si>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</si>
  <si>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</si>
  <si>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</si>
  <si>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</si>
  <si>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</si>
  <si>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</si>
  <si>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</si>
  <si>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</si>
  <si>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</si>
  <si>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</si>
  <si>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</si>
  <si>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</si>
  <si>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</si>
  <si>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</si>
  <si>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</si>
  <si>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</si>
  <si>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</si>
  <si>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</si>
  <si>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</si>
  <si>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</si>
  <si>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</si>
  <si>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</si>
  <si>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</si>
  <si>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</si>
  <si>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</si>
  <si>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</si>
  <si>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</si>
  <si>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</si>
  <si>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</si>
  <si>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</si>
  <si>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</si>
  <si>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</si>
  <si>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</si>
  <si>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</si>
  <si>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</si>
  <si>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</si>
  <si>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</si>
  <si>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</si>
  <si>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</si>
  <si>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</si>
  <si>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</si>
  <si>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</si>
  <si>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</si>
  <si>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</si>
  <si>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</si>
  <si>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</si>
  <si>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</si>
  <si>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</si>
  <si>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</si>
  <si>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</si>
  <si>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</si>
  <si>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</si>
  <si>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</si>
  <si>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</si>
  <si>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</si>
  <si>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</si>
  <si>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</si>
  <si>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</si>
  <si>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</si>
  <si>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</si>
  <si>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</si>
  <si>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</si>
  <si>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</si>
  <si>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</si>
  <si>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</si>
  <si>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</si>
  <si>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</si>
  <si>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</si>
  <si>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</si>
  <si>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</si>
  <si>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</si>
  <si>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</si>
  <si>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</si>
  <si>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</si>
  <si>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</si>
  <si>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</si>
  <si>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</si>
  <si>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</si>
  <si>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</si>
  <si>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</si>
  <si>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</si>
  <si>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</si>
  <si>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</si>
  <si>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</si>
  <si>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</si>
  <si>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</si>
  <si>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</si>
  <si>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</si>
  <si>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</si>
  <si>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</si>
  <si>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</si>
  <si>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</si>
  <si>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</si>
  <si>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</si>
  <si>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</si>
  <si>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</si>
  <si>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</si>
  <si>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</si>
  <si>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</si>
  <si>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</si>
  <si>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</si>
  <si>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</si>
  <si>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</si>
  <si>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</si>
  <si>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</si>
  <si>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</si>
  <si>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</si>
  <si>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</si>
  <si>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</si>
  <si>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</si>
  <si>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</si>
  <si>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</si>
  <si>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</si>
  <si>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</si>
  <si>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</si>
  <si>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</si>
  <si>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</si>
  <si>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</si>
  <si>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</si>
  <si>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</si>
  <si>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</si>
  <si>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</si>
  <si>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</si>
  <si>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</si>
  <si>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</si>
  <si>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</si>
  <si>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</si>
  <si>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</si>
  <si>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</si>
  <si>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</si>
  <si>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</si>
  <si>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</si>
  <si>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</si>
  <si>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</si>
  <si>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</si>
  <si>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</si>
  <si>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</si>
  <si>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</si>
  <si>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</si>
  <si>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</si>
  <si>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</si>
  <si>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</si>
  <si>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</si>
  <si>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</si>
  <si>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</si>
  <si>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</si>
  <si>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</si>
  <si>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</si>
  <si>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</si>
  <si>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</si>
  <si>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</si>
  <si>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</si>
  <si>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</si>
  <si>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</si>
  <si>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</si>
  <si>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</si>
  <si>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</si>
  <si>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</si>
  <si>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</si>
  <si>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</si>
  <si>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</si>
  <si>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</si>
  <si>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</si>
  <si>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</si>
  <si>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</si>
  <si>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</si>
  <si>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</si>
  <si>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</si>
  <si>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</si>
  <si>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</si>
  <si>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</si>
  <si>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</si>
  <si>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</si>
  <si>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</si>
  <si>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</si>
  <si>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</si>
  <si>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</si>
  <si>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</si>
  <si>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</si>
  <si>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</si>
  <si>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</si>
  <si>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</si>
  <si>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</si>
  <si>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</si>
  <si>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</si>
  <si>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</si>
  <si>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</si>
  <si>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</si>
  <si>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</si>
  <si>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</si>
  <si>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</si>
  <si>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</si>
  <si>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</si>
  <si>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</si>
  <si>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</si>
  <si>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</si>
  <si>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</si>
  <si>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</si>
  <si>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</si>
  <si>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</si>
  <si>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</si>
  <si>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</si>
  <si>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</si>
  <si>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</si>
  <si>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</si>
  <si>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</si>
  <si>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</si>
  <si>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COOPERATIVA FUMACENSE DE ELETRICIDADE</t>
  </si>
  <si>
    <t>01-20217418326772-84</t>
  </si>
  <si>
    <t>01-20217418326776-35</t>
  </si>
  <si>
    <t>01-20217513095507-70</t>
  </si>
  <si>
    <t>01-20217513095510-84</t>
  </si>
  <si>
    <t>01-20217663039805-57</t>
  </si>
  <si>
    <t>01-20217663039806-10</t>
  </si>
  <si>
    <t>01-20217820354682-95</t>
  </si>
  <si>
    <t>01-20217820355468-00</t>
  </si>
  <si>
    <t>01-20217907499780-73</t>
  </si>
  <si>
    <t>01-20217907499781-36</t>
  </si>
  <si>
    <t>01-20218171456381-31</t>
  </si>
  <si>
    <t>01-20218171456388-80</t>
  </si>
  <si>
    <t>01-20228339027580-76</t>
  </si>
  <si>
    <t>01-20228339027581-39</t>
  </si>
  <si>
    <t>01-20228483466845-94</t>
  </si>
  <si>
    <t>01-20228483466846-57</t>
  </si>
  <si>
    <t>01-20228640270476-68</t>
  </si>
  <si>
    <t>01-20228640270477-20</t>
  </si>
  <si>
    <t>01-20228723188801-66</t>
  </si>
  <si>
    <t>01-20228723188803-91</t>
  </si>
  <si>
    <t>01-20228888328476-99</t>
  </si>
  <si>
    <t>01-20228888328478-14</t>
  </si>
  <si>
    <t>01-20229025731052-11</t>
  </si>
  <si>
    <t>01-20229025731081-10</t>
  </si>
  <si>
    <t>01-20229166328470-39</t>
  </si>
  <si>
    <t>01-20229166328471-00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</si>
  <si>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</si>
  <si>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</si>
  <si>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</si>
  <si>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</si>
  <si>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</si>
  <si>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</si>
  <si>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</si>
  <si>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</si>
  <si>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</si>
  <si>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</si>
  <si>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</si>
  <si>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</si>
  <si>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</si>
  <si>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</si>
  <si>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</si>
  <si>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</si>
  <si>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</si>
  <si>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</si>
  <si>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</si>
  <si>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</si>
  <si>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</si>
  <si>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</si>
  <si>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</si>
  <si>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</si>
  <si>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</si>
  <si>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</si>
  <si>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</si>
  <si>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</si>
  <si>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</si>
  <si>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</si>
  <si>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</si>
  <si>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</si>
  <si>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</si>
  <si>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</si>
  <si>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</si>
  <si>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</si>
  <si>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48500.004970/2021-11</t>
  </si>
  <si>
    <t>Hélvio Neves Guerra</t>
  </si>
  <si>
    <t>Documento s/n, 30/08/22</t>
  </si>
  <si>
    <t>Diferimento de Parcela B</t>
  </si>
  <si>
    <t>Diferimento de Energia</t>
  </si>
  <si>
    <t>Repasse de ICMS</t>
  </si>
  <si>
    <t>Diferimento PIS Cofins</t>
  </si>
  <si>
    <t>01-20229309989110-90</t>
  </si>
  <si>
    <t>01-20229309989113-89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</si>
  <si>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</si>
  <si>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</si>
  <si>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</si>
  <si>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</si>
  <si>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</si>
  <si>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antes retirada do desconto</t>
  </si>
  <si>
    <t>V.13 08/09</t>
  </si>
  <si>
    <t>atualização IPCA</t>
  </si>
  <si>
    <t>(exceto baixa renda)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</si>
</sst>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2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ECFF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0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6" fillId="113" borderId="207" xfId="0" applyFont="1" applyFill="1" applyBorder="1"/>
    <xf numFmtId="0" fontId="327" fillId="42" borderId="20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0" fontId="293" fillId="43" borderId="186" xfId="907" applyFont="1" applyFill="1" applyBorder="1" applyAlignment="1">
      <alignment horizontal="center"/>
    </xf>
    <xf numFmtId="10" fontId="209" fillId="59" borderId="166" xfId="847" applyNumberFormat="1" applyFont="1" applyFill="1" applyBorder="1" applyAlignment="1" applyProtection="1">
      <alignment horizontal="right"/>
      <protection hidden="1"/>
    </xf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65" fontId="206" fillId="0" borderId="0" xfId="815" applyNumberFormat="1" applyFont="1" applyFill="1" applyBorder="1"/>
    <xf numFmtId="0" fontId="284" fillId="131" borderId="10" xfId="0" applyFont="1" applyFill="1" applyBorder="1"/>
    <xf numFmtId="0" fontId="284" fillId="109" borderId="10" xfId="0" applyFont="1" applyFill="1" applyBorder="1"/>
    <xf numFmtId="10" fontId="206" fillId="61" borderId="0" xfId="847" applyNumberFormat="1" applyFont="1" applyFill="1" applyBorder="1"/>
    <xf numFmtId="16" fontId="219" fillId="0" borderId="0" xfId="907" applyNumberFormat="1" applyFont="1" applyAlignment="1">
      <alignment horizontal="left"/>
    </xf>
    <xf numFmtId="4" fontId="331" fillId="0" borderId="0" xfId="0" applyNumberFormat="1" applyFont="1"/>
    <xf numFmtId="205" fontId="331" fillId="0" borderId="0" xfId="0" applyNumberFormat="1" applyFont="1"/>
    <xf numFmtId="0" fontId="332" fillId="0" borderId="0" xfId="0" pivotButton="1" applyFont="1"/>
    <xf numFmtId="0" fontId="332" fillId="0" borderId="0" xfId="0" applyFont="1"/>
    <xf numFmtId="205" fontId="332" fillId="0" borderId="0" xfId="0" applyNumberFormat="1" applyFont="1" applyAlignment="1">
      <alignment horizontal="left"/>
    </xf>
    <xf numFmtId="168" fontId="332" fillId="0" borderId="0" xfId="0" applyNumberFormat="1" applyFont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6"/>
    </tableStyle>
    <tableStyle name="Padrão" pivot="0" count="1" xr9:uid="{3101F1C1-6DA4-4166-994B-3EC22CFD8317}">
      <tableStyleElement type="headerRow" dxfId="605"/>
    </tableStyle>
    <tableStyle name="Padrão 2" pivot="0" count="2" xr9:uid="{85D0CDF3-BF56-48CA-93DE-51D2DBCCC9A6}">
      <tableStyleElement type="wholeTable" dxfId="604"/>
      <tableStyleElement type="headerRow" dxfId="60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  <color rgb="FFFFDDDD"/>
      <color rgb="FFCCECFF"/>
      <color rgb="FFFFCCCC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[Persas_RTP_2022_Cermoful.xlsx]Calc_Mercado!Tabela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11916.311</c:v>
                </c:pt>
                <c:pt idx="1">
                  <c:v>11986.967999999999</c:v>
                </c:pt>
                <c:pt idx="2">
                  <c:v>12071.763000000001</c:v>
                </c:pt>
                <c:pt idx="3">
                  <c:v>12043.063999999998</c:v>
                </c:pt>
                <c:pt idx="4">
                  <c:v>11988.221999999998</c:v>
                </c:pt>
                <c:pt idx="5">
                  <c:v>12220.992999999999</c:v>
                </c:pt>
                <c:pt idx="6">
                  <c:v>11874.943000000001</c:v>
                </c:pt>
                <c:pt idx="7">
                  <c:v>12131.893000000004</c:v>
                </c:pt>
                <c:pt idx="8">
                  <c:v>11730.691000000001</c:v>
                </c:pt>
                <c:pt idx="9">
                  <c:v>12489.259999999998</c:v>
                </c:pt>
                <c:pt idx="10">
                  <c:v>12221.454999999996</c:v>
                </c:pt>
                <c:pt idx="11">
                  <c:v>12221.454999999996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6.1712641267203661E-2</c:v>
                </c:pt>
                <c:pt idx="1">
                  <c:v>1.4413703040274378E-2</c:v>
                </c:pt>
                <c:pt idx="2">
                  <c:v>3.2805936519108795E-3</c:v>
                </c:pt>
                <c:pt idx="3">
                  <c:v>4.0084970265376309E-2</c:v>
                </c:pt>
                <c:pt idx="4">
                  <c:v>-4.2538229250274381E-2</c:v>
                </c:pt>
                <c:pt idx="5">
                  <c:v>2.3E-2</c:v>
                </c:pt>
                <c:pt idx="6">
                  <c:v>0.1000147813445591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0.3888938098996686</c:v>
                </c:pt>
                <c:pt idx="1">
                  <c:v>0.28587430875601932</c:v>
                </c:pt>
                <c:pt idx="2">
                  <c:v>0.14905774848423572</c:v>
                </c:pt>
                <c:pt idx="3">
                  <c:v>0</c:v>
                </c:pt>
                <c:pt idx="4">
                  <c:v>0</c:v>
                </c:pt>
                <c:pt idx="5">
                  <c:v>2.6089604836301832E-2</c:v>
                </c:pt>
                <c:pt idx="6">
                  <c:v>0.14836418256455947</c:v>
                </c:pt>
                <c:pt idx="7">
                  <c:v>1.7203454592151482E-3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27453667.72604394</c:v>
                </c:pt>
                <c:pt idx="1">
                  <c:v>30237728.700547267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21999785.028878268</c:v>
                </c:pt>
                <c:pt idx="1">
                  <c:v>22227635.335340325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10588624.163059883</c:v>
                </c:pt>
                <c:pt idx="1">
                  <c:v>11589713.29614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9411909.3534778766</c:v>
                </c:pt>
                <c:pt idx="1">
                  <c:v>13698098.292825773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0.29655918096512296</c:v>
                </c:pt>
                <c:pt idx="1">
                  <c:v>0.21799948650642695</c:v>
                </c:pt>
                <c:pt idx="2">
                  <c:v>0.11366713144237145</c:v>
                </c:pt>
                <c:pt idx="3">
                  <c:v>0.1343453025433963</c:v>
                </c:pt>
                <c:pt idx="4">
                  <c:v>0.23544812054850259</c:v>
                </c:pt>
                <c:pt idx="5" formatCode="0.00%">
                  <c:v>1.9807779941797311E-3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Cermoful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507.4</c:v>
                </c:pt>
                <c:pt idx="1">
                  <c:v>562.51</c:v>
                </c:pt>
                <c:pt idx="2">
                  <c:v>608.16999999999996</c:v>
                </c:pt>
                <c:pt idx="3">
                  <c:v>651.74</c:v>
                </c:pt>
                <c:pt idx="4">
                  <c:v>726.83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493.34035891149097</c:v>
                </c:pt>
                <c:pt idx="1">
                  <c:v>517.75507389174754</c:v>
                </c:pt>
                <c:pt idx="2">
                  <c:v>585.18890336536572</c:v>
                </c:pt>
                <c:pt idx="3">
                  <c:v>767.27240635865348</c:v>
                </c:pt>
                <c:pt idx="4">
                  <c:v>833.16155249716371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462.45209559977997</c:v>
                </c:pt>
                <c:pt idx="1">
                  <c:v>478.30779983628338</c:v>
                </c:pt>
                <c:pt idx="2">
                  <c:v>489.97116697754939</c:v>
                </c:pt>
                <c:pt idx="3">
                  <c:v>537.39926676418099</c:v>
                </c:pt>
                <c:pt idx="4">
                  <c:v>584.29966617909531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Cermoful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340.76</c:v>
                </c:pt>
                <c:pt idx="1">
                  <c:v>300.83000000000004</c:v>
                </c:pt>
                <c:pt idx="2">
                  <c:v>367.03999999999996</c:v>
                </c:pt>
                <c:pt idx="3" formatCode="_(* #,##0.00_);_(* \(#,##0.00\);_(* &quot;-&quot;??_);_(@_)">
                  <c:v>352.81</c:v>
                </c:pt>
                <c:pt idx="4" formatCode="_(* #,##0.00_);_(* \(#,##0.00\);_(* &quot;-&quot;??_);_(@_)">
                  <c:v>417.12369966554775</c:v>
                </c:pt>
                <c:pt idx="5" formatCode="_(* #,##0.00_);_(* \(#,##0.00\);_(* &quot;-&quot;??_);_(@_)">
                  <c:v>507.4</c:v>
                </c:pt>
                <c:pt idx="6" formatCode="_(* #,##0.00_);_(* \(#,##0.00\);_(* &quot;-&quot;??_);_(@_)">
                  <c:v>562.51</c:v>
                </c:pt>
                <c:pt idx="7" formatCode="_(* #,##0.00_);_(* \(#,##0.00\);_(* &quot;-&quot;??_);_(@_)">
                  <c:v>608.16999999999996</c:v>
                </c:pt>
                <c:pt idx="8" formatCode="_(* #,##0.00_);_(* \(#,##0.00\);_(* &quot;-&quot;??_);_(@_)">
                  <c:v>651.74</c:v>
                </c:pt>
                <c:pt idx="9" formatCode="_(* #,##0.00_);_(* \(#,##0.00\);_(* &quot;-&quot;??_);_(@_)">
                  <c:v>726.83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340.76</c:v>
                </c:pt>
                <c:pt idx="1">
                  <c:v>384.40959947819749</c:v>
                </c:pt>
                <c:pt idx="2">
                  <c:v>413.44500580043388</c:v>
                </c:pt>
                <c:pt idx="3">
                  <c:v>460.94560030197846</c:v>
                </c:pt>
                <c:pt idx="4">
                  <c:v>453.05766114104256</c:v>
                </c:pt>
                <c:pt idx="5">
                  <c:v>493.34035891149097</c:v>
                </c:pt>
                <c:pt idx="6">
                  <c:v>517.75507389174754</c:v>
                </c:pt>
                <c:pt idx="7">
                  <c:v>585.18890336536572</c:v>
                </c:pt>
                <c:pt idx="8">
                  <c:v>767.27240635865348</c:v>
                </c:pt>
                <c:pt idx="9">
                  <c:v>833.16155249716371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340.76</c:v>
                </c:pt>
                <c:pt idx="1">
                  <c:v>362.95359604932975</c:v>
                </c:pt>
                <c:pt idx="2">
                  <c:v>397.52665870449147</c:v>
                </c:pt>
                <c:pt idx="3">
                  <c:v>433.20267915565154</c:v>
                </c:pt>
                <c:pt idx="4">
                  <c:v>443.84174054939001</c:v>
                </c:pt>
                <c:pt idx="5">
                  <c:v>462.45209559977997</c:v>
                </c:pt>
                <c:pt idx="6">
                  <c:v>478.30779983628338</c:v>
                </c:pt>
                <c:pt idx="7">
                  <c:v>489.97116697754939</c:v>
                </c:pt>
                <c:pt idx="8">
                  <c:v>537.39926676418099</c:v>
                </c:pt>
                <c:pt idx="9">
                  <c:v>584.29966617909531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  <person displayName="Michelle Cristina Rodrigues de Jesus (SGT)" id="{A52E58EE-8888-424D-89BD-D8FFF5AB379A}" userId="S::michellejesus@aneel.gov.br::f6c17157-45cf-4bfc-bad8-d421e6789e4d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9.785710648146" createdVersion="4" refreshedVersion="8" minRefreshableVersion="3" recordCount="590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9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21932"/>
    </cacheField>
    <cacheField name="Daj" numFmtId="4">
      <sharedItems containsSemiMixedTypes="0" containsString="0" containsNumber="1" minValue="0" maxValue="21932"/>
    </cacheField>
    <cacheField name="TUSD_E" numFmtId="4">
      <sharedItems containsSemiMixedTypes="0" containsString="0" containsNumber="1" minValue="-18.765000000000001" maxValue="6039.3620000000001"/>
    </cacheField>
    <cacheField name="TUSD_Eaj" numFmtId="4">
      <sharedItems containsSemiMixedTypes="0" containsString="0" containsNumber="1" minValue="-18.765000000000001" maxValue="6039.3620000000001"/>
    </cacheField>
    <cacheField name="TE_E" numFmtId="4">
      <sharedItems containsSemiMixedTypes="0" containsString="0" containsNumber="1" minValue="-18.765000000000001" maxValue="6039.3620000000001"/>
    </cacheField>
    <cacheField name="TE_Eaj" numFmtId="4">
      <sharedItems containsSemiMixedTypes="0" containsString="0" containsNumber="1" minValue="-18.765000000000001" maxValue="6039.3620000000001"/>
    </cacheField>
    <cacheField name="TUSD/KW" numFmtId="4">
      <sharedItems containsString="0" containsBlank="1" containsNumber="1" minValue="34.950000000000003" maxValue="111"/>
    </cacheField>
    <cacheField name="TUSD/MWh" numFmtId="4">
      <sharedItems containsString="0" containsBlank="1" containsNumber="1" minValue="69.64" maxValue="2740.31"/>
    </cacheField>
    <cacheField name="TE" numFmtId="4">
      <sharedItems containsString="0" containsBlank="1" containsNumber="1" minValue="79.430000000000007" maxValue="144.41999999999999"/>
    </cacheField>
    <cacheField name="ReceitaD" numFmtId="4">
      <sharedItems containsString="0" containsBlank="1" containsNumber="1" minValue="1048.5" maxValue="766523.4"/>
    </cacheField>
    <cacheField name="ReceitaE" numFmtId="4">
      <sharedItems containsString="0" containsBlank="1" containsNumber="1" minValue="-12512.314350000001" maxValue="2002051.64438"/>
    </cacheField>
    <cacheField name="Total" numFmtId="4">
      <sharedItems containsString="0" containsBlank="1" containsNumber="1" minValue="-12512.314350000001" maxValue="2002051.64438"/>
    </cacheField>
    <cacheField name="Total com Tar de aplicação" numFmtId="4">
      <sharedItems containsString="0" containsBlank="1" containsNumber="1" minValue="-12229.901100000001" maxValue="1956863.688279999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152.1893040392049" maxValue="322615.76449081348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13.3479571893224" maxValue="306148.1127160138"/>
    </cacheField>
    <cacheField name="DISTRIBUICAO" numFmtId="4">
      <sharedItems containsString="0" containsBlank="1" containsNumber="1" minValue="-6228.2389533086889" maxValue="996558.72521003522"/>
    </cacheField>
    <cacheField name="EnergiaRevenda" numFmtId="4">
      <sharedItems containsString="0" containsBlank="1" containsNumber="1" minValue="-2710.0755204260695" maxValue="872215.67360465915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77.94390982805203" maxValue="57269.794145854728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.300357644281078" maxValue="4368.234715418178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03.21095560795783" maxValue="48515.72421283862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37.24" maxValue="1343.4"/>
    </cacheField>
    <cacheField name="Cofins" numFmtId="4">
      <sharedItems containsSemiMixedTypes="0" containsString="0" containsNumber="1" minValue="-171.81" maxValue="6200.44"/>
    </cacheField>
    <cacheField name="ICMS" numFmtId="4">
      <sharedItems containsSemiMixedTypes="0" containsString="0" containsNumber="1" minValue="-4049.76" maxValue="982867.92"/>
    </cacheField>
    <cacheField name="UC" numFmtId="4">
      <sharedItems containsSemiMixedTypes="0" containsString="0" containsNumber="1" containsInteger="1" minValue="0" maxValue="12091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8.069886399999987" maxValue="963.49331159999952"/>
    </cacheField>
    <cacheField name="Subs_Rural" numFmtId="4">
      <sharedItems containsString="0" containsBlank="1" containsNumber="1" minValue="-462.78760000000011" maxValue="26201.770200000006"/>
    </cacheField>
    <cacheField name="Subs_Irrigante" numFmtId="4">
      <sharedItems containsString="0" containsBlank="1" containsNumber="1" minValue="92.911280000000005" maxValue="941.78252000000009"/>
    </cacheField>
    <cacheField name="Subs_BaixaRenda" numFmtId="4">
      <sharedItems containsString="0" containsBlank="1" containsNumber="1" minValue="-7.0979999999999972" maxValue="9219.5086499999998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3013.2864760340271" maxValue="909892.85184414149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2233.159799999999" maxValue="1956862.3847999999"/>
    </cacheField>
    <cacheField name="FinAj" numFmtId="4">
      <sharedItems containsSemiMixedTypes="0" containsString="0" containsNumber="1" minValue="-45189.289580000099" maxValue="279.12455000000045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62722.684579999957" maxValue="392.00084999999973"/>
    </cacheField>
    <cacheField name="FinPostTE" numFmtId="4">
      <sharedItems containsSemiMixedTypes="0" containsString="0" containsNumber="1" minValue="-109.58760000000007" maxValue="35269.874080000023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20670.25446304353" maxValue="11629.38591661199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80.076198123929998" maxValue="12812.71231246774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109.58370435485085" maxValue="35268.620298423572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12.260536455923784" maxValue="1961.7655444025149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9563.819634186919" maxValue="177.01212753806658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7535.8206452181621" maxValue="23.414671021130829"/>
    </cacheField>
    <cacheField name="finCT_TFSEE" numFmtId="4">
      <sharedItems containsString="0" containsBlank="1" containsNumber="1" minValue="-527.17049575978581" maxValue="3.2946817218766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668.54423977779902" maxValue="488750.40889355628"/>
    </cacheField>
    <cacheField name="DIST_E" numFmtId="4">
      <sharedItems containsString="0" containsBlank="1" containsNumber="1" minValue="-6228.2389533086889" maxValue="996558.72521003522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62722.684580000117" maxValue="392.00084999999854"/>
    </cacheField>
    <cacheField name="Fin_TE" numFmtId="4">
      <sharedItems containsString="0" containsBlank="1" containsNumber="1" minValue="-109.58759999999984" maxValue="35269.87407999998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44882.245023411117" maxValue="280.502633407618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5" maxValue="225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353.8519999999999"/>
    <n v="2353.8519999999999"/>
    <n v="2353.8519999999999"/>
    <n v="2353.8519999999999"/>
    <m/>
    <n v="522.37"/>
    <n v="144.41999999999999"/>
    <m/>
    <n v="1569524.9750799998"/>
    <n v="1569524.9750799998"/>
    <n v="1534099.50248"/>
    <n v="0"/>
    <n v="144528.80882980497"/>
    <n v="0"/>
    <n v="0"/>
    <n v="0"/>
    <n v="240007.34962568615"/>
    <n v="781260.46984937717"/>
    <n v="339947.59839626669"/>
    <n v="0"/>
    <n v="0"/>
    <n v="0"/>
    <n v="0"/>
    <n v="0"/>
    <n v="22321.003359263519"/>
    <m/>
    <n v="3424.5137991849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34.303985062761"/>
    <n v="0"/>
    <n v="464"/>
    <n v="2156.02"/>
    <n v="323504.09999999998"/>
    <n v="11922"/>
    <m/>
    <m/>
    <m/>
    <m/>
    <m/>
    <m/>
    <m/>
    <m/>
    <m/>
    <n v="377981.90238132945"/>
    <m/>
    <m/>
    <m/>
    <m/>
    <m/>
    <m/>
    <m/>
    <m/>
    <m/>
    <m/>
    <m/>
    <m/>
    <n v="1534098.199"/>
    <n v="-35426.806079999777"/>
    <m/>
    <m/>
    <m/>
    <m/>
    <n v="-49171.968279999965"/>
    <n v="13746.495680000007"/>
    <n v="30"/>
    <n v="-225.91978551750071"/>
    <n v="0"/>
    <n v="0"/>
    <n v="0"/>
    <n v="0"/>
    <n v="0"/>
    <n v="0"/>
    <n v="0"/>
    <n v="10044.631980091042"/>
    <n v="0"/>
    <n v="0"/>
    <n v="13746.007016417454"/>
    <n v="0"/>
    <n v="0"/>
    <n v="0"/>
    <n v="1537.9423532027213"/>
    <n v="0"/>
    <n v="-22204.122058605542"/>
    <m/>
    <n v="0"/>
    <n v="0"/>
    <n v="0"/>
    <n v="0"/>
    <n v="-2937.0993984775341"/>
    <n v="-413.2796781456268"/>
    <n v="0"/>
    <n v="0"/>
    <m/>
    <m/>
    <m/>
    <n v="781260.46984937717"/>
    <n v="0"/>
    <n v="0"/>
    <n v="-49171.968279999914"/>
    <n v="13746.495680000051"/>
    <n v="0"/>
    <n v="0"/>
    <n v="-35185.807868467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3.2450000000000001"/>
    <n v="-3.2450000000000001"/>
    <n v="-3.2450000000000001"/>
    <n v="-3.2450000000000001"/>
    <m/>
    <n v="522.37"/>
    <n v="144.41999999999999"/>
    <m/>
    <n v="-2163.7335499999999"/>
    <n v="-2163.7335499999999"/>
    <n v="-2114.8963000000003"/>
    <n v="0"/>
    <n v="-199.24616528682228"/>
    <n v="0"/>
    <n v="0"/>
    <n v="0"/>
    <n v="-330.8720554798482"/>
    <n v="-1077.0389237136528"/>
    <n v="-468.64881768092704"/>
    <n v="0"/>
    <n v="0"/>
    <n v="0"/>
    <n v="0"/>
    <n v="0"/>
    <n v="-30.771542093899754"/>
    <m/>
    <n v="-4.7210050922297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2.433762373984713"/>
    <n v="0"/>
    <n v="0"/>
    <n v="0"/>
    <n v="-455.27"/>
    <n v="0"/>
    <m/>
    <m/>
    <m/>
    <m/>
    <m/>
    <m/>
    <m/>
    <m/>
    <m/>
    <n v="-521.08258005491177"/>
    <m/>
    <m/>
    <m/>
    <m/>
    <m/>
    <m/>
    <m/>
    <m/>
    <m/>
    <m/>
    <m/>
    <m/>
    <n v="-2118.1549999999997"/>
    <n v="45.548549999999977"/>
    <m/>
    <m/>
    <m/>
    <m/>
    <n v="67.788049999999956"/>
    <n v="-18.950800000000012"/>
    <n v="30"/>
    <n v="0.31145106149574531"/>
    <n v="0"/>
    <n v="0"/>
    <n v="0"/>
    <n v="0"/>
    <n v="0"/>
    <n v="0"/>
    <n v="0"/>
    <n v="-13.847442734460572"/>
    <n v="0"/>
    <n v="0"/>
    <n v="-18.950126332613365"/>
    <n v="0"/>
    <n v="0"/>
    <n v="0"/>
    <n v="-2.120194020755271"/>
    <n v="0"/>
    <n v="30.610410544152728"/>
    <m/>
    <n v="0"/>
    <n v="0"/>
    <n v="0"/>
    <n v="0"/>
    <n v="4.0490598168702157"/>
    <n v="0.56974378830213634"/>
    <n v="0"/>
    <n v="0"/>
    <m/>
    <m/>
    <m/>
    <n v="-1077.0389237136528"/>
    <n v="0"/>
    <n v="0"/>
    <n v="67.788049999999885"/>
    <n v="-18.950800000000015"/>
    <n v="0"/>
    <n v="0"/>
    <n v="48.506850274858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6.4290000000000003"/>
    <n v="6.4290000000000003"/>
    <n v="6.4290000000000003"/>
    <n v="6.4290000000000003"/>
    <m/>
    <n v="522.37"/>
    <n v="144.41999999999999"/>
    <m/>
    <n v="4286.7929100000001"/>
    <n v="4286.7929100000001"/>
    <n v="4190.0364600000003"/>
    <n v="0"/>
    <n v="394.74687107210491"/>
    <n v="0"/>
    <n v="0"/>
    <n v="0"/>
    <n v="655.52432809859602"/>
    <n v="2133.8315071047996"/>
    <n v="928.48790412039443"/>
    <n v="0"/>
    <n v="0"/>
    <n v="0"/>
    <n v="0"/>
    <n v="0"/>
    <n v="60.964636092968107"/>
    <m/>
    <n v="9.3532640178568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8186696528436"/>
    <n v="0"/>
    <n v="2.0299999999999998"/>
    <n v="9.42"/>
    <n v="2809.77"/>
    <n v="52"/>
    <m/>
    <m/>
    <m/>
    <m/>
    <m/>
    <m/>
    <m/>
    <m/>
    <m/>
    <n v="1032.3697710856788"/>
    <m/>
    <m/>
    <m/>
    <m/>
    <m/>
    <m/>
    <m/>
    <m/>
    <m/>
    <m/>
    <m/>
    <m/>
    <n v="4190.6881999999996"/>
    <n v="-96.134710000001178"/>
    <m/>
    <m/>
    <m/>
    <m/>
    <n v="-134.3018099999999"/>
    <n v="37.545360000000024"/>
    <n v="30"/>
    <n v="-0.61704741890844161"/>
    <n v="0"/>
    <n v="0"/>
    <n v="0"/>
    <n v="0"/>
    <n v="0"/>
    <n v="0"/>
    <n v="0"/>
    <n v="27.434579149413594"/>
    <n v="0"/>
    <n v="0"/>
    <n v="37.544025328928001"/>
    <n v="0"/>
    <n v="0"/>
    <n v="0"/>
    <n v="4.2005323141558222"/>
    <n v="0"/>
    <n v="-60.645401968677334"/>
    <m/>
    <n v="0"/>
    <n v="0"/>
    <n v="0"/>
    <n v="0"/>
    <n v="-8.0220047958886269"/>
    <n v="-1.1287774468395764"/>
    <n v="0"/>
    <n v="0"/>
    <m/>
    <m/>
    <m/>
    <n v="2133.8315071047996"/>
    <n v="0"/>
    <n v="0"/>
    <n v="-134.30180999999993"/>
    <n v="37.54535999999996"/>
    <n v="0"/>
    <n v="0"/>
    <n v="-96.101861453641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5.03"/>
    <n v="15.03"/>
    <n v="15.03"/>
    <n v="15.03"/>
    <m/>
    <n v="451.48"/>
    <n v="144.41999999999999"/>
    <m/>
    <n v="8956.3770000000004"/>
    <n v="8956.3770000000004"/>
    <n v="8890.8462"/>
    <n v="0"/>
    <n v="0"/>
    <n v="0"/>
    <n v="0"/>
    <n v="0"/>
    <n v="1532.5137115137497"/>
    <n v="4988.5654925781819"/>
    <n v="2170.6600091662044"/>
    <n v="0"/>
    <n v="0"/>
    <n v="0"/>
    <n v="0"/>
    <n v="0"/>
    <n v="0"/>
    <m/>
    <n v="21.866473508848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85961432387987"/>
    <n v="0"/>
    <n v="0.72"/>
    <n v="3.84"/>
    <n v="347.99"/>
    <n v="14"/>
    <m/>
    <m/>
    <m/>
    <m/>
    <m/>
    <m/>
    <m/>
    <n v="5779.0349999999989"/>
    <m/>
    <n v="2413.5196234900841"/>
    <m/>
    <m/>
    <m/>
    <m/>
    <m/>
    <m/>
    <m/>
    <m/>
    <m/>
    <m/>
    <m/>
    <m/>
    <n v="3111.8112000000001"/>
    <n v="-23.025900000000547"/>
    <m/>
    <m/>
    <m/>
    <m/>
    <n v="-153.30600000000067"/>
    <n v="87.775200000000041"/>
    <n v="30"/>
    <n v="159.09113407454333"/>
    <n v="0"/>
    <n v="0"/>
    <n v="0"/>
    <n v="0"/>
    <n v="0"/>
    <n v="0"/>
    <n v="0"/>
    <n v="64.137770199982242"/>
    <n v="0"/>
    <n v="0"/>
    <n v="87.772079747050611"/>
    <n v="0"/>
    <n v="0"/>
    <n v="0"/>
    <n v="9.8201898711715785"/>
    <n v="0"/>
    <n v="0"/>
    <m/>
    <n v="0"/>
    <n v="0"/>
    <n v="0"/>
    <n v="0"/>
    <n v="0"/>
    <n v="-2.6389057436613541"/>
    <n v="0"/>
    <n v="0"/>
    <m/>
    <m/>
    <m/>
    <n v="4988.5654925781819"/>
    <n v="0"/>
    <n v="0"/>
    <n v="-153.30600000000049"/>
    <n v="87.775200000000041"/>
    <n v="0"/>
    <n v="0"/>
    <n v="-224.67117400034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32.567999999999998"/>
    <n v="32.567999999999998"/>
    <n v="32.567999999999998"/>
    <n v="32.567999999999998"/>
    <m/>
    <n v="451.48"/>
    <n v="144.41999999999999"/>
    <m/>
    <n v="19407.271199999999"/>
    <n v="19407.271199999999"/>
    <n v="19265.274719999998"/>
    <n v="0"/>
    <n v="0"/>
    <n v="0"/>
    <n v="0"/>
    <n v="0"/>
    <n v="3320.75226590684"/>
    <n v="10809.554288907933"/>
    <n v="4703.529951997667"/>
    <n v="0"/>
    <n v="0"/>
    <n v="0"/>
    <n v="0"/>
    <n v="0"/>
    <n v="0"/>
    <m/>
    <n v="47.381723834742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24430600799201"/>
    <n v="0"/>
    <n v="2.94"/>
    <n v="13.88"/>
    <n v="1317.81"/>
    <n v="64"/>
    <m/>
    <m/>
    <m/>
    <m/>
    <m/>
    <m/>
    <m/>
    <n v="7705.9144799999995"/>
    <m/>
    <n v="5229.7742580056592"/>
    <m/>
    <m/>
    <m/>
    <m/>
    <m/>
    <m/>
    <m/>
    <m/>
    <m/>
    <m/>
    <m/>
    <m/>
    <n v="11560.070100000001"/>
    <n v="-84.322619999999006"/>
    <m/>
    <m/>
    <m/>
    <m/>
    <n v="-332.19360000000148"/>
    <n v="190.1971200000001"/>
    <n v="30"/>
    <n v="344.72921187889006"/>
    <n v="0"/>
    <n v="0"/>
    <n v="0"/>
    <n v="0"/>
    <n v="0"/>
    <n v="0"/>
    <n v="0"/>
    <n v="138.97797071676769"/>
    <n v="0"/>
    <n v="0"/>
    <n v="190.19035882913795"/>
    <n v="0"/>
    <n v="0"/>
    <n v="0"/>
    <n v="21.279038171943739"/>
    <n v="0"/>
    <n v="0"/>
    <m/>
    <n v="0"/>
    <n v="0"/>
    <n v="0"/>
    <n v="0"/>
    <n v="0"/>
    <n v="-5.7181558389596177"/>
    <n v="0"/>
    <n v="0"/>
    <m/>
    <m/>
    <m/>
    <n v="10809.554288907933"/>
    <n v="0"/>
    <n v="0"/>
    <n v="-332.19360000000052"/>
    <n v="190.19712000000072"/>
    <n v="0"/>
    <n v="0"/>
    <n v="-486.83238821312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7.183"/>
    <n v="37.183"/>
    <n v="37.183"/>
    <n v="37.183"/>
    <m/>
    <n v="451.48"/>
    <n v="144.41999999999999"/>
    <m/>
    <n v="22157.349700000002"/>
    <n v="22157.349700000002"/>
    <n v="21995.231820000001"/>
    <n v="0"/>
    <n v="0"/>
    <n v="0"/>
    <n v="0"/>
    <n v="0"/>
    <n v="3791.3145266277952"/>
    <n v="12341.306101831973"/>
    <n v="5370.0366680523603"/>
    <n v="0"/>
    <n v="0"/>
    <n v="0"/>
    <n v="0"/>
    <n v="0"/>
    <n v="0"/>
    <m/>
    <n v="54.095880537559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0.81497268162514"/>
    <n v="0"/>
    <n v="5.77"/>
    <n v="26.62"/>
    <n v="4132.76"/>
    <n v="237"/>
    <m/>
    <m/>
    <m/>
    <m/>
    <m/>
    <m/>
    <m/>
    <n v="2199.3744499999993"/>
    <m/>
    <n v="5970.8516407339857"/>
    <m/>
    <m/>
    <m/>
    <m/>
    <m/>
    <m/>
    <m/>
    <m/>
    <m/>
    <m/>
    <m/>
    <m/>
    <n v="19794.260199999997"/>
    <n v="-147.7563599999994"/>
    <m/>
    <m/>
    <m/>
    <m/>
    <n v="-379.26660000000169"/>
    <n v="217.14872000000014"/>
    <n v="30"/>
    <n v="393.57855211534843"/>
    <n v="0"/>
    <n v="0"/>
    <n v="0"/>
    <n v="0"/>
    <n v="0"/>
    <n v="0"/>
    <n v="0"/>
    <n v="158.67163734836549"/>
    <n v="0"/>
    <n v="0"/>
    <n v="217.14100074747694"/>
    <n v="0"/>
    <n v="0"/>
    <n v="0"/>
    <n v="24.294352626731325"/>
    <n v="0"/>
    <n v="0"/>
    <m/>
    <n v="0"/>
    <n v="0"/>
    <n v="0"/>
    <n v="0"/>
    <n v="0"/>
    <n v="-6.5284386072229026"/>
    <n v="0"/>
    <n v="0"/>
    <m/>
    <m/>
    <m/>
    <n v="12341.306101831973"/>
    <n v="0"/>
    <n v="0"/>
    <n v="-379.26660000000265"/>
    <n v="217.14872000000014"/>
    <n v="0"/>
    <n v="0"/>
    <n v="-555.81824769493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4.227"/>
    <n v="14.227"/>
    <n v="14.227"/>
    <n v="14.227"/>
    <m/>
    <n v="451.48"/>
    <n v="144.41999999999999"/>
    <m/>
    <n v="8477.8693000000003"/>
    <n v="8477.8693000000003"/>
    <n v="8415.8395799999998"/>
    <n v="0"/>
    <n v="0"/>
    <n v="0"/>
    <n v="0"/>
    <n v="0"/>
    <n v="1450.6368977848383"/>
    <n v="4722.0439962015835"/>
    <n v="2054.6892847909244"/>
    <n v="0"/>
    <n v="0"/>
    <n v="0"/>
    <n v="0"/>
    <n v="0"/>
    <n v="0"/>
    <m/>
    <n v="20.6982247911104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.88447990591078"/>
    <n v="0"/>
    <n v="3.34"/>
    <n v="15.25"/>
    <n v="3275.89"/>
    <n v="186"/>
    <m/>
    <m/>
    <m/>
    <m/>
    <m/>
    <m/>
    <m/>
    <m/>
    <m/>
    <n v="2284.573764696835"/>
    <m/>
    <m/>
    <m/>
    <m/>
    <m/>
    <m/>
    <m/>
    <m/>
    <m/>
    <m/>
    <m/>
    <m/>
    <n v="8417.6142"/>
    <n v="-60.285100000000966"/>
    <m/>
    <m/>
    <m/>
    <m/>
    <n v="-145.11540000000065"/>
    <n v="83.085680000000053"/>
    <n v="30"/>
    <n v="150.59145472245609"/>
    <n v="0"/>
    <n v="0"/>
    <n v="0"/>
    <n v="0"/>
    <n v="0"/>
    <n v="0"/>
    <n v="0"/>
    <n v="60.711114879251227"/>
    <n v="0"/>
    <n v="0"/>
    <n v="83.082726451183134"/>
    <n v="0"/>
    <n v="0"/>
    <n v="0"/>
    <n v="9.2955316897643456"/>
    <n v="0"/>
    <n v="0"/>
    <m/>
    <n v="0"/>
    <n v="0"/>
    <n v="0"/>
    <n v="0"/>
    <n v="0"/>
    <n v="-2.4979182977425225"/>
    <n v="0"/>
    <n v="0"/>
    <m/>
    <m/>
    <m/>
    <n v="4722.0439962015835"/>
    <n v="0"/>
    <n v="0"/>
    <n v="-145.11540000000059"/>
    <n v="83.085679999999684"/>
    <n v="0"/>
    <n v="0"/>
    <n v="-212.66778393233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356.65600000000001"/>
    <n v="356.65600000000001"/>
    <n v="356.65600000000001"/>
    <n v="356.65600000000001"/>
    <m/>
    <n v="522.37"/>
    <n v="144.41999999999999"/>
    <m/>
    <n v="237814.65424"/>
    <n v="237814.65424"/>
    <n v="232446.98144"/>
    <n v="0"/>
    <n v="21899.026294772535"/>
    <n v="0"/>
    <n v="0"/>
    <n v="0"/>
    <n v="36365.948788665868"/>
    <n v="118376.7008862917"/>
    <n v="51508.909928754612"/>
    <n v="0"/>
    <n v="0"/>
    <n v="0"/>
    <n v="0"/>
    <n v="0"/>
    <n v="3382.0817001669984"/>
    <m/>
    <n v="518.88283271935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62.9633137922629"/>
    <n v="0"/>
    <n v="24.56"/>
    <n v="115.1"/>
    <n v="80092.31"/>
    <n v="541"/>
    <m/>
    <m/>
    <m/>
    <m/>
    <m/>
    <m/>
    <m/>
    <m/>
    <m/>
    <n v="57271.873242546877"/>
    <m/>
    <m/>
    <m/>
    <m/>
    <m/>
    <m/>
    <m/>
    <m/>
    <m/>
    <m/>
    <m/>
    <m/>
    <n v="232449.58840000001"/>
    <n v="-5365.0958400000236"/>
    <m/>
    <m/>
    <m/>
    <m/>
    <n v="-7450.5438399999948"/>
    <n v="2082.8710400000014"/>
    <n v="30"/>
    <n v="-34.231399010430323"/>
    <n v="0"/>
    <n v="0"/>
    <n v="0"/>
    <n v="0"/>
    <n v="0"/>
    <n v="0"/>
    <n v="0"/>
    <n v="1521.9641096769701"/>
    <n v="0"/>
    <n v="0"/>
    <n v="2082.7969976223612"/>
    <n v="0"/>
    <n v="0"/>
    <n v="0"/>
    <n v="233.02925074468112"/>
    <n v="0"/>
    <n v="-3364.3718283621965"/>
    <m/>
    <n v="0"/>
    <n v="0"/>
    <n v="0"/>
    <n v="0"/>
    <n v="-445.02973129296242"/>
    <n v="-62.620197399287065"/>
    <n v="0"/>
    <n v="0"/>
    <m/>
    <m/>
    <m/>
    <n v="118376.7008862917"/>
    <n v="0"/>
    <n v="0"/>
    <n v="-7450.5438399999985"/>
    <n v="2082.8710399999982"/>
    <n v="0"/>
    <n v="0"/>
    <n v="-5331.358764755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"/>
    <s v="Refaturamento - Regular"/>
    <s v="Convencional"/>
    <s v="B3"/>
    <s v="Industrial"/>
    <s v="Não se aplica"/>
    <s v="Não se aplica"/>
    <s v="Não se aplica"/>
    <s v="Não se aplica"/>
    <s v="CATIVO"/>
    <x v="0"/>
    <n v="0"/>
    <n v="0"/>
    <n v="-0.03"/>
    <n v="-0.03"/>
    <n v="-0.03"/>
    <n v="-0.03"/>
    <m/>
    <n v="522.37"/>
    <n v="144.41999999999999"/>
    <m/>
    <n v="-20.003699999999998"/>
    <n v="-20.003699999999998"/>
    <n v="-19.552199999999999"/>
    <n v="0"/>
    <n v="-1.8420292630522859"/>
    <n v="0"/>
    <n v="0"/>
    <n v="0"/>
    <n v="-3.0589096038198598"/>
    <n v="-9.9572165520522589"/>
    <n v="-4.3326547089145793"/>
    <n v="0"/>
    <n v="0"/>
    <n v="0"/>
    <n v="0"/>
    <n v="0"/>
    <n v="-0.28448266958921187"/>
    <m/>
    <n v="-4.36456557062846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8474972918938097"/>
    <n v="0"/>
    <n v="0"/>
    <n v="0"/>
    <n v="-5.47"/>
    <n v="0"/>
    <m/>
    <m/>
    <m/>
    <m/>
    <m/>
    <m/>
    <m/>
    <m/>
    <m/>
    <n v="-4.81740443810396"/>
    <m/>
    <m/>
    <m/>
    <m/>
    <m/>
    <m/>
    <m/>
    <m/>
    <m/>
    <m/>
    <m/>
    <m/>
    <n v="-19.552199999999999"/>
    <n v="0.42149999999999821"/>
    <m/>
    <m/>
    <m/>
    <m/>
    <n v="0.62669999999999959"/>
    <n v="-0.17520000000000011"/>
    <n v="30"/>
    <n v="2.8793626640606362E-3"/>
    <n v="0"/>
    <n v="0"/>
    <n v="0"/>
    <n v="0"/>
    <n v="0"/>
    <n v="0"/>
    <n v="0"/>
    <n v="-0.12801950139717011"/>
    <n v="0"/>
    <n v="0"/>
    <n v="-0.17519377195020081"/>
    <n v="0"/>
    <n v="0"/>
    <n v="0"/>
    <n v="-1.9601177387568058E-2"/>
    <n v="0"/>
    <n v="0.28299300965318386"/>
    <m/>
    <n v="0"/>
    <n v="0"/>
    <n v="0"/>
    <n v="0"/>
    <n v="3.7433526812359452E-2"/>
    <n v="5.2672769334558001E-3"/>
    <n v="0"/>
    <n v="0"/>
    <m/>
    <m/>
    <m/>
    <n v="-9.9572165520522589"/>
    <n v="0"/>
    <n v="0"/>
    <n v="0.62669999999999959"/>
    <n v="-0.17520000000000024"/>
    <n v="0"/>
    <n v="0"/>
    <n v="0.44844545708651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9.1750000000000007"/>
    <n v="9.1750000000000007"/>
    <n v="9.1750000000000007"/>
    <n v="9.1750000000000007"/>
    <m/>
    <n v="522.37"/>
    <n v="144.41999999999999"/>
    <m/>
    <n v="6117.7982500000007"/>
    <n v="6117.7982500000007"/>
    <n v="5979.714500000001"/>
    <n v="0"/>
    <n v="563.35394961682414"/>
    <n v="0"/>
    <n v="0"/>
    <n v="0"/>
    <n v="935.51652050157395"/>
    <n v="3045.248728835983"/>
    <n v="1325.070231809709"/>
    <n v="0"/>
    <n v="0"/>
    <n v="0"/>
    <n v="0"/>
    <n v="0"/>
    <n v="87.004283116033974"/>
    <m/>
    <n v="13.348296370172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25262551041902"/>
    <n v="0"/>
    <n v="0"/>
    <n v="0"/>
    <n v="3255.09"/>
    <n v="6"/>
    <m/>
    <m/>
    <m/>
    <m/>
    <m/>
    <m/>
    <m/>
    <m/>
    <m/>
    <n v="1473.3228573201279"/>
    <m/>
    <m/>
    <m/>
    <m/>
    <m/>
    <m/>
    <m/>
    <m/>
    <m/>
    <m/>
    <m/>
    <m/>
    <n v="5982.9732000000004"/>
    <n v="-134.85505000000103"/>
    <m/>
    <m/>
    <m/>
    <m/>
    <n v="-191.66574999999989"/>
    <n v="53.582000000000036"/>
    <n v="30"/>
    <n v="-0.88060508142507388"/>
    <n v="0"/>
    <n v="0"/>
    <n v="0"/>
    <n v="0"/>
    <n v="0"/>
    <n v="0"/>
    <n v="0"/>
    <n v="39.152630843967813"/>
    <n v="0"/>
    <n v="0"/>
    <n v="53.580095254769731"/>
    <n v="0"/>
    <n v="0"/>
    <n v="0"/>
    <n v="5.9946934176979028"/>
    <n v="0"/>
    <n v="-86.548695452265406"/>
    <m/>
    <n v="0"/>
    <n v="0"/>
    <n v="0"/>
    <n v="0"/>
    <n v="-11.448420283446609"/>
    <n v="-1.6109088621485661"/>
    <n v="0"/>
    <n v="0"/>
    <m/>
    <m/>
    <m/>
    <n v="3045.248728835983"/>
    <n v="0"/>
    <n v="0"/>
    <n v="-191.66575000000012"/>
    <n v="53.582000000000107"/>
    <n v="0"/>
    <n v="0"/>
    <n v="-137.14956895896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"/>
    <s v="Regular"/>
    <s v="Azul"/>
    <s v="A4"/>
    <s v="Industrial"/>
    <s v="Não se aplica"/>
    <s v="Não se aplica"/>
    <s v="Não se aplica"/>
    <s v="Ponta"/>
    <s v="CATIVO"/>
    <x v="0"/>
    <n v="1227"/>
    <n v="1227"/>
    <n v="65.489000000000004"/>
    <n v="65.489000000000004"/>
    <n v="65.489000000000004"/>
    <n v="65.489000000000004"/>
    <n v="111"/>
    <n v="69.64"/>
    <n v="144.41999999999999"/>
    <n v="136197"/>
    <n v="14018.575339999999"/>
    <n v="150215.57533999998"/>
    <n v="147181.77295999997"/>
    <n v="0"/>
    <n v="3498.3469778329045"/>
    <n v="0"/>
    <n v="0"/>
    <n v="0"/>
    <n v="38337.996255462218"/>
    <n v="97854.569434569785"/>
    <n v="9458.0408077368975"/>
    <n v="0"/>
    <n v="0"/>
    <n v="0"/>
    <n v="0"/>
    <n v="0"/>
    <n v="621.01618495759658"/>
    <m/>
    <n v="32.592906288746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55983226795433"/>
    <n v="0"/>
    <n v="0"/>
    <n v="0"/>
    <n v="0"/>
    <n v="0"/>
    <m/>
    <m/>
    <m/>
    <m/>
    <m/>
    <m/>
    <m/>
    <m/>
    <m/>
    <n v="9866.6006400048518"/>
    <m/>
    <m/>
    <m/>
    <m/>
    <m/>
    <m/>
    <m/>
    <m/>
    <m/>
    <m/>
    <m/>
    <m/>
    <n v="147181.98359999998"/>
    <n v="-3033.6217400000314"/>
    <m/>
    <m/>
    <m/>
    <m/>
    <n v="-3416.2581400000076"/>
    <n v="382.45576000000023"/>
    <n v="30"/>
    <n v="1380.3550250134867"/>
    <n v="0"/>
    <n v="0"/>
    <n v="0"/>
    <n v="0"/>
    <n v="0"/>
    <n v="0"/>
    <n v="0"/>
    <n v="1604.4969616170929"/>
    <n v="0"/>
    <n v="0"/>
    <n v="382.44216437489013"/>
    <n v="0"/>
    <n v="0"/>
    <n v="0"/>
    <n v="16.520388281826627"/>
    <n v="0"/>
    <n v="-537.45494706614136"/>
    <m/>
    <n v="0"/>
    <n v="0"/>
    <n v="0"/>
    <n v="0"/>
    <n v="-81.716141247153587"/>
    <n v="-3.9334009470336291"/>
    <n v="0"/>
    <n v="0"/>
    <m/>
    <m/>
    <n v="97854.569434569785"/>
    <n v="0"/>
    <n v="0"/>
    <n v="0"/>
    <n v="-3416.2581400000199"/>
    <n v="382.45576000000074"/>
    <n v="0"/>
    <n v="0"/>
    <n v="-4407.098800020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"/>
    <s v="Regular"/>
    <s v="Azul"/>
    <s v="A4"/>
    <s v="Industrial"/>
    <s v="Não se aplica"/>
    <s v="Não se aplica"/>
    <s v="Não se aplica"/>
    <s v="Fora ponta"/>
    <s v="CATIVO"/>
    <x v="0"/>
    <n v="3256"/>
    <n v="3256"/>
    <n v="1435.625"/>
    <n v="1435.625"/>
    <n v="1435.625"/>
    <n v="1435.625"/>
    <n v="34.950000000000003"/>
    <n v="69.64"/>
    <n v="144.41999999999999"/>
    <n v="113797.20000000001"/>
    <n v="307309.88750000001"/>
    <n v="421107.08750000002"/>
    <n v="414666.92999999993"/>
    <n v="0"/>
    <n v="76689.43456231372"/>
    <n v="0"/>
    <n v="0"/>
    <n v="0"/>
    <n v="41252.802089238874"/>
    <n v="72559.334823883793"/>
    <n v="207335.58054951645"/>
    <n v="0"/>
    <n v="0"/>
    <n v="0"/>
    <n v="0"/>
    <n v="0"/>
    <n v="13613.68108430041"/>
    <m/>
    <n v="714.48932020311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56.2935637997507"/>
    <n v="0"/>
    <n v="0"/>
    <n v="0"/>
    <n v="0"/>
    <n v="0"/>
    <m/>
    <m/>
    <m/>
    <m/>
    <m/>
    <m/>
    <m/>
    <m/>
    <m/>
    <n v="216291.87411331621"/>
    <m/>
    <m/>
    <m/>
    <m/>
    <m/>
    <m/>
    <m/>
    <m/>
    <m/>
    <m/>
    <m/>
    <m/>
    <n v="414667.98320000002"/>
    <n v="-6439.1343000000343"/>
    <m/>
    <m/>
    <m/>
    <m/>
    <n v="-14824.207500000017"/>
    <n v="8384.0500000000047"/>
    <n v="30"/>
    <n v="-3187.0689300404047"/>
    <n v="0"/>
    <n v="0"/>
    <n v="0"/>
    <n v="0"/>
    <n v="0"/>
    <n v="0"/>
    <n v="0"/>
    <n v="1726.4855254645518"/>
    <n v="0"/>
    <n v="0"/>
    <n v="8383.7519618668885"/>
    <n v="0"/>
    <n v="0"/>
    <n v="0"/>
    <n v="362.15368118458719"/>
    <n v="0"/>
    <n v="-11781.883345017173"/>
    <m/>
    <n v="0"/>
    <n v="0"/>
    <n v="0"/>
    <n v="0"/>
    <n v="-1791.3502309997839"/>
    <n v="-86.226522539436473"/>
    <n v="0"/>
    <n v="0"/>
    <m/>
    <m/>
    <n v="72559.334823883793"/>
    <n v="0"/>
    <n v="0"/>
    <n v="0"/>
    <n v="-14824.207500000019"/>
    <n v="8384.0499999999884"/>
    <n v="0"/>
    <n v="0"/>
    <n v="-3267.8714880698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2589.7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Ponta"/>
    <s v="CATIVO"/>
    <x v="0"/>
    <n v="0"/>
    <n v="0"/>
    <n v="84.843999999999994"/>
    <n v="84.843999999999994"/>
    <n v="84.843999999999994"/>
    <n v="84.843999999999994"/>
    <m/>
    <n v="2740.31"/>
    <n v="144.41999999999999"/>
    <m/>
    <n v="244752.03211999999"/>
    <n v="244752.03211999999"/>
    <n v="239804.77847999995"/>
    <n v="0"/>
    <n v="4532.268793037837"/>
    <n v="0"/>
    <n v="0"/>
    <n v="0"/>
    <n v="63858.923727158668"/>
    <n v="162731.43392932983"/>
    <n v="12253.325204104953"/>
    <n v="0"/>
    <n v="0"/>
    <n v="0"/>
    <n v="0"/>
    <n v="0"/>
    <n v="804.55492062090309"/>
    <m/>
    <n v="42.225603401523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9.30798162962196"/>
    <n v="0"/>
    <n v="0"/>
    <n v="0"/>
    <n v="0"/>
    <n v="0"/>
    <m/>
    <m/>
    <m/>
    <m/>
    <m/>
    <m/>
    <m/>
    <m/>
    <m/>
    <n v="12782.633185734574"/>
    <m/>
    <m/>
    <m/>
    <m/>
    <m/>
    <m/>
    <m/>
    <m/>
    <m/>
    <m/>
    <m/>
    <m/>
    <n v="239793.47280000002"/>
    <n v="-4958.5893199999991"/>
    <m/>
    <m/>
    <m/>
    <m/>
    <n v="-5442.7426000000078"/>
    <n v="495.48896000000025"/>
    <n v="30"/>
    <n v="2382.1961225040577"/>
    <n v="0"/>
    <n v="0"/>
    <n v="0"/>
    <n v="0"/>
    <n v="0"/>
    <n v="0"/>
    <n v="0"/>
    <n v="2672.582270852603"/>
    <n v="0"/>
    <n v="0"/>
    <n v="495.47134624475984"/>
    <n v="0"/>
    <n v="0"/>
    <n v="0"/>
    <n v="21.402919931336555"/>
    <n v="0"/>
    <n v="-696.29750841942496"/>
    <m/>
    <n v="0"/>
    <n v="0"/>
    <n v="0"/>
    <n v="0"/>
    <n v="-105.86700496226092"/>
    <n v="-5.0959011429418908"/>
    <n v="0"/>
    <n v="0"/>
    <m/>
    <m/>
    <m/>
    <n v="162731.43392932983"/>
    <n v="0"/>
    <n v="0"/>
    <n v="-5442.7426000000269"/>
    <n v="495.48895999999877"/>
    <n v="0"/>
    <n v="0"/>
    <n v="-7328.973100996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"/>
    <s v="Sistema de Compensação"/>
    <s v="Verde"/>
    <s v="A4"/>
    <s v="Industrial"/>
    <s v="Não se aplica"/>
    <s v="Não se aplica"/>
    <s v="Não se aplica"/>
    <s v="Ponta"/>
    <s v="CATIVO"/>
    <x v="0"/>
    <n v="0"/>
    <n v="0"/>
    <n v="0.59099999999999997"/>
    <n v="0.59099999999999997"/>
    <n v="0.59099999999999997"/>
    <n v="0.59099999999999997"/>
    <m/>
    <n v="2740.31"/>
    <n v="144.41999999999999"/>
    <m/>
    <n v="1704.8754299999998"/>
    <n v="1704.8754299999998"/>
    <n v="1670.4142199999999"/>
    <n v="0"/>
    <n v="31.570539539453133"/>
    <n v="0"/>
    <n v="0"/>
    <n v="0"/>
    <n v="444.82372262918739"/>
    <n v="1133.5424715033937"/>
    <n v="85.353297765617214"/>
    <n v="0"/>
    <n v="0"/>
    <n v="0"/>
    <n v="0"/>
    <n v="0"/>
    <n v="5.6043085909074737"/>
    <m/>
    <n v="0.2941319552390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6870140156417257"/>
    <n v="0"/>
    <n v="0"/>
    <n v="0"/>
    <n v="0"/>
    <n v="0"/>
    <m/>
    <m/>
    <m/>
    <m/>
    <m/>
    <m/>
    <m/>
    <m/>
    <m/>
    <n v="89.040311781258936"/>
    <m/>
    <m/>
    <m/>
    <m/>
    <m/>
    <m/>
    <m/>
    <m/>
    <m/>
    <m/>
    <m/>
    <m/>
    <n v="1667.5877999999998"/>
    <n v="-37.317630000000008"/>
    <m/>
    <m/>
    <m/>
    <m/>
    <n v="-37.912650000000049"/>
    <n v="3.4514400000000016"/>
    <n v="30"/>
    <n v="16.593723874403622"/>
    <n v="0"/>
    <n v="0"/>
    <n v="0"/>
    <n v="0"/>
    <n v="0"/>
    <n v="0"/>
    <n v="0"/>
    <n v="18.616474023783439"/>
    <n v="0"/>
    <n v="0"/>
    <n v="3.4513173074189609"/>
    <n v="0"/>
    <n v="0"/>
    <n v="0"/>
    <n v="0.14908686152727268"/>
    <n v="0"/>
    <n v="-4.8502171924458999"/>
    <m/>
    <n v="0"/>
    <n v="0"/>
    <n v="0"/>
    <n v="0"/>
    <n v="-0.73744047820348158"/>
    <n v="-3.5496647676661386E-2"/>
    <n v="0"/>
    <n v="0"/>
    <m/>
    <m/>
    <m/>
    <n v="1133.5424715033937"/>
    <n v="0"/>
    <n v="0"/>
    <n v="-37.912649999999985"/>
    <n v="3.4514400000000052"/>
    <n v="0"/>
    <n v="0"/>
    <n v="-51.051613581265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Fora ponta"/>
    <s v="CATIVO"/>
    <x v="0"/>
    <n v="0"/>
    <n v="0"/>
    <n v="5616.2790000000005"/>
    <n v="5616.2790000000005"/>
    <n v="5616.2790000000005"/>
    <n v="5616.2790000000005"/>
    <m/>
    <n v="69.64"/>
    <n v="144.41999999999999"/>
    <m/>
    <n v="1202220.6827400001"/>
    <n v="1202220.6827400001"/>
    <n v="1183013.00856"/>
    <n v="0"/>
    <n v="300015.15775651491"/>
    <n v="0"/>
    <n v="0"/>
    <n v="0"/>
    <n v="0"/>
    <n v="0"/>
    <n v="811113.25519760232"/>
    <n v="0"/>
    <n v="0"/>
    <n v="0"/>
    <n v="0"/>
    <n v="0"/>
    <n v="53257.801435927649"/>
    <m/>
    <n v="2795.1389567477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37.731622257699"/>
    <n v="0"/>
    <n v="0"/>
    <n v="0"/>
    <n v="0"/>
    <n v="0"/>
    <m/>
    <m/>
    <m/>
    <m/>
    <m/>
    <m/>
    <m/>
    <m/>
    <m/>
    <n v="846150.98681986006"/>
    <m/>
    <m/>
    <m/>
    <m/>
    <m/>
    <m/>
    <m/>
    <m/>
    <m/>
    <m/>
    <m/>
    <m/>
    <n v="1183013.2191999999"/>
    <n v="-19207.49354000017"/>
    <m/>
    <m/>
    <m/>
    <m/>
    <n v="-52006.743539999996"/>
    <n v="32799.069360000023"/>
    <n v="30"/>
    <n v="-19222.215205091052"/>
    <n v="0"/>
    <n v="0"/>
    <n v="0"/>
    <n v="0"/>
    <n v="0"/>
    <n v="0"/>
    <n v="0"/>
    <n v="0"/>
    <n v="0"/>
    <n v="0"/>
    <n v="32797.903411156614"/>
    <n v="0"/>
    <n v="0"/>
    <n v="0"/>
    <n v="1416.7739586658645"/>
    <n v="0"/>
    <n v="-46091.663220597053"/>
    <m/>
    <n v="0"/>
    <n v="0"/>
    <n v="0"/>
    <n v="0"/>
    <n v="-7007.904351073048"/>
    <n v="-337.3250032433707"/>
    <n v="0"/>
    <n v="0"/>
    <m/>
    <m/>
    <m/>
    <n v="0"/>
    <n v="0"/>
    <n v="0"/>
    <n v="-52006.743539999996"/>
    <n v="32799.06935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7.6340000000000003"/>
    <n v="7.6340000000000003"/>
    <n v="7.6340000000000003"/>
    <n v="7.6340000000000003"/>
    <m/>
    <n v="69.64"/>
    <n v="144.41999999999999"/>
    <m/>
    <n v="1634.1340399999999"/>
    <n v="1634.1340399999999"/>
    <n v="1608.02576"/>
    <n v="0"/>
    <n v="407.79949043009344"/>
    <n v="0"/>
    <n v="0"/>
    <n v="0"/>
    <n v="0"/>
    <n v="0"/>
    <n v="1102.51620159513"/>
    <n v="0"/>
    <n v="0"/>
    <n v="0"/>
    <n v="0"/>
    <n v="0"/>
    <n v="72.391356654801456"/>
    <m/>
    <n v="3.799328843138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62549068597113"/>
    <n v="0"/>
    <n v="0"/>
    <n v="0"/>
    <n v="0"/>
    <n v="0"/>
    <m/>
    <m/>
    <m/>
    <m/>
    <m/>
    <m/>
    <m/>
    <m/>
    <m/>
    <n v="1150.1416922811011"/>
    <m/>
    <m/>
    <m/>
    <m/>
    <m/>
    <m/>
    <m/>
    <m/>
    <m/>
    <m/>
    <m/>
    <m/>
    <n v="1607.1831999999999"/>
    <n v="-26.980839999999944"/>
    <m/>
    <m/>
    <m/>
    <m/>
    <n v="-70.690839999999994"/>
    <n v="44.582560000000029"/>
    <n v="30"/>
    <n v="-26.128045076760827"/>
    <n v="0"/>
    <n v="0"/>
    <n v="0"/>
    <n v="0"/>
    <n v="0"/>
    <n v="0"/>
    <n v="0"/>
    <n v="0"/>
    <n v="0"/>
    <n v="0"/>
    <n v="44.580975168927807"/>
    <n v="0"/>
    <n v="0"/>
    <n v="0"/>
    <n v="1.92576836023553"/>
    <n v="0"/>
    <n v="-62.650690435079525"/>
    <m/>
    <n v="0"/>
    <n v="0"/>
    <n v="0"/>
    <n v="0"/>
    <n v="-9.5255847895184047"/>
    <n v="-0.4585133813259441"/>
    <n v="0"/>
    <n v="0"/>
    <m/>
    <m/>
    <m/>
    <n v="0"/>
    <n v="0"/>
    <n v="0"/>
    <n v="-70.690839999999923"/>
    <n v="44.582560000000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"/>
    <s v="Regular"/>
    <s v="Verde"/>
    <s v="A4"/>
    <s v="Industrial"/>
    <s v="Não se aplica"/>
    <s v="Não se aplica"/>
    <s v="Não se aplica"/>
    <s v="Não se aplica"/>
    <s v="CATIVO"/>
    <x v="0"/>
    <n v="21263"/>
    <n v="21263"/>
    <n v="0"/>
    <n v="0"/>
    <n v="0"/>
    <n v="0"/>
    <n v="34.950000000000003"/>
    <m/>
    <m/>
    <n v="743141.85000000009"/>
    <m/>
    <n v="743141.85000000009"/>
    <n v="733148.24"/>
    <n v="0"/>
    <n v="0"/>
    <n v="0"/>
    <n v="0"/>
    <n v="0"/>
    <n v="269397.52175168489"/>
    <n v="473841.872346511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2.59"/>
    <n v="704.29"/>
    <n v="771292.66"/>
    <n v="69"/>
    <m/>
    <m/>
    <m/>
    <m/>
    <m/>
    <m/>
    <m/>
    <m/>
    <m/>
    <n v="0"/>
    <m/>
    <m/>
    <m/>
    <m/>
    <m/>
    <m/>
    <m/>
    <m/>
    <m/>
    <m/>
    <m/>
    <m/>
    <n v="733148.24"/>
    <n v="-9993.6400000001304"/>
    <m/>
    <m/>
    <m/>
    <m/>
    <n v="-9993.6100000001261"/>
    <n v="0"/>
    <n v="30"/>
    <n v="11274.650407847948"/>
    <n v="0"/>
    <n v="0"/>
    <n v="0"/>
    <n v="0"/>
    <m/>
    <m/>
    <m/>
    <n v="11274.650407847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3841.87234651134"/>
    <m/>
    <n v="0"/>
    <n v="0"/>
    <n v="-9993.6100000001024"/>
    <m/>
    <n v="0"/>
    <m/>
    <n v="-21340.525629861804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9"/>
    <s v="Sistema de Compensação"/>
    <s v="Verde"/>
    <s v="A4"/>
    <s v="Industrial"/>
    <s v="Não se aplica"/>
    <s v="Não se aplica"/>
    <s v="Não se aplica"/>
    <s v="Não se aplica"/>
    <s v="CATIVO"/>
    <x v="0"/>
    <n v="227"/>
    <n v="227"/>
    <n v="0"/>
    <n v="0"/>
    <n v="0"/>
    <n v="0"/>
    <n v="34.950000000000003"/>
    <m/>
    <m/>
    <n v="7933.6500000000005"/>
    <m/>
    <n v="7933.6500000000005"/>
    <n v="7826.9599999999991"/>
    <n v="0"/>
    <n v="0"/>
    <n v="0"/>
    <n v="0"/>
    <n v="0"/>
    <n v="2876.0399490961991"/>
    <n v="5058.65141431867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52.01"/>
    <n v="2"/>
    <m/>
    <m/>
    <m/>
    <m/>
    <m/>
    <m/>
    <m/>
    <m/>
    <m/>
    <n v="0"/>
    <m/>
    <m/>
    <m/>
    <m/>
    <m/>
    <m/>
    <m/>
    <m/>
    <m/>
    <m/>
    <m/>
    <m/>
    <n v="7826.9599999999991"/>
    <n v="-106.72000000000207"/>
    <m/>
    <m/>
    <m/>
    <m/>
    <n v="-106.69000000000136"/>
    <n v="0"/>
    <n v="30"/>
    <n v="120.36615917704376"/>
    <n v="0"/>
    <n v="0"/>
    <n v="0"/>
    <n v="0"/>
    <m/>
    <m/>
    <m/>
    <n v="120.366159177043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58.6514143186796"/>
    <m/>
    <n v="0"/>
    <n v="0"/>
    <n v="-106.69000000000142"/>
    <m/>
    <n v="0"/>
    <m/>
    <n v="-227.8276498132272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0"/>
    <s v="Regular"/>
    <s v="Convencional"/>
    <s v="B3"/>
    <s v="Comercial"/>
    <s v="Não se aplica"/>
    <s v="Não se aplica"/>
    <s v="Não se aplica"/>
    <s v="Não se aplica"/>
    <s v="CATIVO"/>
    <x v="0"/>
    <n v="0"/>
    <n v="0"/>
    <n v="660.53899999999999"/>
    <n v="660.53899999999999"/>
    <n v="660.53899999999999"/>
    <n v="660.53899999999999"/>
    <m/>
    <n v="522.37"/>
    <n v="144.41999999999999"/>
    <m/>
    <n v="440440.79981"/>
    <n v="440440.79981"/>
    <n v="430499.68786000001"/>
    <n v="0"/>
    <n v="40557.738912909794"/>
    <n v="0"/>
    <n v="0"/>
    <n v="0"/>
    <n v="67350.96969325222"/>
    <n v="219237.66213586825"/>
    <n v="95396.246959057578"/>
    <n v="0"/>
    <n v="0"/>
    <n v="0"/>
    <n v="0"/>
    <n v="0"/>
    <n v="6263.7299362596141"/>
    <m/>
    <n v="960.98859248578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73.203378967484"/>
    <n v="0"/>
    <n v="200.65"/>
    <n v="927.69"/>
    <n v="147878.12"/>
    <n v="1195"/>
    <m/>
    <m/>
    <m/>
    <m/>
    <m/>
    <m/>
    <m/>
    <m/>
    <m/>
    <n v="106069.45033802507"/>
    <m/>
    <m/>
    <m/>
    <m/>
    <m/>
    <m/>
    <m/>
    <m/>
    <m/>
    <m/>
    <m/>
    <m/>
    <n v="430500.33960000001"/>
    <n v="-9940.4902100000181"/>
    <m/>
    <m/>
    <m/>
    <m/>
    <n v="-13798.659709999991"/>
    <n v="3857.5477600000022"/>
    <n v="30"/>
    <n v="-63.397711158526363"/>
    <n v="0"/>
    <n v="0"/>
    <n v="0"/>
    <n v="0"/>
    <n v="0"/>
    <n v="0"/>
    <n v="0"/>
    <n v="2818.7291144461778"/>
    <n v="0"/>
    <n v="0"/>
    <n v="3857.410631007122"/>
    <n v="0"/>
    <n v="0"/>
    <n v="0"/>
    <n v="431.57807034689358"/>
    <n v="0"/>
    <n v="-6230.93065344348"/>
    <m/>
    <n v="0"/>
    <n v="0"/>
    <n v="0"/>
    <n v="0"/>
    <n v="-824.21014557030321"/>
    <n v="-115.97472794493206"/>
    <n v="0"/>
    <n v="0"/>
    <m/>
    <m/>
    <m/>
    <n v="219237.66213586825"/>
    <n v="0"/>
    <n v="0"/>
    <n v="-13798.659709999978"/>
    <n v="3857.5477600000013"/>
    <n v="0"/>
    <n v="0"/>
    <n v="-9873.8571259490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0.156"/>
    <n v="-0.156"/>
    <n v="-0.156"/>
    <n v="-0.156"/>
    <m/>
    <n v="522.37"/>
    <n v="144.41999999999999"/>
    <m/>
    <n v="-104.01924"/>
    <n v="-104.01924"/>
    <n v="-101.67143999999999"/>
    <n v="0"/>
    <n v="-9.5785521678718872"/>
    <n v="0"/>
    <n v="0"/>
    <n v="0"/>
    <n v="-15.906329939863273"/>
    <n v="-51.777526070671755"/>
    <n v="-22.529804486355815"/>
    <n v="0"/>
    <n v="0"/>
    <n v="0"/>
    <n v="0"/>
    <n v="0"/>
    <n v="-1.4793098818639019"/>
    <m/>
    <n v="-0.22695740967268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5206985917847811"/>
    <n v="0"/>
    <n v="0"/>
    <n v="0"/>
    <n v="-34.58"/>
    <n v="0"/>
    <m/>
    <m/>
    <m/>
    <m/>
    <m/>
    <m/>
    <m/>
    <m/>
    <m/>
    <n v="-25.050503078140597"/>
    <m/>
    <m/>
    <m/>
    <m/>
    <m/>
    <m/>
    <m/>
    <m/>
    <m/>
    <m/>
    <m/>
    <m/>
    <n v="-104.2784"/>
    <n v="-0.28916000000002384"/>
    <m/>
    <m/>
    <m/>
    <m/>
    <n v="3.258839999999998"/>
    <n v="-0.91104000000000052"/>
    <n v="30"/>
    <n v="1.4972685853123835E-2"/>
    <n v="0"/>
    <n v="0"/>
    <n v="0"/>
    <n v="0"/>
    <n v="0"/>
    <n v="0"/>
    <n v="0"/>
    <n v="-0.66570140726528138"/>
    <n v="0"/>
    <n v="0"/>
    <n v="-0.9110076141410417"/>
    <n v="0"/>
    <n v="0"/>
    <n v="0"/>
    <n v="-0.10192612241535359"/>
    <n v="0"/>
    <n v="1.4715636501965577"/>
    <m/>
    <n v="0"/>
    <n v="0"/>
    <n v="0"/>
    <n v="0"/>
    <n v="0.19465433942426924"/>
    <n v="2.738984005397016E-2"/>
    <n v="0"/>
    <n v="0"/>
    <m/>
    <m/>
    <m/>
    <n v="-51.777526070671755"/>
    <n v="0"/>
    <n v="0"/>
    <n v="3.2588400000000064"/>
    <n v="-0.91103999999999985"/>
    <n v="0"/>
    <n v="0"/>
    <n v="2.3319163768499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25.408000000000001"/>
    <n v="25.408000000000001"/>
    <n v="25.408000000000001"/>
    <n v="25.408000000000001"/>
    <m/>
    <n v="522.37"/>
    <n v="144.41999999999999"/>
    <m/>
    <n v="16941.800320000002"/>
    <n v="16941.800320000002"/>
    <n v="16559.409920000002"/>
    <n v="0"/>
    <n v="1560.0759838544161"/>
    <n v="0"/>
    <n v="0"/>
    <n v="0"/>
    <n v="2590.6925071285004"/>
    <n v="8433.098605151461"/>
    <n v="3669.4696948033884"/>
    <n v="0"/>
    <n v="0"/>
    <n v="0"/>
    <n v="0"/>
    <n v="0"/>
    <n v="240.93785563075653"/>
    <m/>
    <n v="36.964960672842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0.55070397479312"/>
    <n v="0"/>
    <n v="0.45"/>
    <n v="2.1"/>
    <n v="9131.6200000000008"/>
    <n v="30"/>
    <m/>
    <m/>
    <m/>
    <m/>
    <m/>
    <m/>
    <m/>
    <m/>
    <m/>
    <n v="4080.0203987781815"/>
    <m/>
    <m/>
    <m/>
    <m/>
    <m/>
    <m/>
    <m/>
    <m/>
    <m/>
    <m/>
    <m/>
    <m/>
    <n v="16560.713400000001"/>
    <n v="-381.11692000000039"/>
    <m/>
    <m/>
    <m/>
    <m/>
    <n v="-530.77311999999972"/>
    <n v="148.38272000000009"/>
    <n v="30"/>
    <n v="-2.4386282189479971"/>
    <n v="0"/>
    <n v="0"/>
    <n v="0"/>
    <n v="0"/>
    <n v="0"/>
    <n v="0"/>
    <n v="0"/>
    <n v="108.42398304997641"/>
    <n v="0"/>
    <n v="0"/>
    <n v="148.37744525702328"/>
    <n v="0"/>
    <n v="0"/>
    <n v="0"/>
    <n v="16.600890502110929"/>
    <n v="0"/>
    <n v="-239.67621297560322"/>
    <m/>
    <n v="0"/>
    <n v="0"/>
    <n v="0"/>
    <n v="0"/>
    <n v="-31.703701641614316"/>
    <n v="-4.4610324108414972"/>
    <n v="0"/>
    <n v="0"/>
    <m/>
    <m/>
    <m/>
    <n v="8433.098605151461"/>
    <n v="0"/>
    <n v="0"/>
    <n v="-530.77311999999984"/>
    <n v="148.38272000000006"/>
    <n v="0"/>
    <n v="0"/>
    <n v="-379.80340578847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"/>
    <s v="Regular"/>
    <s v="Verde"/>
    <s v="A4"/>
    <s v="Comercial"/>
    <s v="Não se aplica"/>
    <s v="Não se aplica"/>
    <s v="Não se aplica"/>
    <s v="Ponta"/>
    <s v="CATIVO"/>
    <x v="0"/>
    <n v="0"/>
    <n v="0"/>
    <n v="6.7729999999999997"/>
    <n v="6.7729999999999997"/>
    <n v="6.7729999999999997"/>
    <n v="6.7729999999999997"/>
    <m/>
    <n v="2740.31"/>
    <n v="144.41999999999999"/>
    <m/>
    <n v="19538.276289999998"/>
    <n v="19538.276289999998"/>
    <n v="19143.342659999998"/>
    <n v="0"/>
    <n v="361.8058617609409"/>
    <n v="0"/>
    <n v="0"/>
    <n v="0"/>
    <n v="5097.7852341243415"/>
    <n v="12990.665244488131"/>
    <n v="978.16901144928158"/>
    <n v="0"/>
    <n v="0"/>
    <n v="0"/>
    <n v="0"/>
    <n v="0"/>
    <n v="64.226704037591063"/>
    <m/>
    <n v="3.3708218829678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254054023589525"/>
    <n v="0"/>
    <n v="0"/>
    <n v="0"/>
    <n v="0"/>
    <n v="0"/>
    <m/>
    <m/>
    <m/>
    <m/>
    <m/>
    <m/>
    <m/>
    <m/>
    <m/>
    <n v="1020.4230654728711"/>
    <m/>
    <m/>
    <m/>
    <m/>
    <m/>
    <m/>
    <m/>
    <m/>
    <m/>
    <m/>
    <m/>
    <m/>
    <n v="19134.863399999998"/>
    <n v="-403.4428899999948"/>
    <m/>
    <m/>
    <m/>
    <m/>
    <n v="-434.48795000000058"/>
    <n v="39.554320000000018"/>
    <n v="30"/>
    <n v="190.16800643204078"/>
    <n v="0"/>
    <n v="0"/>
    <n v="0"/>
    <n v="0"/>
    <n v="0"/>
    <n v="0"/>
    <n v="0"/>
    <n v="213.34920230640546"/>
    <n v="0"/>
    <n v="0"/>
    <n v="39.5529139139569"/>
    <n v="0"/>
    <n v="0"/>
    <n v="0"/>
    <n v="1.7085707497871709"/>
    <n v="0"/>
    <n v="-55.584637977049226"/>
    <m/>
    <n v="0"/>
    <n v="0"/>
    <n v="0"/>
    <n v="0"/>
    <n v="-8.4512425700036857"/>
    <n v="-0.40679999105588394"/>
    <n v="0"/>
    <n v="0"/>
    <m/>
    <m/>
    <m/>
    <n v="12990.665244488131"/>
    <n v="0"/>
    <n v="0"/>
    <n v="-434.48794999999882"/>
    <n v="39.554319999999962"/>
    <n v="0"/>
    <n v="0"/>
    <n v="-585.0635850861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Fora ponta"/>
    <s v="CATIVO"/>
    <x v="0"/>
    <n v="0"/>
    <n v="0"/>
    <n v="376.36799999999999"/>
    <n v="376.36799999999999"/>
    <n v="376.36799999999999"/>
    <n v="376.36799999999999"/>
    <m/>
    <n v="69.64"/>
    <n v="144.41999999999999"/>
    <m/>
    <n v="80565.334080000001"/>
    <n v="80565.334080000001"/>
    <n v="79278.15552"/>
    <n v="0"/>
    <n v="20105.145220617422"/>
    <n v="0"/>
    <n v="0"/>
    <n v="0"/>
    <n v="0"/>
    <n v="0"/>
    <n v="54355.752916158752"/>
    <n v="0"/>
    <n v="0"/>
    <n v="0"/>
    <n v="0"/>
    <n v="0"/>
    <n v="3569.0057795984167"/>
    <m/>
    <n v="187.31278465212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8.0103063266415"/>
    <n v="0"/>
    <n v="0"/>
    <n v="0"/>
    <n v="0"/>
    <n v="0"/>
    <m/>
    <m/>
    <m/>
    <m/>
    <m/>
    <m/>
    <m/>
    <m/>
    <m/>
    <n v="56703.763222485395"/>
    <m/>
    <m/>
    <m/>
    <m/>
    <m/>
    <m/>
    <m/>
    <m/>
    <m/>
    <m/>
    <m/>
    <m/>
    <n v="79278.576799999995"/>
    <n v="-1286.7872799999896"/>
    <m/>
    <m/>
    <m/>
    <m/>
    <n v="-3485.1676799999991"/>
    <n v="2197.9891200000011"/>
    <n v="30"/>
    <n v="-1288.1530088354921"/>
    <n v="0"/>
    <n v="0"/>
    <n v="0"/>
    <n v="0"/>
    <n v="0"/>
    <n v="0"/>
    <n v="0"/>
    <n v="0"/>
    <n v="0"/>
    <n v="0"/>
    <n v="2197.9109853784394"/>
    <n v="0"/>
    <n v="0"/>
    <n v="0"/>
    <n v="94.943356851601493"/>
    <n v="0"/>
    <n v="-3088.7758786573213"/>
    <m/>
    <n v="0"/>
    <n v="0"/>
    <n v="0"/>
    <n v="0"/>
    <n v="-469.62605397713696"/>
    <n v="-22.60541843108237"/>
    <n v="0"/>
    <n v="0"/>
    <m/>
    <m/>
    <m/>
    <n v="0"/>
    <n v="0"/>
    <n v="0"/>
    <n v="-3485.1676800000023"/>
    <n v="2197.989120000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"/>
    <s v="Regular"/>
    <s v="Verde"/>
    <s v="A4"/>
    <s v="Comercial"/>
    <s v="Não se aplica"/>
    <s v="Não se aplica"/>
    <s v="Não se aplica"/>
    <s v="Não se aplica"/>
    <s v="CATIVO"/>
    <x v="0"/>
    <n v="1808"/>
    <n v="1808"/>
    <n v="0"/>
    <n v="0"/>
    <n v="0"/>
    <n v="0"/>
    <n v="34.950000000000003"/>
    <m/>
    <m/>
    <n v="63189.600000000006"/>
    <m/>
    <n v="63189.600000000006"/>
    <n v="62339.839999999997"/>
    <n v="0"/>
    <n v="0"/>
    <n v="0"/>
    <n v="0"/>
    <n v="0"/>
    <n v="22906.961356678094"/>
    <n v="40290.9328506086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893.24"/>
    <n v="15"/>
    <m/>
    <m/>
    <m/>
    <m/>
    <m/>
    <m/>
    <m/>
    <m/>
    <m/>
    <n v="0"/>
    <m/>
    <m/>
    <m/>
    <m/>
    <m/>
    <m/>
    <m/>
    <m/>
    <m/>
    <m/>
    <m/>
    <m/>
    <n v="62339.839999999997"/>
    <n v="-849.79000000001543"/>
    <m/>
    <m/>
    <m/>
    <m/>
    <n v="-849.76000000001079"/>
    <n v="0"/>
    <n v="30"/>
    <n v="958.68729423830518"/>
    <n v="0"/>
    <n v="0"/>
    <n v="0"/>
    <n v="0"/>
    <m/>
    <m/>
    <m/>
    <n v="958.687294238305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290.932850608689"/>
    <m/>
    <n v="0"/>
    <n v="0"/>
    <n v="-849.76000000000931"/>
    <m/>
    <n v="0"/>
    <m/>
    <n v="-1814.592030230458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Ponta"/>
    <s v="CATIVO"/>
    <x v="0"/>
    <n v="0"/>
    <n v="0"/>
    <n v="7.2999999999999995E-2"/>
    <n v="7.2999999999999995E-2"/>
    <n v="7.2999999999999995E-2"/>
    <n v="7.2999999999999995E-2"/>
    <m/>
    <n v="1585.55"/>
    <n v="144.41999999999999"/>
    <m/>
    <n v="126.28780999999999"/>
    <n v="126.28780999999999"/>
    <n v="123.28021"/>
    <n v="0"/>
    <n v="4.4822712067605623"/>
    <n v="0"/>
    <n v="0"/>
    <n v="0"/>
    <n v="25.694263675950356"/>
    <n v="83.590775411001601"/>
    <n v="10.542793125025476"/>
    <n v="0"/>
    <n v="0"/>
    <n v="0"/>
    <n v="0"/>
    <n v="0"/>
    <n v="0.69224116266708224"/>
    <m/>
    <n v="0.10620442888529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795576743608269"/>
    <n v="0"/>
    <n v="0"/>
    <n v="0"/>
    <n v="0"/>
    <n v="0"/>
    <m/>
    <m/>
    <m/>
    <m/>
    <m/>
    <m/>
    <m/>
    <m/>
    <m/>
    <n v="11.722350799386303"/>
    <m/>
    <m/>
    <m/>
    <m/>
    <m/>
    <m/>
    <m/>
    <m/>
    <m/>
    <m/>
    <m/>
    <m/>
    <n v="118.21390000000002"/>
    <n v="-8.1039099999999848"/>
    <m/>
    <m/>
    <m/>
    <m/>
    <n v="-3.433919999999997"/>
    <n v="0.4263200000000002"/>
    <n v="30"/>
    <n v="0.75681909445226125"/>
    <n v="0"/>
    <n v="0"/>
    <n v="0"/>
    <n v="0"/>
    <n v="0"/>
    <n v="0"/>
    <n v="0"/>
    <n v="1.0753396636679149"/>
    <n v="0"/>
    <n v="0"/>
    <n v="0.42630484507882294"/>
    <n v="0"/>
    <n v="0"/>
    <n v="0"/>
    <n v="4.7696198309748805E-2"/>
    <n v="0"/>
    <n v="-0.68861632348941448"/>
    <m/>
    <n v="0"/>
    <n v="0"/>
    <n v="0"/>
    <n v="0"/>
    <n v="-9.108824857674136E-2"/>
    <n v="-1.281704053807578E-2"/>
    <n v="0"/>
    <n v="0"/>
    <m/>
    <m/>
    <m/>
    <n v="83.590775411001601"/>
    <n v="0"/>
    <n v="0"/>
    <n v="-3.4339200000000005"/>
    <n v="0.42632000000000048"/>
    <n v="0"/>
    <n v="0"/>
    <n v="-3.764697020642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"/>
    <s v="Regular"/>
    <s v="Branca"/>
    <s v="B3"/>
    <s v="Comercial"/>
    <s v="Não se aplica"/>
    <s v="Não se aplica"/>
    <s v="Não se aplica"/>
    <s v="Fora ponta"/>
    <s v="CATIVO"/>
    <x v="0"/>
    <n v="0"/>
    <n v="0"/>
    <n v="7.0810000000000004"/>
    <n v="7.0810000000000004"/>
    <n v="7.0810000000000004"/>
    <n v="7.0810000000000004"/>
    <m/>
    <n v="387.88"/>
    <n v="144.41999999999999"/>
    <m/>
    <n v="3769.2163"/>
    <n v="3769.2163"/>
    <n v="3686.1561700000002"/>
    <n v="0"/>
    <n v="434.78030705577459"/>
    <n v="0"/>
    <n v="0"/>
    <n v="0"/>
    <n v="498.25452701669957"/>
    <n v="1621.6613292153434"/>
    <n v="1022.6509331274714"/>
    <n v="0"/>
    <n v="0"/>
    <n v="0"/>
    <n v="0"/>
    <n v="0"/>
    <n v="67.147392778706987"/>
    <m/>
    <n v="10.301829601873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41709441300023"/>
    <n v="0"/>
    <n v="0"/>
    <n v="0"/>
    <n v="0"/>
    <n v="0"/>
    <m/>
    <m/>
    <m/>
    <m/>
    <m/>
    <m/>
    <m/>
    <m/>
    <m/>
    <n v="1137.0680275404716"/>
    <m/>
    <m/>
    <m/>
    <m/>
    <m/>
    <m/>
    <m/>
    <m/>
    <m/>
    <m/>
    <m/>
    <m/>
    <n v="3685.6356000000001"/>
    <n v="-83.610700000000634"/>
    <m/>
    <m/>
    <m/>
    <m/>
    <n v="-124.41316999999997"/>
    <n v="41.353040000000028"/>
    <n v="30"/>
    <n v="-10.043869808480849"/>
    <n v="0"/>
    <n v="0"/>
    <n v="0"/>
    <n v="0"/>
    <n v="0"/>
    <n v="0"/>
    <n v="0"/>
    <n v="20.852625405438459"/>
    <n v="0"/>
    <n v="0"/>
    <n v="41.351569972645734"/>
    <n v="0"/>
    <n v="0"/>
    <n v="0"/>
    <n v="4.6265312360456363"/>
    <n v="0"/>
    <n v="-66.795783378473175"/>
    <m/>
    <n v="0"/>
    <n v="0"/>
    <n v="0"/>
    <n v="0"/>
    <n v="-8.8355601119439129"/>
    <n v="-1.2432529321933501"/>
    <n v="0"/>
    <n v="0"/>
    <m/>
    <m/>
    <m/>
    <n v="1621.6613292153434"/>
    <n v="0"/>
    <n v="0"/>
    <n v="-124.41316999999981"/>
    <n v="41.353040000000078"/>
    <n v="0"/>
    <n v="0"/>
    <n v="-73.035135092011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89.3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9"/>
    <s v="Regular"/>
    <s v="Branca"/>
    <s v="B3"/>
    <s v="Comercial"/>
    <s v="Não se aplica"/>
    <s v="Não se aplica"/>
    <s v="Não se aplica"/>
    <s v="Intermediário"/>
    <s v="CATIVO"/>
    <x v="0"/>
    <n v="0"/>
    <n v="0"/>
    <n v="0.08"/>
    <n v="0.08"/>
    <n v="0.08"/>
    <n v="0.08"/>
    <m/>
    <n v="986.74"/>
    <n v="144.41999999999999"/>
    <m/>
    <n v="90.492800000000003"/>
    <n v="90.492800000000003"/>
    <n v="88.375199999999992"/>
    <n v="0"/>
    <n v="4.9120780348060959"/>
    <n v="0"/>
    <n v="0"/>
    <n v="0"/>
    <n v="16.89566492912552"/>
    <n v="54.963807232267037"/>
    <n v="11.553745890438879"/>
    <n v="0"/>
    <n v="0"/>
    <n v="0"/>
    <n v="0"/>
    <n v="0"/>
    <n v="0.75862045223789831"/>
    <m/>
    <n v="0.1163884152167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926659445050159"/>
    <n v="0"/>
    <n v="0"/>
    <n v="0"/>
    <n v="0"/>
    <n v="0"/>
    <m/>
    <m/>
    <m/>
    <m/>
    <m/>
    <m/>
    <m/>
    <m/>
    <m/>
    <n v="12.846411834943895"/>
    <m/>
    <m/>
    <m/>
    <m/>
    <m/>
    <m/>
    <m/>
    <m/>
    <m/>
    <m/>
    <m/>
    <m/>
    <n v="88.375199999999992"/>
    <n v="-2.1476000000000255"/>
    <m/>
    <m/>
    <m/>
    <m/>
    <n v="-2.5848000000000049"/>
    <n v="0.46720000000000028"/>
    <n v="30"/>
    <n v="0.35804277627218539"/>
    <n v="0"/>
    <n v="0"/>
    <n v="0"/>
    <n v="0"/>
    <n v="0"/>
    <n v="0"/>
    <n v="0"/>
    <n v="0.7071064137688019"/>
    <n v="0"/>
    <n v="0"/>
    <n v="0.46718339186720215"/>
    <n v="0"/>
    <n v="0"/>
    <n v="0"/>
    <n v="5.2269806366848082E-2"/>
    <n v="0"/>
    <n v="-0.75464802574182421"/>
    <m/>
    <n v="0"/>
    <n v="0"/>
    <n v="0"/>
    <n v="0"/>
    <n v="-9.9822738166291836E-2"/>
    <n v="-1.40460718225488E-2"/>
    <n v="0"/>
    <n v="0"/>
    <m/>
    <m/>
    <m/>
    <n v="54.963807232267037"/>
    <n v="0"/>
    <n v="0"/>
    <n v="-2.5848000000000013"/>
    <n v="0.46720000000000006"/>
    <n v="0"/>
    <n v="0"/>
    <n v="-2.4754176559924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"/>
    <s v="Regular"/>
    <s v="Convencional"/>
    <s v="B2"/>
    <s v="Rural"/>
    <s v="Não se aplica"/>
    <s v="Não se aplica"/>
    <s v="Não se aplica"/>
    <s v="Não se aplica"/>
    <s v="CATIVO"/>
    <x v="0"/>
    <n v="0"/>
    <n v="0"/>
    <n v="244.33500000000001"/>
    <n v="244.33500000000001"/>
    <n v="244.33500000000001"/>
    <n v="244.33500000000001"/>
    <m/>
    <n v="522.37"/>
    <n v="144.41999999999999"/>
    <m/>
    <n v="162920.13464999999"/>
    <n v="162920.13464999999"/>
    <n v="159242.89290000001"/>
    <n v="0"/>
    <n v="15002.407332929344"/>
    <n v="0"/>
    <n v="0"/>
    <n v="0"/>
    <n v="24913.289268310851"/>
    <n v="81096.550208189641"/>
    <n v="35287.306276754796"/>
    <n v="0"/>
    <n v="0"/>
    <n v="0"/>
    <n v="0"/>
    <n v="0"/>
    <n v="2316.9691024693361"/>
    <m/>
    <n v="355.47204289983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48.0441693829139"/>
    <n v="0"/>
    <n v="4.13"/>
    <n v="19.14"/>
    <n v="29797.22"/>
    <n v="760"/>
    <m/>
    <m/>
    <m/>
    <m/>
    <m/>
    <n v="19106.997000000003"/>
    <m/>
    <m/>
    <m/>
    <n v="39235.350446137709"/>
    <m/>
    <m/>
    <m/>
    <m/>
    <m/>
    <m/>
    <m/>
    <m/>
    <m/>
    <m/>
    <m/>
    <m/>
    <n v="140138.76360000001"/>
    <n v="-3229.7143499999947"/>
    <m/>
    <m/>
    <m/>
    <m/>
    <n v="-5104.1581499999966"/>
    <n v="1426.916400000001"/>
    <n v="30"/>
    <n v="-23.450969217461534"/>
    <n v="0"/>
    <n v="0"/>
    <n v="0"/>
    <n v="0"/>
    <n v="0"/>
    <n v="0"/>
    <n v="0"/>
    <n v="1042.6548291292493"/>
    <n v="0"/>
    <n v="0"/>
    <n v="1426.8656756484052"/>
    <n v="0"/>
    <n v="0"/>
    <n v="0"/>
    <n v="159.6417892330478"/>
    <n v="0"/>
    <n v="-2304.8365671203574"/>
    <m/>
    <n v="0"/>
    <n v="0"/>
    <n v="0"/>
    <n v="0"/>
    <n v="-304.87735912326139"/>
    <n v="-42.899336984530748"/>
    <n v="0"/>
    <n v="0"/>
    <m/>
    <m/>
    <m/>
    <n v="81096.550208189641"/>
    <n v="0"/>
    <n v="0"/>
    <n v="-5104.1581499999884"/>
    <n v="1426.9164000000019"/>
    <n v="0"/>
    <n v="0"/>
    <n v="-3652.3640252411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54800000000000004"/>
    <n v="0.54800000000000004"/>
    <n v="0.54800000000000004"/>
    <n v="0.54800000000000004"/>
    <m/>
    <n v="522.37"/>
    <n v="144.41999999999999"/>
    <m/>
    <n v="365.40092000000004"/>
    <n v="365.40092000000004"/>
    <n v="357.15352000000007"/>
    <n v="0"/>
    <n v="33.647734538421759"/>
    <n v="0"/>
    <n v="0"/>
    <n v="0"/>
    <n v="55.876082096442779"/>
    <n v="181.88515568415463"/>
    <n v="79.143159349506334"/>
    <n v="0"/>
    <n v="0"/>
    <n v="0"/>
    <n v="0"/>
    <n v="0"/>
    <n v="5.1965500978296042"/>
    <m/>
    <n v="0.79726064423480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8547617198593596"/>
    <n v="0"/>
    <n v="0"/>
    <n v="0"/>
    <n v="283.93"/>
    <n v="4"/>
    <m/>
    <m/>
    <m/>
    <m/>
    <m/>
    <n v="42.853600000000014"/>
    <m/>
    <m/>
    <m/>
    <n v="87.997921069365688"/>
    <m/>
    <m/>
    <m/>
    <m/>
    <m/>
    <m/>
    <m/>
    <m/>
    <m/>
    <m/>
    <m/>
    <m/>
    <n v="315.447"/>
    <n v="-6.1329600000000255"/>
    <m/>
    <m/>
    <m/>
    <m/>
    <n v="-11.447719999999993"/>
    <n v="3.2003200000000023"/>
    <n v="30"/>
    <n v="-5.2596357996833376E-2"/>
    <n v="0"/>
    <n v="0"/>
    <n v="0"/>
    <n v="0"/>
    <n v="0"/>
    <n v="0"/>
    <n v="0"/>
    <n v="2.3384895588549739"/>
    <n v="0"/>
    <n v="0"/>
    <n v="3.2002062342903201"/>
    <n v="0"/>
    <n v="0"/>
    <n v="0"/>
    <n v="0.35804817361290908"/>
    <n v="0"/>
    <n v="-5.1693389763314919"/>
    <m/>
    <n v="0"/>
    <n v="0"/>
    <n v="0"/>
    <n v="0"/>
    <n v="-0.68378575643909922"/>
    <n v="-9.6215591984459281E-2"/>
    <n v="0"/>
    <n v="0"/>
    <m/>
    <m/>
    <m/>
    <n v="181.88515568415463"/>
    <n v="0"/>
    <n v="0"/>
    <n v="-11.447720000000004"/>
    <n v="3.2003199999999907"/>
    <n v="0"/>
    <n v="0"/>
    <n v="-8.1916036827804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"/>
    <s v="Regular"/>
    <s v="Verde"/>
    <s v="A4"/>
    <s v="Rural"/>
    <s v="Não se aplica"/>
    <s v="Não se aplica"/>
    <s v="Não se aplica"/>
    <s v="Ponta"/>
    <s v="CATIVO"/>
    <x v="0"/>
    <n v="0"/>
    <n v="0"/>
    <n v="0.28299999999999997"/>
    <n v="0.27167999999999998"/>
    <n v="0.28299999999999997"/>
    <n v="0.27167999999999998"/>
    <m/>
    <n v="2740.31"/>
    <n v="144.41999999999999"/>
    <m/>
    <n v="816.37858999999992"/>
    <n v="816.37858999999992"/>
    <n v="799.87685999999997"/>
    <n v="0"/>
    <n v="15.117534161870111"/>
    <n v="0"/>
    <n v="0"/>
    <n v="0"/>
    <n v="213.00357614900173"/>
    <n v="542.79614117675192"/>
    <n v="40.871376087427528"/>
    <n v="0"/>
    <n v="0"/>
    <n v="0"/>
    <n v="0"/>
    <n v="0"/>
    <n v="2.6836198497915653"/>
    <m/>
    <n v="0.14084491257639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655244778792021"/>
    <n v="0"/>
    <n v="0"/>
    <n v="0"/>
    <n v="0"/>
    <n v="0"/>
    <m/>
    <m/>
    <m/>
    <m/>
    <m/>
    <n v="31.995074399999986"/>
    <m/>
    <m/>
    <m/>
    <n v="42.636900565306732"/>
    <m/>
    <m/>
    <m/>
    <m/>
    <m/>
    <m/>
    <m/>
    <m/>
    <m/>
    <m/>
    <m/>
    <m/>
    <n v="763.13340000000005"/>
    <n v="-20.620046399999751"/>
    <m/>
    <m/>
    <m/>
    <m/>
    <n v="-18.154450000000026"/>
    <n v="1.6527200000000009"/>
    <n v="30"/>
    <n v="7.9458948501797977"/>
    <n v="0"/>
    <n v="0"/>
    <n v="0"/>
    <n v="0"/>
    <n v="0"/>
    <n v="0"/>
    <n v="0"/>
    <n v="8.9144875613040995"/>
    <n v="0"/>
    <n v="0"/>
    <n v="1.6526612487302259"/>
    <n v="0"/>
    <n v="0"/>
    <n v="0"/>
    <n v="7.1390155350622875E-2"/>
    <n v="0"/>
    <n v="-2.3225236302236709"/>
    <m/>
    <n v="0"/>
    <n v="0"/>
    <n v="0"/>
    <n v="0"/>
    <n v="-0.35312293626325753"/>
    <n v="-1.6997548718265934E-2"/>
    <n v="0"/>
    <n v="0"/>
    <m/>
    <m/>
    <m/>
    <n v="542.79614117675192"/>
    <n v="0"/>
    <n v="0"/>
    <n v="-18.154449999999997"/>
    <n v="1.6527200000000022"/>
    <n v="0"/>
    <n v="0"/>
    <n v="-24.446034929777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"/>
    <s v="Regular"/>
    <s v="Verde"/>
    <s v="A4"/>
    <s v="Rural"/>
    <s v="Não se aplica"/>
    <s v="Não se aplica"/>
    <s v="Não se aplica"/>
    <s v="Fora ponta"/>
    <s v="CATIVO"/>
    <x v="0"/>
    <n v="0"/>
    <n v="0"/>
    <n v="35.457000000000001"/>
    <n v="34.038719999999998"/>
    <n v="35.457000000000001"/>
    <n v="34.038719999999998"/>
    <m/>
    <n v="69.64"/>
    <n v="144.41999999999999"/>
    <m/>
    <n v="7589.9254199999996"/>
    <n v="7589.9254199999996"/>
    <n v="7468.6624800000009"/>
    <n v="0"/>
    <n v="1894.0721158213025"/>
    <n v="0"/>
    <n v="0"/>
    <n v="0"/>
    <n v="0"/>
    <n v="0"/>
    <n v="5120.7646004661419"/>
    <n v="0"/>
    <n v="0"/>
    <n v="0"/>
    <n v="0"/>
    <n v="0"/>
    <n v="336.23006718748951"/>
    <m/>
    <n v="17.646424258731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.20212513131756"/>
    <n v="0"/>
    <n v="0"/>
    <n v="0"/>
    <n v="0"/>
    <n v="0"/>
    <m/>
    <m/>
    <m/>
    <m/>
    <m/>
    <n v="298.74649920000059"/>
    <m/>
    <m/>
    <m/>
    <n v="5341.9667255974591"/>
    <m/>
    <m/>
    <m/>
    <m/>
    <m/>
    <m/>
    <m/>
    <m/>
    <m/>
    <m/>
    <m/>
    <m/>
    <n v="7170.1855999999989"/>
    <n v="-116.172803200001"/>
    <m/>
    <m/>
    <m/>
    <m/>
    <n v="-328.33181999999994"/>
    <n v="207.06888000000012"/>
    <n v="30"/>
    <n v="-121.35474119553328"/>
    <n v="0"/>
    <n v="0"/>
    <n v="0"/>
    <n v="0"/>
    <n v="0"/>
    <n v="0"/>
    <n v="0"/>
    <n v="0"/>
    <n v="0"/>
    <n v="0"/>
    <n v="207.06151906794184"/>
    <n v="0"/>
    <n v="0"/>
    <n v="0"/>
    <n v="8.944454905537242"/>
    <n v="0"/>
    <n v="-290.98841115491427"/>
    <m/>
    <n v="0"/>
    <n v="0"/>
    <n v="0"/>
    <n v="0"/>
    <n v="-44.242685339527611"/>
    <n v="-2.1296186745708656"/>
    <n v="0"/>
    <n v="0"/>
    <m/>
    <m/>
    <m/>
    <n v="0"/>
    <n v="0"/>
    <n v="0"/>
    <n v="-328.33181999999988"/>
    <n v="207.0688800000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"/>
    <s v="Regular"/>
    <s v="Verde"/>
    <s v="A4"/>
    <s v="Rural"/>
    <s v="Não se aplica"/>
    <s v="Não se aplica"/>
    <s v="Não se aplica"/>
    <s v="Não se aplica"/>
    <s v="CATIVO"/>
    <x v="0"/>
    <n v="134"/>
    <n v="128.63999999999999"/>
    <n v="0"/>
    <n v="0"/>
    <n v="0"/>
    <n v="0"/>
    <n v="34.950000000000003"/>
    <m/>
    <m/>
    <n v="4683.3"/>
    <m/>
    <n v="4683.3"/>
    <n v="4620.32"/>
    <n v="0"/>
    <n v="0"/>
    <n v="0"/>
    <n v="0"/>
    <n v="0"/>
    <n v="1697.750454532558"/>
    <n v="2986.16427100750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28.8100000000004"/>
    <n v="1"/>
    <m/>
    <m/>
    <m/>
    <m/>
    <m/>
    <n v="184.81280000000046"/>
    <m/>
    <m/>
    <m/>
    <n v="0"/>
    <m/>
    <m/>
    <m/>
    <m/>
    <m/>
    <m/>
    <m/>
    <m/>
    <m/>
    <m/>
    <m/>
    <m/>
    <n v="4435.5071999999991"/>
    <n v="-60.4908000000014"/>
    <m/>
    <m/>
    <m/>
    <m/>
    <n v="-62.9800000000008"/>
    <n v="0"/>
    <n v="30"/>
    <n v="71.053151232263644"/>
    <n v="0"/>
    <n v="0"/>
    <n v="0"/>
    <n v="0"/>
    <m/>
    <m/>
    <m/>
    <n v="71.0531512322636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86.1642710075021"/>
    <m/>
    <n v="0"/>
    <n v="0"/>
    <n v="-62.980000000000473"/>
    <m/>
    <n v="0"/>
    <m/>
    <n v="-134.4885686122129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5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66.316999999999993"/>
    <n v="66.316999999999993"/>
    <n v="66.316999999999993"/>
    <n v="66.316999999999993"/>
    <m/>
    <n v="522.37"/>
    <n v="144.41999999999999"/>
    <m/>
    <n v="44219.512429999995"/>
    <n v="44219.512429999995"/>
    <n v="43221.441579999999"/>
    <n v="0"/>
    <n v="4071.928487927948"/>
    <n v="0"/>
    <n v="0"/>
    <n v="0"/>
    <n v="6761.9236065507212"/>
    <n v="22011.091002748322"/>
    <n v="9577.6220777029375"/>
    <n v="0"/>
    <n v="0"/>
    <n v="0"/>
    <n v="0"/>
    <n v="0"/>
    <n v="628.86790663825877"/>
    <m/>
    <n v="96.481631649122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1.5715930217393"/>
    <n v="0"/>
    <n v="300.85000000000002"/>
    <n v="1391.57"/>
    <n v="12574.75"/>
    <n v="125"/>
    <m/>
    <m/>
    <m/>
    <m/>
    <m/>
    <m/>
    <m/>
    <m/>
    <m/>
    <n v="10649.193670724677"/>
    <m/>
    <m/>
    <m/>
    <m/>
    <m/>
    <m/>
    <m/>
    <m/>
    <m/>
    <m/>
    <m/>
    <m/>
    <n v="43223.396799999995"/>
    <n v="-996.14563000000635"/>
    <m/>
    <m/>
    <m/>
    <m/>
    <n v="-1385.3621299999988"/>
    <n v="387.2912800000002"/>
    <n v="30"/>
    <n v="-6.3650231264182366"/>
    <n v="0"/>
    <n v="0"/>
    <n v="0"/>
    <n v="0"/>
    <n v="0"/>
    <n v="0"/>
    <n v="0"/>
    <n v="282.99564247187027"/>
    <n v="0"/>
    <n v="0"/>
    <n v="387.27751248071581"/>
    <n v="0"/>
    <n v="0"/>
    <n v="0"/>
    <n v="43.329709360378047"/>
    <n v="0"/>
    <n v="-625.57491403900667"/>
    <m/>
    <n v="0"/>
    <n v="0"/>
    <n v="0"/>
    <n v="0"/>
    <n v="-82.749306587174715"/>
    <n v="-11.643666813199602"/>
    <n v="0"/>
    <n v="0"/>
    <m/>
    <m/>
    <m/>
    <n v="22011.091002748322"/>
    <n v="0"/>
    <n v="0"/>
    <n v="-1385.3621299999941"/>
    <n v="387.29127999999946"/>
    <n v="0"/>
    <n v="0"/>
    <n v="-991.31857925355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"/>
    <s v="Sistema de Compensação"/>
    <s v="Convencional"/>
    <s v="B3"/>
    <s v="Poder público"/>
    <s v="Não se aplica"/>
    <s v="Não se aplica"/>
    <s v="Não se aplica"/>
    <s v="Não se aplica"/>
    <s v="CATIVO"/>
    <x v="0"/>
    <n v="0"/>
    <n v="0"/>
    <n v="1.5489999999999999"/>
    <n v="1.5489999999999999"/>
    <n v="1.5489999999999999"/>
    <n v="1.5489999999999999"/>
    <m/>
    <n v="522.37"/>
    <n v="144.41999999999999"/>
    <m/>
    <n v="1032.85771"/>
    <n v="1032.85771"/>
    <n v="1009.54526"/>
    <n v="0"/>
    <n v="95.110110948933027"/>
    <n v="0"/>
    <n v="0"/>
    <n v="0"/>
    <n v="157.94169921056545"/>
    <n v="514.12428130429828"/>
    <n v="223.70940480362279"/>
    <n v="0"/>
    <n v="0"/>
    <n v="0"/>
    <n v="0"/>
    <n v="0"/>
    <n v="14.688788506456307"/>
    <m/>
    <n v="2.2535706896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29244350478372"/>
    <n v="0"/>
    <n v="4.99"/>
    <n v="23.03"/>
    <n v="378.26"/>
    <n v="2"/>
    <m/>
    <m/>
    <m/>
    <m/>
    <m/>
    <m/>
    <m/>
    <m/>
    <m/>
    <n v="248.73864915410115"/>
    <m/>
    <m/>
    <m/>
    <m/>
    <m/>
    <m/>
    <m/>
    <m/>
    <m/>
    <m/>
    <m/>
    <m/>
    <n v="1010.1970000000001"/>
    <n v="-22.690709999999854"/>
    <m/>
    <m/>
    <m/>
    <m/>
    <n v="-32.358609999999977"/>
    <n v="9.0461600000000058"/>
    <n v="30"/>
    <n v="-0.1486710922210932"/>
    <n v="0"/>
    <n v="0"/>
    <n v="0"/>
    <n v="0"/>
    <n v="0"/>
    <n v="0"/>
    <n v="0"/>
    <n v="6.6100735888071824"/>
    <n v="0"/>
    <n v="0"/>
    <n v="9.0458384250287054"/>
    <n v="0"/>
    <n v="0"/>
    <n v="0"/>
    <n v="1.0120741257780921"/>
    <n v="0"/>
    <n v="-14.611872398426058"/>
    <m/>
    <n v="0"/>
    <n v="0"/>
    <n v="0"/>
    <n v="0"/>
    <n v="-1.9328177677448277"/>
    <n v="-0.27196706566410134"/>
    <n v="0"/>
    <n v="0"/>
    <m/>
    <m/>
    <m/>
    <n v="514.12428130429828"/>
    <n v="0"/>
    <n v="0"/>
    <n v="-32.358609999999999"/>
    <n v="9.0461600000000146"/>
    <n v="0"/>
    <n v="0"/>
    <n v="-23.154733767567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"/>
    <s v="Regular"/>
    <s v="Verde"/>
    <s v="A4"/>
    <s v="Poder público"/>
    <s v="Não se aplica"/>
    <s v="Não se aplica"/>
    <s v="Não se aplica"/>
    <s v="Ponta"/>
    <s v="CATIVO"/>
    <x v="0"/>
    <n v="0"/>
    <n v="0"/>
    <n v="8.6999999999999994E-2"/>
    <n v="8.6999999999999994E-2"/>
    <n v="8.6999999999999994E-2"/>
    <n v="8.6999999999999994E-2"/>
    <m/>
    <n v="2740.31"/>
    <n v="144.41999999999999"/>
    <m/>
    <n v="250.97150999999997"/>
    <n v="250.97150999999997"/>
    <n v="245.89853999999997"/>
    <n v="0"/>
    <n v="4.6474398306809181"/>
    <n v="0"/>
    <n v="0"/>
    <n v="0"/>
    <n v="65.481664752519961"/>
    <n v="166.86665824161634"/>
    <n v="12.564698655852281"/>
    <n v="0"/>
    <n v="0"/>
    <n v="0"/>
    <n v="0"/>
    <n v="0"/>
    <n v="0.82499974180871438"/>
    <m/>
    <n v="4.32986127001623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275840839395961"/>
    <n v="0"/>
    <n v="0"/>
    <n v="0"/>
    <n v="0"/>
    <n v="0"/>
    <m/>
    <m/>
    <m/>
    <m/>
    <m/>
    <m/>
    <m/>
    <m/>
    <m/>
    <n v="13.10745706424624"/>
    <m/>
    <m/>
    <m/>
    <m/>
    <m/>
    <m/>
    <m/>
    <m/>
    <m/>
    <m/>
    <m/>
    <m/>
    <n v="254.37779999999998"/>
    <n v="3.37629000000004"/>
    <m/>
    <m/>
    <m/>
    <m/>
    <n v="-5.5810500000000074"/>
    <n v="0.50808000000000031"/>
    <n v="30"/>
    <n v="2.4427309256736436"/>
    <n v="0"/>
    <n v="0"/>
    <n v="0"/>
    <n v="0"/>
    <n v="0"/>
    <n v="0"/>
    <n v="0"/>
    <n v="2.7404961760899624"/>
    <n v="0"/>
    <n v="0"/>
    <n v="0.50806193865558136"/>
    <n v="0"/>
    <n v="0"/>
    <n v="0"/>
    <n v="2.1946796874573127E-2"/>
    <n v="0"/>
    <n v="-0.71399136335498037"/>
    <m/>
    <n v="0"/>
    <n v="0"/>
    <n v="0"/>
    <n v="0"/>
    <n v="-0.10855722775584242"/>
    <n v="-5.225394835650661E-3"/>
    <n v="0"/>
    <n v="0"/>
    <m/>
    <m/>
    <m/>
    <n v="166.86665824161634"/>
    <n v="0"/>
    <n v="0"/>
    <n v="-5.5810500000000047"/>
    <n v="0.50808000000000142"/>
    <n v="0"/>
    <n v="0"/>
    <n v="-7.5152121515569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"/>
    <s v="Regular"/>
    <s v="Verde"/>
    <s v="A4"/>
    <s v="Poder público"/>
    <s v="Não se aplica"/>
    <s v="Não se aplica"/>
    <s v="Não se aplica"/>
    <s v="Fora ponta"/>
    <s v="CATIVO"/>
    <x v="0"/>
    <n v="0"/>
    <n v="0"/>
    <n v="1.8740000000000001"/>
    <n v="1.8740000000000001"/>
    <n v="1.8740000000000001"/>
    <n v="1.8740000000000001"/>
    <m/>
    <n v="69.64"/>
    <n v="144.41999999999999"/>
    <m/>
    <n v="401.14843999999999"/>
    <n v="401.14843999999999"/>
    <n v="394.73936000000003"/>
    <n v="0"/>
    <n v="100.10692232983955"/>
    <n v="0"/>
    <n v="0"/>
    <n v="0"/>
    <n v="0"/>
    <n v="0"/>
    <n v="270.64649748353077"/>
    <n v="0"/>
    <n v="0"/>
    <n v="0"/>
    <n v="0"/>
    <n v="0"/>
    <n v="17.77068409367277"/>
    <m/>
    <n v="0.9326620712655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691140888853798"/>
    <n v="0"/>
    <n v="0"/>
    <n v="0"/>
    <n v="0"/>
    <n v="0"/>
    <m/>
    <m/>
    <m/>
    <m/>
    <m/>
    <m/>
    <m/>
    <m/>
    <m/>
    <n v="282.33763837238456"/>
    <m/>
    <m/>
    <m/>
    <m/>
    <m/>
    <m/>
    <m/>
    <m/>
    <m/>
    <m/>
    <m/>
    <m/>
    <n v="393.89679999999998"/>
    <n v="-7.2816399999999817"/>
    <m/>
    <m/>
    <m/>
    <m/>
    <n v="-17.353239999999996"/>
    <n v="10.944160000000007"/>
    <n v="30"/>
    <n v="-6.4139319457491411"/>
    <n v="0"/>
    <n v="0"/>
    <n v="0"/>
    <n v="0"/>
    <n v="0"/>
    <n v="0"/>
    <n v="0"/>
    <n v="0"/>
    <n v="0"/>
    <n v="0"/>
    <n v="10.943770954489196"/>
    <n v="0"/>
    <n v="0"/>
    <n v="0"/>
    <n v="0.47273904991896565"/>
    <n v="0"/>
    <n v="-15.37953810261186"/>
    <m/>
    <n v="0"/>
    <n v="0"/>
    <n v="0"/>
    <n v="0"/>
    <n v="-2.3383476415453881"/>
    <n v="-0.11255620600010741"/>
    <n v="0"/>
    <n v="0"/>
    <m/>
    <m/>
    <m/>
    <n v="0"/>
    <n v="0"/>
    <n v="0"/>
    <n v="-17.353239999999985"/>
    <n v="10.94416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"/>
    <s v="Regular"/>
    <s v="Verde"/>
    <s v="A4"/>
    <s v="Poder público"/>
    <s v="Não se aplica"/>
    <s v="Não se aplica"/>
    <s v="Não se aplica"/>
    <s v="Não se aplica"/>
    <s v="CATIVO"/>
    <x v="0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49"/>
    <n v="94.62"/>
    <n v="578.77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0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432.84500000000003"/>
    <n v="432.84500000000003"/>
    <n v="432.84500000000003"/>
    <n v="432.84500000000003"/>
    <m/>
    <n v="287.3"/>
    <n v="79.430000000000007"/>
    <m/>
    <n v="158737.24685000003"/>
    <n v="158737.24685000003"/>
    <n v="155157.61869999999"/>
    <n v="0"/>
    <n v="14617.407866707554"/>
    <n v="0"/>
    <n v="0"/>
    <n v="0"/>
    <n v="24273.951670199138"/>
    <n v="79015.408972006073"/>
    <n v="34381.745337135828"/>
    <n v="0"/>
    <n v="0"/>
    <n v="0"/>
    <n v="0"/>
    <n v="0"/>
    <n v="2257.5098538362772"/>
    <m/>
    <n v="346.34973714342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6.7274364012633"/>
    <n v="0"/>
    <n v="1313.42"/>
    <n v="6062.09"/>
    <n v="67356.44"/>
    <n v="6"/>
    <m/>
    <m/>
    <m/>
    <m/>
    <m/>
    <m/>
    <m/>
    <m/>
    <m/>
    <n v="38228.472773537091"/>
    <m/>
    <m/>
    <m/>
    <m/>
    <m/>
    <m/>
    <m/>
    <m/>
    <m/>
    <m/>
    <m/>
    <m/>
    <n v="155159.41100000002"/>
    <n v="-3577.865850000002"/>
    <m/>
    <m/>
    <m/>
    <m/>
    <n v="-4969.060600000008"/>
    <n v="1389.4324499999973"/>
    <n v="30"/>
    <n v="-22.849158426222857"/>
    <n v="0"/>
    <n v="0"/>
    <n v="0"/>
    <n v="0"/>
    <n v="0"/>
    <n v="0"/>
    <n v="0"/>
    <n v="1015.897686507953"/>
    <n v="0"/>
    <n v="0"/>
    <n v="1390.2487173625414"/>
    <n v="0"/>
    <n v="0"/>
    <n v="0"/>
    <n v="155.54497981590112"/>
    <n v="0"/>
    <n v="-2245.6886698277449"/>
    <m/>
    <n v="0"/>
    <n v="0"/>
    <n v="0"/>
    <n v="0"/>
    <n v="-297.05344007341887"/>
    <n v="-41.798432211465354"/>
    <n v="0"/>
    <n v="0"/>
    <m/>
    <m/>
    <m/>
    <n v="79015.408972006073"/>
    <n v="0"/>
    <n v="0"/>
    <n v="-4969.0606000000116"/>
    <n v="1389.432449999993"/>
    <n v="0"/>
    <n v="0"/>
    <n v="-3558.6351876645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7.172999999999998"/>
    <n v="16.142619999999997"/>
    <n v="17.172999999999998"/>
    <n v="16.142619999999997"/>
    <m/>
    <n v="522.37"/>
    <n v="144.41999999999999"/>
    <m/>
    <n v="11450.784669999999"/>
    <n v="11450.784669999999"/>
    <n v="11192.33102"/>
    <n v="0"/>
    <n v="1054.4389511465633"/>
    <n v="0"/>
    <n v="0"/>
    <n v="0"/>
    <n v="1751.0218208799483"/>
    <n v="5699.8426616131146"/>
    <n v="2480.1559772063356"/>
    <n v="0"/>
    <n v="0"/>
    <n v="0"/>
    <n v="0"/>
    <n v="0"/>
    <n v="162.84736282851784"/>
    <m/>
    <n v="24.984228181467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.48690331230796"/>
    <n v="0"/>
    <n v="71.91"/>
    <n v="332.77"/>
    <n v="3987.3"/>
    <n v="33"/>
    <m/>
    <m/>
    <m/>
    <m/>
    <n v="671.53986120000059"/>
    <m/>
    <m/>
    <m/>
    <m/>
    <n v="2757.6428805186433"/>
    <m/>
    <m/>
    <m/>
    <m/>
    <m/>
    <m/>
    <m/>
    <m/>
    <m/>
    <m/>
    <m/>
    <m/>
    <n v="10519.083600000002"/>
    <n v="-244.6839897999962"/>
    <m/>
    <m/>
    <m/>
    <m/>
    <n v="-358.74396999999971"/>
    <n v="100.29032000000005"/>
    <n v="30"/>
    <n v="-1.6482431676631677"/>
    <n v="0"/>
    <n v="0"/>
    <n v="0"/>
    <n v="0"/>
    <n v="0"/>
    <n v="0"/>
    <n v="0"/>
    <n v="73.282629916453288"/>
    <n v="0"/>
    <n v="0"/>
    <n v="100.28675485669328"/>
    <n v="0"/>
    <n v="0"/>
    <n v="0"/>
    <n v="11.220367309223491"/>
    <n v="0"/>
    <n v="-161.99463182580416"/>
    <m/>
    <n v="0"/>
    <n v="0"/>
    <n v="0"/>
    <n v="0"/>
    <n v="-21.428198531621632"/>
    <n v="-3.0151648926078813"/>
    <n v="0"/>
    <n v="0"/>
    <m/>
    <m/>
    <m/>
    <n v="5699.8426616131146"/>
    <n v="0"/>
    <n v="0"/>
    <n v="-358.74396999999954"/>
    <n v="100.29032000000007"/>
    <n v="0"/>
    <n v="0"/>
    <n v="-256.70512781822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5.7640000000000002"/>
    <n v="5.7640000000000002"/>
    <n v="5.7640000000000002"/>
    <n v="5.7640000000000002"/>
    <m/>
    <n v="522.37"/>
    <n v="144.41999999999999"/>
    <m/>
    <n v="3843.3775599999999"/>
    <n v="3843.3775599999999"/>
    <n v="3756.6293599999999"/>
    <n v="0"/>
    <n v="353.9152224077792"/>
    <n v="0"/>
    <n v="0"/>
    <n v="0"/>
    <n v="587.71849854725576"/>
    <n v="1913.1132068676409"/>
    <n v="832.44739140612126"/>
    <n v="0"/>
    <n v="0"/>
    <n v="0"/>
    <n v="0"/>
    <n v="0"/>
    <n v="54.658603583740579"/>
    <m/>
    <n v="8.38578531636749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136581301586403"/>
    <n v="0"/>
    <n v="0"/>
    <n v="0"/>
    <n v="0"/>
    <n v="3"/>
    <m/>
    <m/>
    <m/>
    <m/>
    <m/>
    <m/>
    <m/>
    <m/>
    <m/>
    <n v="925.58397270770763"/>
    <m/>
    <m/>
    <m/>
    <m/>
    <m/>
    <m/>
    <m/>
    <m/>
    <m/>
    <m/>
    <m/>
    <m/>
    <n v="3754.0223999999998"/>
    <n v="-89.385160000000724"/>
    <m/>
    <m/>
    <m/>
    <m/>
    <n v="-120.40995999999993"/>
    <n v="33.661760000000022"/>
    <n v="30"/>
    <n v="-0.55322154652139943"/>
    <n v="0"/>
    <n v="0"/>
    <n v="0"/>
    <n v="0"/>
    <n v="0"/>
    <n v="0"/>
    <n v="0"/>
    <n v="24.596813535109618"/>
    <n v="0"/>
    <n v="0"/>
    <n v="33.660563384031889"/>
    <n v="0"/>
    <n v="0"/>
    <n v="0"/>
    <n v="3.7660395487313991"/>
    <n v="0"/>
    <n v="-54.372390254698416"/>
    <m/>
    <n v="0"/>
    <n v="0"/>
    <n v="0"/>
    <n v="0"/>
    <n v="-7.192228284881331"/>
    <n v="-1.0120194748146405"/>
    <n v="0"/>
    <n v="0"/>
    <m/>
    <m/>
    <m/>
    <n v="1913.1132068676409"/>
    <n v="0"/>
    <n v="0"/>
    <n v="-120.40995999999996"/>
    <n v="33.661759999999958"/>
    <n v="0"/>
    <n v="0"/>
    <n v="-86.16132048822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5.2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4"/>
    <s v="Regular"/>
    <s v="Convencional"/>
    <s v="B2"/>
    <s v="Rural"/>
    <s v="Agropecuária rural"/>
    <s v="IRRIG./AQUIC."/>
    <s v="Não se aplica"/>
    <s v="Não se aplica"/>
    <s v="CATIVO"/>
    <x v="0"/>
    <n v="0"/>
    <n v="0"/>
    <n v="0.94"/>
    <n v="0.94"/>
    <n v="0.94"/>
    <n v="0.94"/>
    <m/>
    <n v="522.37"/>
    <n v="144.41999999999999"/>
    <m/>
    <n v="626.7826"/>
    <n v="626.7826"/>
    <n v="612.63559999999995"/>
    <n v="0"/>
    <n v="57.716916908971626"/>
    <n v="0"/>
    <n v="0"/>
    <n v="0"/>
    <n v="95.845834253022275"/>
    <n v="311.99278529763745"/>
    <n v="135.75651421265681"/>
    <n v="0"/>
    <n v="0"/>
    <n v="0"/>
    <n v="0"/>
    <n v="0"/>
    <n v="8.913790313795305"/>
    <m/>
    <n v="1.3675638787969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188824847933937"/>
    <n v="0"/>
    <n v="0"/>
    <n v="0"/>
    <n v="0"/>
    <n v="0"/>
    <m/>
    <m/>
    <m/>
    <m/>
    <m/>
    <n v="73.50800000000001"/>
    <m/>
    <m/>
    <m/>
    <n v="150.94533906059075"/>
    <m/>
    <m/>
    <m/>
    <m/>
    <m/>
    <m/>
    <m/>
    <m/>
    <m/>
    <m/>
    <m/>
    <m/>
    <n v="539.12759999999992"/>
    <n v="-12.466200000000072"/>
    <m/>
    <m/>
    <m/>
    <m/>
    <n v="-19.636599999999987"/>
    <n v="5.4896000000000029"/>
    <n v="30"/>
    <n v="-9.022003014058555E-2"/>
    <n v="0"/>
    <n v="0"/>
    <n v="0"/>
    <n v="0"/>
    <n v="0"/>
    <n v="0"/>
    <n v="0"/>
    <n v="4.0112777104446593"/>
    <n v="0"/>
    <n v="0"/>
    <n v="5.4894048544396412"/>
    <n v="0"/>
    <n v="0"/>
    <n v="0"/>
    <n v="0.61417022481046502"/>
    <n v="0"/>
    <n v="-8.8671143024664332"/>
    <m/>
    <n v="0"/>
    <n v="0"/>
    <n v="0"/>
    <n v="0"/>
    <n v="-1.1729171734539294"/>
    <n v="-0.16504134391494829"/>
    <n v="0"/>
    <n v="0"/>
    <m/>
    <m/>
    <m/>
    <n v="311.99278529763745"/>
    <n v="0"/>
    <n v="0"/>
    <n v="-19.636599999999987"/>
    <n v="5.4895999999999958"/>
    <n v="0"/>
    <n v="0"/>
    <n v="-14.051290988710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66600000000000004"/>
    <n v="0.26640000000000003"/>
    <n v="0.66600000000000004"/>
    <n v="0.26640000000000003"/>
    <m/>
    <n v="522.37"/>
    <n v="144.41999999999999"/>
    <m/>
    <n v="444.08214000000004"/>
    <n v="444.08214000000004"/>
    <n v="434.05884000000003"/>
    <n v="0"/>
    <n v="40.893049639760747"/>
    <n v="0"/>
    <n v="0"/>
    <n v="0"/>
    <n v="67.907793204800896"/>
    <n v="221.05020745556018"/>
    <n v="96.184934537903672"/>
    <n v="0"/>
    <n v="0"/>
    <n v="0"/>
    <n v="0"/>
    <n v="0"/>
    <n v="6.3155152648805037"/>
    <m/>
    <n v="0.9689335566795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6144398800426"/>
    <n v="0"/>
    <n v="0"/>
    <n v="0"/>
    <n v="0"/>
    <n v="0"/>
    <m/>
    <m/>
    <m/>
    <m/>
    <m/>
    <m/>
    <n v="281.26778399999995"/>
    <m/>
    <m/>
    <n v="106.94637852590793"/>
    <m/>
    <m/>
    <m/>
    <m/>
    <m/>
    <m/>
    <m/>
    <m/>
    <m/>
    <m/>
    <m/>
    <m/>
    <n v="154.85580000000002"/>
    <n v="-1.4897280000000137"/>
    <m/>
    <m/>
    <m/>
    <m/>
    <n v="-13.912739999999992"/>
    <n v="3.8894400000000027"/>
    <n v="30"/>
    <n v="-6.3921851142168862E-2"/>
    <n v="0"/>
    <n v="0"/>
    <n v="0"/>
    <n v="0"/>
    <n v="0"/>
    <n v="0"/>
    <n v="0"/>
    <n v="2.8420329310171724"/>
    <n v="0"/>
    <n v="0"/>
    <n v="3.8893017372944598"/>
    <n v="0"/>
    <n v="0"/>
    <n v="0"/>
    <n v="0.43514613800400959"/>
    <n v="0"/>
    <n v="-6.2824448143006819"/>
    <m/>
    <n v="0"/>
    <n v="0"/>
    <n v="0"/>
    <n v="0"/>
    <n v="-0.83102429523437937"/>
    <n v="-0.11693354792271871"/>
    <n v="0"/>
    <n v="0"/>
    <m/>
    <m/>
    <m/>
    <n v="221.05020745556018"/>
    <n v="0"/>
    <n v="0"/>
    <n v="-13.912740000000042"/>
    <n v="3.8894400000000076"/>
    <n v="0"/>
    <n v="0"/>
    <n v="-9.9554891473207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"/>
    <s v="Não se aplica"/>
    <s v="Não se aplica"/>
    <s v="Não se aplica"/>
    <s v="CATIVO"/>
    <x v="1"/>
    <n v="0"/>
    <n v="0"/>
    <n v="2341.1759999999999"/>
    <n v="2341.1759999999999"/>
    <n v="2341.1759999999999"/>
    <n v="2341.1759999999999"/>
    <m/>
    <n v="522.37"/>
    <n v="144.41999999999999"/>
    <m/>
    <n v="1561072.74504"/>
    <n v="1561072.74504"/>
    <n v="1525838.0462400001"/>
    <n v="0"/>
    <n v="143750.49006518995"/>
    <n v="0"/>
    <n v="0"/>
    <n v="0"/>
    <n v="238714.85835441883"/>
    <n v="777053.21394891676"/>
    <n v="338116.90735992667"/>
    <n v="0"/>
    <n v="0"/>
    <n v="0"/>
    <n v="0"/>
    <n v="0"/>
    <n v="22200.799948606422"/>
    <m/>
    <n v="3406.0720547938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29.481066155939"/>
    <n v="0"/>
    <n v="510.7"/>
    <n v="2372.96"/>
    <n v="341585.94"/>
    <n v="11957"/>
    <m/>
    <m/>
    <m/>
    <m/>
    <m/>
    <m/>
    <m/>
    <m/>
    <m/>
    <n v="375946.38842608262"/>
    <m/>
    <m/>
    <m/>
    <m/>
    <m/>
    <m/>
    <m/>
    <m/>
    <m/>
    <m/>
    <m/>
    <m/>
    <n v="1525840.6532000001"/>
    <n v="-35232.12183999992"/>
    <m/>
    <m/>
    <m/>
    <m/>
    <n v="-48907.166639999967"/>
    <n v="13672.467840000008"/>
    <n v="31"/>
    <n v="-224.7031588134123"/>
    <n v="0"/>
    <n v="0"/>
    <n v="0"/>
    <n v="0"/>
    <n v="0"/>
    <n v="0"/>
    <n v="0"/>
    <n v="9990.539473434008"/>
    <n v="0"/>
    <n v="0"/>
    <n v="13671.981807976088"/>
    <n v="0"/>
    <n v="0"/>
    <n v="0"/>
    <n v="1529.6602023839005"/>
    <n v="0"/>
    <n v="-22084.54807892676"/>
    <m/>
    <n v="0"/>
    <n v="0"/>
    <n v="0"/>
    <n v="0"/>
    <n v="-2921.2824856150801"/>
    <n v="-411.05407806534367"/>
    <n v="0"/>
    <n v="0"/>
    <m/>
    <m/>
    <m/>
    <n v="777053.21394891676"/>
    <n v="0"/>
    <n v="0"/>
    <n v="-48907.166639999952"/>
    <n v="13672.467839999998"/>
    <n v="0"/>
    <n v="0"/>
    <n v="-34996.324714666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8.765000000000001"/>
    <n v="-18.765000000000001"/>
    <n v="-18.765000000000001"/>
    <n v="-18.765000000000001"/>
    <m/>
    <n v="522.37"/>
    <n v="144.41999999999999"/>
    <m/>
    <n v="-12512.314350000001"/>
    <n v="-12512.314350000001"/>
    <n v="-12229.901100000001"/>
    <n v="0"/>
    <n v="-1152.1893040392049"/>
    <n v="0"/>
    <n v="0"/>
    <n v="0"/>
    <n v="-1913.3479571893224"/>
    <n v="-6228.2389533086889"/>
    <n v="-2710.0755204260695"/>
    <n v="0"/>
    <n v="0"/>
    <n v="0"/>
    <n v="0"/>
    <n v="0"/>
    <n v="-177.94390982805203"/>
    <m/>
    <n v="-27.300357644281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03.21095560795783"/>
    <n v="0"/>
    <n v="0"/>
    <n v="0"/>
    <n v="-4049.76"/>
    <n v="0"/>
    <m/>
    <m/>
    <m/>
    <m/>
    <m/>
    <m/>
    <m/>
    <m/>
    <m/>
    <n v="-3013.2864760340271"/>
    <m/>
    <m/>
    <m/>
    <m/>
    <m/>
    <m/>
    <m/>
    <m/>
    <m/>
    <m/>
    <m/>
    <m/>
    <n v="-12233.159799999999"/>
    <n v="279.12455000000045"/>
    <m/>
    <m/>
    <m/>
    <m/>
    <n v="392.00084999999973"/>
    <n v="-109.58760000000007"/>
    <n v="31"/>
    <n v="1.8010413463689474"/>
    <n v="0"/>
    <n v="0"/>
    <n v="0"/>
    <n v="0"/>
    <n v="0"/>
    <n v="0"/>
    <n v="0"/>
    <n v="-80.076198123929998"/>
    <n v="0"/>
    <n v="0"/>
    <n v="-109.58370435485085"/>
    <n v="0"/>
    <n v="0"/>
    <n v="0"/>
    <n v="-12.260536455923784"/>
    <n v="0"/>
    <n v="177.01212753806658"/>
    <m/>
    <n v="0"/>
    <n v="0"/>
    <n v="0"/>
    <n v="0"/>
    <n v="23.414671021130829"/>
    <n v="3.2946817218766"/>
    <n v="0"/>
    <n v="0"/>
    <m/>
    <m/>
    <m/>
    <n v="-6228.2389533086889"/>
    <n v="0"/>
    <n v="0"/>
    <n v="392.00084999999854"/>
    <n v="-109.58759999999984"/>
    <n v="0"/>
    <n v="0"/>
    <n v="280.5026334076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6.1310000000000002"/>
    <n v="6.1310000000000002"/>
    <n v="6.1310000000000002"/>
    <n v="6.1310000000000002"/>
    <m/>
    <n v="522.37"/>
    <n v="144.41999999999999"/>
    <m/>
    <n v="4088.0894899999998"/>
    <n v="4088.0894899999998"/>
    <n v="3995.8179400000004"/>
    <n v="0"/>
    <n v="376.44938039245216"/>
    <n v="0"/>
    <n v="0"/>
    <n v="0"/>
    <n v="625.13915936731871"/>
    <n v="2034.9231560210803"/>
    <n v="885.45020067850965"/>
    <n v="0"/>
    <n v="0"/>
    <n v="0"/>
    <n v="0"/>
    <n v="0"/>
    <n v="58.13877490838194"/>
    <m/>
    <n v="8.9197171711743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066686322003164"/>
    <n v="0"/>
    <n v="1.18"/>
    <n v="5.51"/>
    <n v="3505.85"/>
    <n v="58"/>
    <m/>
    <m/>
    <m/>
    <m/>
    <m/>
    <m/>
    <m/>
    <m/>
    <m/>
    <n v="984.51688700051284"/>
    <m/>
    <m/>
    <m/>
    <m/>
    <m/>
    <m/>
    <m/>
    <m/>
    <m/>
    <m/>
    <m/>
    <m/>
    <n v="3995.1661999999997"/>
    <n v="-92.953290000000834"/>
    <m/>
    <m/>
    <m/>
    <m/>
    <n v="-128.07658999999992"/>
    <n v="35.80504000000002"/>
    <n v="31"/>
    <n v="-0.5884457497782023"/>
    <n v="0"/>
    <n v="0"/>
    <n v="0"/>
    <n v="0"/>
    <n v="0"/>
    <n v="0"/>
    <n v="0"/>
    <n v="26.162918768868394"/>
    <n v="0"/>
    <n v="0"/>
    <n v="35.803767194222701"/>
    <n v="0"/>
    <n v="0"/>
    <n v="0"/>
    <n v="4.0058272854393238"/>
    <n v="0"/>
    <n v="-57.834338072789023"/>
    <m/>
    <n v="0"/>
    <n v="0"/>
    <n v="0"/>
    <n v="0"/>
    <n v="-7.6501650962191974"/>
    <n v="-1.0764558293005839"/>
    <n v="0"/>
    <n v="0"/>
    <m/>
    <m/>
    <m/>
    <n v="2034.9231560210803"/>
    <n v="0"/>
    <n v="0"/>
    <n v="-128.07658999999967"/>
    <n v="35.805040000000076"/>
    <n v="0"/>
    <n v="0"/>
    <n v="-91.647303246581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5.36"/>
    <n v="15.36"/>
    <n v="15.36"/>
    <n v="15.36"/>
    <m/>
    <n v="451.48"/>
    <n v="144.41999999999999"/>
    <m/>
    <n v="9153.0239999999994"/>
    <n v="9153.0239999999994"/>
    <n v="9086.0543999999991"/>
    <n v="0"/>
    <n v="0"/>
    <n v="0"/>
    <n v="0"/>
    <n v="0"/>
    <n v="1566.1617171557682"/>
    <n v="5098.0948746507565"/>
    <n v="2218.3192109642646"/>
    <n v="0"/>
    <n v="0"/>
    <n v="0"/>
    <n v="0"/>
    <n v="0"/>
    <n v="0"/>
    <m/>
    <n v="22.346575721617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19186134496306"/>
    <n v="0"/>
    <n v="0.93"/>
    <n v="3.91"/>
    <n v="379.05"/>
    <n v="13"/>
    <m/>
    <m/>
    <m/>
    <m/>
    <m/>
    <m/>
    <m/>
    <n v="5905.9199999999992"/>
    <m/>
    <n v="2466.5110723092275"/>
    <m/>
    <m/>
    <m/>
    <m/>
    <m/>
    <m/>
    <m/>
    <m/>
    <m/>
    <m/>
    <m/>
    <m/>
    <n v="3180.1343999999999"/>
    <n v="-23.530800000000454"/>
    <m/>
    <m/>
    <m/>
    <m/>
    <n v="-156.67200000000068"/>
    <n v="89.702400000000054"/>
    <n v="31"/>
    <n v="162.58415298635873"/>
    <n v="0"/>
    <n v="0"/>
    <n v="0"/>
    <n v="0"/>
    <n v="0"/>
    <n v="0"/>
    <n v="0"/>
    <n v="65.545984715351096"/>
    <n v="0"/>
    <n v="0"/>
    <n v="89.699211238502812"/>
    <n v="0"/>
    <n v="0"/>
    <n v="0"/>
    <n v="10.035802822434846"/>
    <n v="0"/>
    <n v="0"/>
    <m/>
    <n v="0"/>
    <n v="0"/>
    <n v="0"/>
    <n v="0"/>
    <n v="0"/>
    <n v="-2.6968457899293696"/>
    <n v="0"/>
    <n v="0"/>
    <m/>
    <m/>
    <m/>
    <n v="5098.0948746507565"/>
    <n v="0"/>
    <n v="0"/>
    <n v="-156.67200000000048"/>
    <n v="89.702400000000125"/>
    <n v="0"/>
    <n v="0"/>
    <n v="-229.60407402829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"/>
    <s v="Refaturamento - 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1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33.476999999999997"/>
    <n v="33.476999999999997"/>
    <n v="33.476999999999997"/>
    <n v="33.476999999999997"/>
    <m/>
    <n v="451.48"/>
    <n v="144.41999999999999"/>
    <m/>
    <n v="19948.944299999999"/>
    <n v="19948.944299999999"/>
    <n v="19802.984579999997"/>
    <n v="0"/>
    <n v="0"/>
    <n v="0"/>
    <n v="0"/>
    <n v="0"/>
    <n v="3413.4372269025816"/>
    <n v="11111.257950435116"/>
    <n v="4834.8093896777791"/>
    <n v="0"/>
    <n v="0"/>
    <n v="0"/>
    <n v="0"/>
    <n v="0"/>
    <n v="0"/>
    <m/>
    <n v="48.7041872026430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0.93222280243026"/>
    <n v="0"/>
    <n v="3.32"/>
    <n v="15.54"/>
    <n v="1447.34"/>
    <n v="58"/>
    <m/>
    <m/>
    <m/>
    <m/>
    <m/>
    <m/>
    <m/>
    <n v="7920.9929699999993"/>
    <m/>
    <n v="5375.7416124802094"/>
    <m/>
    <m/>
    <m/>
    <m/>
    <m/>
    <m/>
    <m/>
    <m/>
    <m/>
    <m/>
    <m/>
    <m/>
    <n v="11883.056399999998"/>
    <n v="-86.340180000001055"/>
    <m/>
    <m/>
    <m/>
    <m/>
    <n v="-341.46540000000147"/>
    <n v="195.5056800000001"/>
    <n v="31"/>
    <n v="354.35089124507249"/>
    <n v="0"/>
    <n v="0"/>
    <n v="0"/>
    <n v="0"/>
    <n v="0"/>
    <n v="0"/>
    <n v="0"/>
    <n v="142.85696160910175"/>
    <n v="0"/>
    <n v="0"/>
    <n v="195.49873011922864"/>
    <n v="0"/>
    <n v="0"/>
    <n v="0"/>
    <n v="21.872953846787027"/>
    <n v="0"/>
    <n v="0"/>
    <m/>
    <n v="0"/>
    <n v="0"/>
    <n v="0"/>
    <n v="0"/>
    <n v="0"/>
    <n v="-5.8777543300433308"/>
    <n v="0"/>
    <n v="0"/>
    <m/>
    <m/>
    <m/>
    <n v="11111.257950435116"/>
    <n v="0"/>
    <n v="0"/>
    <n v="-341.46540000000095"/>
    <n v="195.50568000000021"/>
    <n v="0"/>
    <n v="0"/>
    <n v="-500.42028556284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"/>
    <s v="Refaturamento - 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7.0000000000000007E-2"/>
    <n v="7.0000000000000007E-2"/>
    <n v="7.0000000000000007E-2"/>
    <n v="7.0000000000000007E-2"/>
    <m/>
    <n v="451.48"/>
    <n v="144.41999999999999"/>
    <m/>
    <n v="41.713000000000008"/>
    <n v="41.713000000000008"/>
    <n v="41.407800000000002"/>
    <n v="0"/>
    <n v="0"/>
    <n v="0"/>
    <n v="0"/>
    <n v="0"/>
    <n v="7.1374557422463409"/>
    <n v="23.233505288121943"/>
    <n v="10.10952765413402"/>
    <n v="0"/>
    <n v="0"/>
    <n v="0"/>
    <n v="0"/>
    <n v="0"/>
    <n v="0"/>
    <m/>
    <n v="0.10183986331466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10827014418892"/>
    <n v="0"/>
    <n v="0"/>
    <n v="0"/>
    <n v="2.76"/>
    <n v="0"/>
    <m/>
    <m/>
    <m/>
    <m/>
    <m/>
    <m/>
    <m/>
    <n v="16.5627"/>
    <m/>
    <n v="11.240610355575908"/>
    <m/>
    <m/>
    <m/>
    <m/>
    <m/>
    <m/>
    <m/>
    <m/>
    <m/>
    <m/>
    <m/>
    <m/>
    <n v="24.845099999999999"/>
    <n v="-0.21270000000000877"/>
    <m/>
    <m/>
    <m/>
    <m/>
    <n v="-0.7140000000000033"/>
    <n v="0.40880000000000027"/>
    <n v="31"/>
    <n v="0.74094340553678961"/>
    <n v="0"/>
    <n v="0"/>
    <n v="0"/>
    <n v="0"/>
    <n v="0"/>
    <n v="0"/>
    <n v="0"/>
    <n v="0.29871216992672966"/>
    <n v="0"/>
    <n v="0"/>
    <n v="0.40878546788380277"/>
    <n v="0"/>
    <n v="0"/>
    <n v="0"/>
    <n v="4.5736080570991877E-2"/>
    <n v="0"/>
    <n v="0"/>
    <m/>
    <n v="0"/>
    <n v="0"/>
    <n v="0"/>
    <n v="0"/>
    <n v="0"/>
    <n v="-1.22903128447302E-2"/>
    <n v="0"/>
    <n v="0"/>
    <m/>
    <m/>
    <m/>
    <n v="23.233505288121943"/>
    <n v="0"/>
    <n v="0"/>
    <n v="-0.71400000000000219"/>
    <n v="0.40879999999999939"/>
    <n v="0"/>
    <n v="0"/>
    <n v="-1.046372733201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36.628"/>
    <n v="36.628"/>
    <n v="36.628"/>
    <n v="36.628"/>
    <m/>
    <n v="451.48"/>
    <n v="144.41999999999999"/>
    <m/>
    <n v="21826.625200000002"/>
    <n v="21826.625200000002"/>
    <n v="21666.927119999997"/>
    <n v="0"/>
    <n v="0"/>
    <n v="0"/>
    <n v="0"/>
    <n v="0"/>
    <n v="3734.7246989571277"/>
    <n v="12157.097595619007"/>
    <n v="5289.8825559374409"/>
    <n v="0"/>
    <n v="0"/>
    <n v="0"/>
    <n v="0"/>
    <n v="0"/>
    <n v="0"/>
    <m/>
    <n v="53.2884359069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1.84710269162156"/>
    <n v="0"/>
    <n v="6.25"/>
    <n v="29.22"/>
    <n v="4358.12"/>
    <n v="268"/>
    <m/>
    <m/>
    <m/>
    <m/>
    <m/>
    <m/>
    <m/>
    <n v="2166.5461999999989"/>
    <m/>
    <n v="5881.7296586290622"/>
    <m/>
    <m/>
    <m/>
    <m/>
    <m/>
    <m/>
    <m/>
    <m/>
    <m/>
    <m/>
    <m/>
    <m/>
    <n v="19501.4457"/>
    <n v="-142.91325999999754"/>
    <m/>
    <m/>
    <m/>
    <m/>
    <n v="-373.60560000000169"/>
    <n v="213.90752000000012"/>
    <n v="31"/>
    <n v="387.70392940002421"/>
    <n v="0"/>
    <n v="0"/>
    <n v="0"/>
    <n v="0"/>
    <n v="0"/>
    <n v="0"/>
    <n v="0"/>
    <n v="156.30327657251837"/>
    <n v="0"/>
    <n v="0"/>
    <n v="213.89991596639811"/>
    <n v="0"/>
    <n v="0"/>
    <n v="0"/>
    <n v="23.931730845061338"/>
    <n v="0"/>
    <n v="0"/>
    <m/>
    <n v="0"/>
    <n v="0"/>
    <n v="0"/>
    <n v="0"/>
    <n v="0"/>
    <n v="-6.430993983953968"/>
    <n v="0"/>
    <n v="0"/>
    <m/>
    <m/>
    <m/>
    <n v="12157.097595619007"/>
    <n v="0"/>
    <n v="0"/>
    <n v="-373.6056000000026"/>
    <n v="213.90751999999975"/>
    <n v="0"/>
    <n v="0"/>
    <n v="-547.52200673883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"/>
    <s v="Refaturamento - 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.10199999999999999"/>
    <n v="0.10199999999999999"/>
    <n v="0.10199999999999999"/>
    <n v="0.10199999999999999"/>
    <m/>
    <n v="451.48"/>
    <n v="144.41999999999999"/>
    <m/>
    <n v="60.78179999999999"/>
    <n v="60.78179999999999"/>
    <n v="60.337079999999986"/>
    <n v="0"/>
    <n v="0"/>
    <n v="0"/>
    <n v="0"/>
    <n v="0"/>
    <n v="10.400292652987524"/>
    <n v="33.854536276977683"/>
    <n v="14.73102601030957"/>
    <n v="0"/>
    <n v="0"/>
    <n v="0"/>
    <n v="0"/>
    <n v="0"/>
    <n v="0"/>
    <m/>
    <n v="0.14839522940136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481490792438953"/>
    <n v="0"/>
    <n v="0"/>
    <n v="0"/>
    <n v="15.97"/>
    <n v="0"/>
    <m/>
    <m/>
    <m/>
    <m/>
    <m/>
    <m/>
    <m/>
    <n v="6.033299999999997"/>
    <m/>
    <n v="16.379175089553467"/>
    <m/>
    <m/>
    <m/>
    <m/>
    <m/>
    <m/>
    <m/>
    <m/>
    <m/>
    <m/>
    <m/>
    <m/>
    <n v="53.239000000000004"/>
    <n v="-1.4956399999999803"/>
    <m/>
    <m/>
    <m/>
    <m/>
    <n v="-1.0404000000000047"/>
    <n v="0.59568000000000032"/>
    <n v="31"/>
    <n v="1.0796603909250386"/>
    <n v="0"/>
    <n v="0"/>
    <n v="0"/>
    <n v="0"/>
    <n v="0"/>
    <n v="0"/>
    <n v="0"/>
    <n v="0.4352663047503782"/>
    <n v="0"/>
    <n v="0"/>
    <n v="0.5956588246306822"/>
    <n v="0"/>
    <n v="0"/>
    <n v="0"/>
    <n v="6.664400311773111E-2"/>
    <n v="0"/>
    <n v="0"/>
    <m/>
    <n v="0"/>
    <n v="0"/>
    <n v="0"/>
    <n v="0"/>
    <n v="0"/>
    <n v="-1.790874157374972E-2"/>
    <n v="0"/>
    <n v="0"/>
    <m/>
    <m/>
    <m/>
    <n v="33.854536276977683"/>
    <n v="0"/>
    <n v="0"/>
    <n v="-1.0404000000000053"/>
    <n v="0.59568000000000154"/>
    <n v="0"/>
    <n v="0"/>
    <n v="-1.524714554094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3.89"/>
    <n v="13.89"/>
    <n v="13.89"/>
    <n v="13.89"/>
    <m/>
    <n v="451.48"/>
    <n v="144.41999999999999"/>
    <m/>
    <n v="8277.0509999999995"/>
    <n v="8277.0509999999995"/>
    <n v="8216.490600000001"/>
    <n v="0"/>
    <n v="0"/>
    <n v="0"/>
    <n v="0"/>
    <n v="0"/>
    <n v="1416.2751465685953"/>
    <n v="4610.1912636001962"/>
    <n v="2006.0191302274504"/>
    <n v="0"/>
    <n v="0"/>
    <n v="0"/>
    <n v="0"/>
    <n v="0"/>
    <n v="0"/>
    <m/>
    <n v="20.207938592009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.43912461468341"/>
    <n v="0"/>
    <n v="3.35"/>
    <n v="15.86"/>
    <n v="3331.65"/>
    <n v="173"/>
    <m/>
    <m/>
    <m/>
    <m/>
    <m/>
    <m/>
    <m/>
    <m/>
    <m/>
    <n v="2230.458254842134"/>
    <m/>
    <m/>
    <m/>
    <m/>
    <m/>
    <m/>
    <m/>
    <m/>
    <m/>
    <m/>
    <m/>
    <m/>
    <n v="8216.490600000001"/>
    <n v="-60.590399999999136"/>
    <m/>
    <m/>
    <m/>
    <m/>
    <n v="-141.67800000000065"/>
    <n v="81.117600000000053"/>
    <n v="31"/>
    <n v="147.02434147008671"/>
    <n v="0"/>
    <n v="0"/>
    <n v="0"/>
    <n v="0"/>
    <n v="0"/>
    <n v="0"/>
    <n v="0"/>
    <n v="59.273029146889485"/>
    <n v="0"/>
    <n v="0"/>
    <n v="81.114716412943153"/>
    <n v="0"/>
    <n v="0"/>
    <n v="0"/>
    <n v="9.075345130443992"/>
    <n v="0"/>
    <n v="0"/>
    <m/>
    <n v="0"/>
    <n v="0"/>
    <n v="0"/>
    <n v="0"/>
    <n v="0"/>
    <n v="-2.4387492201900365"/>
    <n v="0"/>
    <n v="0"/>
    <m/>
    <m/>
    <m/>
    <n v="4610.1912636001962"/>
    <n v="0"/>
    <n v="0"/>
    <n v="-141.67799999999988"/>
    <n v="81.117599999999811"/>
    <n v="0"/>
    <n v="0"/>
    <n v="-207.6302466310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"/>
    <s v="Refaturamento - 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-3.6999999999999998E-2"/>
    <n v="-3.6999999999999998E-2"/>
    <n v="-3.6999999999999998E-2"/>
    <n v="-3.6999999999999998E-2"/>
    <m/>
    <n v="451.48"/>
    <n v="144.41999999999999"/>
    <m/>
    <n v="-22.048299999999998"/>
    <n v="-22.048299999999998"/>
    <n v="-21.886979999999998"/>
    <n v="0"/>
    <n v="0"/>
    <n v="0"/>
    <n v="0"/>
    <n v="0"/>
    <n v="-3.7726551780444937"/>
    <n v="-12.280567080864454"/>
    <n v="-5.3436074743279809"/>
    <n v="0"/>
    <n v="0"/>
    <n v="0"/>
    <n v="0"/>
    <n v="0"/>
    <n v="0"/>
    <m/>
    <n v="-5.382964203775112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59785799933356987"/>
    <n v="0"/>
    <n v="0"/>
    <n v="0"/>
    <n v="-10.48"/>
    <n v="0"/>
    <m/>
    <m/>
    <m/>
    <m/>
    <m/>
    <m/>
    <m/>
    <m/>
    <m/>
    <n v="-5.9414654736615509"/>
    <m/>
    <m/>
    <m/>
    <m/>
    <m/>
    <m/>
    <m/>
    <m/>
    <m/>
    <m/>
    <m/>
    <m/>
    <n v="-23.6616"/>
    <n v="-1.6433000000000071"/>
    <m/>
    <m/>
    <m/>
    <m/>
    <n v="0.37740000000000168"/>
    <n v="-0.21608000000000011"/>
    <n v="31"/>
    <n v="-0.39164151435516104"/>
    <n v="0"/>
    <n v="0"/>
    <n v="0"/>
    <n v="0"/>
    <n v="0"/>
    <n v="0"/>
    <n v="0"/>
    <n v="-0.15789071838984325"/>
    <n v="0"/>
    <n v="0"/>
    <n v="-0.2160723187385809"/>
    <n v="0"/>
    <n v="0"/>
    <n v="0"/>
    <n v="-2.4174785444667224E-2"/>
    <n v="0"/>
    <n v="0"/>
    <m/>
    <n v="0"/>
    <n v="0"/>
    <n v="0"/>
    <n v="0"/>
    <n v="0"/>
    <n v="6.4963082179288201E-3"/>
    <n v="0"/>
    <n v="0"/>
    <m/>
    <m/>
    <m/>
    <n v="-12.280567080864454"/>
    <n v="0"/>
    <n v="0"/>
    <n v="0.37740000000000151"/>
    <n v="-0.21608000000000072"/>
    <n v="0"/>
    <n v="0"/>
    <n v="0.55308273040670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"/>
    <s v="Regular"/>
    <s v="Convencional"/>
    <s v="B3"/>
    <s v="Industrial"/>
    <s v="Não se aplica"/>
    <s v="Não se aplica"/>
    <s v="Não se aplica"/>
    <s v="Não se aplica"/>
    <s v="CATIVO"/>
    <x v="1"/>
    <n v="0"/>
    <n v="0"/>
    <n v="343.846"/>
    <n v="343.846"/>
    <n v="343.846"/>
    <n v="343.846"/>
    <m/>
    <n v="522.37"/>
    <n v="144.41999999999999"/>
    <m/>
    <n v="229273.07433999999"/>
    <n v="229273.07433999999"/>
    <n v="224098.19204000002"/>
    <n v="0"/>
    <n v="21112.479799449211"/>
    <n v="0"/>
    <n v="0"/>
    <n v="0"/>
    <n v="35059.794387834787"/>
    <n v="114124.96941856538"/>
    <n v="49658.866368048082"/>
    <n v="0"/>
    <n v="0"/>
    <n v="0"/>
    <n v="0"/>
    <n v="0"/>
    <n v="3260.6076002524051"/>
    <m/>
    <n v="500.2461377327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55.9751794283966"/>
    <n v="0"/>
    <n v="28.61"/>
    <n v="133.66"/>
    <n v="82279.75"/>
    <n v="550"/>
    <m/>
    <m/>
    <m/>
    <m/>
    <m/>
    <m/>
    <m/>
    <m/>
    <m/>
    <n v="55214.841547476477"/>
    <m/>
    <m/>
    <m/>
    <m/>
    <m/>
    <m/>
    <m/>
    <m/>
    <m/>
    <m/>
    <m/>
    <m/>
    <n v="224100.799"/>
    <n v="-5172.3053400000208"/>
    <m/>
    <m/>
    <m/>
    <m/>
    <n v="-7182.9429399999954"/>
    <n v="2008.0606400000013"/>
    <n v="31"/>
    <n v="-33.001911152881803"/>
    <n v="0"/>
    <n v="0"/>
    <n v="0"/>
    <n v="0"/>
    <n v="0"/>
    <n v="0"/>
    <n v="0"/>
    <n v="1467.2997825803759"/>
    <n v="0"/>
    <n v="0"/>
    <n v="2007.98925699963"/>
    <n v="0"/>
    <n v="0"/>
    <n v="0"/>
    <n v="224.65954800019063"/>
    <n v="0"/>
    <n v="-3243.5338132402903"/>
    <m/>
    <n v="0"/>
    <n v="0"/>
    <n v="0"/>
    <n v="0"/>
    <n v="-429.04561534408504"/>
    <n v="-60.371070148701449"/>
    <n v="0"/>
    <n v="0"/>
    <m/>
    <m/>
    <m/>
    <n v="114124.96941856538"/>
    <n v="0"/>
    <n v="0"/>
    <n v="-7182.942939999979"/>
    <n v="2008.0606400000033"/>
    <n v="0"/>
    <n v="0"/>
    <n v="-5139.872554579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"/>
    <s v="Refaturamento - Regular"/>
    <s v="Convencional"/>
    <s v="B3"/>
    <s v="Industrial"/>
    <s v="Não se aplica"/>
    <s v="Não se aplica"/>
    <s v="Não se aplica"/>
    <s v="Não se aplica"/>
    <s v="CATIVO"/>
    <x v="1"/>
    <n v="0"/>
    <n v="0"/>
    <n v="0.91"/>
    <n v="0.91"/>
    <n v="0.91"/>
    <n v="0.91"/>
    <m/>
    <n v="522.37"/>
    <n v="144.41999999999999"/>
    <m/>
    <n v="606.77890000000002"/>
    <n v="606.77890000000002"/>
    <n v="593.08339999999998"/>
    <n v="0"/>
    <n v="55.874887645919344"/>
    <n v="0"/>
    <n v="0"/>
    <n v="0"/>
    <n v="92.786924649202419"/>
    <n v="302.03556874558524"/>
    <n v="131.42385950374225"/>
    <n v="0"/>
    <n v="0"/>
    <n v="0"/>
    <n v="0"/>
    <n v="0"/>
    <n v="8.6293076442060936"/>
    <m/>
    <n v="1.32391822309063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704075118744557"/>
    <n v="0"/>
    <n v="7.0000000000000007E-2"/>
    <n v="0.31"/>
    <n v="215.43"/>
    <n v="0"/>
    <m/>
    <m/>
    <m/>
    <m/>
    <m/>
    <m/>
    <m/>
    <m/>
    <m/>
    <n v="146.1279346224868"/>
    <m/>
    <m/>
    <m/>
    <m/>
    <m/>
    <m/>
    <m/>
    <m/>
    <m/>
    <m/>
    <m/>
    <m/>
    <n v="593.08339999999998"/>
    <n v="-13.725500000000011"/>
    <m/>
    <m/>
    <m/>
    <m/>
    <n v="-19.009899999999988"/>
    <n v="5.3144000000000036"/>
    <n v="31"/>
    <n v="-8.7340667476496492E-2"/>
    <n v="0"/>
    <n v="0"/>
    <n v="0"/>
    <n v="0"/>
    <n v="0"/>
    <n v="0"/>
    <n v="0"/>
    <n v="3.8832582090474972"/>
    <n v="0"/>
    <n v="0"/>
    <n v="5.314211082489436"/>
    <n v="0"/>
    <n v="0"/>
    <n v="0"/>
    <n v="0.59456904742289751"/>
    <n v="0"/>
    <n v="-8.5841212928132506"/>
    <m/>
    <n v="0"/>
    <n v="0"/>
    <n v="0"/>
    <n v="0"/>
    <n v="-1.1354836466415694"/>
    <n v="-0.15977406698149266"/>
    <n v="0"/>
    <n v="0"/>
    <m/>
    <m/>
    <m/>
    <n v="302.03556874558524"/>
    <n v="0"/>
    <n v="0"/>
    <n v="-19.009900000000016"/>
    <n v="5.3144000000000062"/>
    <n v="0"/>
    <n v="0"/>
    <n v="-13.602845531624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9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6.0739999999999998"/>
    <n v="6.0739999999999998"/>
    <n v="6.0739999999999998"/>
    <n v="6.0739999999999998"/>
    <m/>
    <n v="522.37"/>
    <n v="144.41999999999999"/>
    <m/>
    <n v="4050.0824599999996"/>
    <n v="4050.0824599999996"/>
    <n v="3958.66876"/>
    <n v="0"/>
    <n v="372.94952479265282"/>
    <n v="0"/>
    <n v="0"/>
    <n v="0"/>
    <n v="619.32723112006101"/>
    <n v="2016.0044445721808"/>
    <n v="877.21815673157187"/>
    <n v="0"/>
    <n v="0"/>
    <n v="0"/>
    <n v="0"/>
    <n v="0"/>
    <n v="57.598257836162432"/>
    <m/>
    <n v="8.8367904253324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14566183654334"/>
    <n v="0"/>
    <n v="0"/>
    <n v="0"/>
    <n v="2621.39"/>
    <n v="6"/>
    <m/>
    <m/>
    <m/>
    <m/>
    <m/>
    <m/>
    <m/>
    <m/>
    <m/>
    <n v="975.36381856811522"/>
    <m/>
    <m/>
    <m/>
    <m/>
    <m/>
    <m/>
    <m/>
    <m/>
    <m/>
    <m/>
    <m/>
    <m/>
    <n v="3956.0618000000004"/>
    <n v="-94.05065999999988"/>
    <m/>
    <m/>
    <m/>
    <m/>
    <n v="-126.88585999999991"/>
    <n v="35.472160000000017"/>
    <n v="31"/>
    <n v="-0.58297496071691057"/>
    <n v="0"/>
    <n v="0"/>
    <n v="0"/>
    <n v="0"/>
    <n v="0"/>
    <n v="0"/>
    <n v="0"/>
    <n v="25.919681716213631"/>
    <n v="0"/>
    <n v="0"/>
    <n v="35.470899027517362"/>
    <n v="0"/>
    <n v="0"/>
    <n v="0"/>
    <n v="3.9685850484029288"/>
    <n v="0"/>
    <n v="-57.296651354447988"/>
    <m/>
    <n v="0"/>
    <n v="0"/>
    <n v="0"/>
    <n v="0"/>
    <n v="-7.5790413952757092"/>
    <n v="-1.066448003127018"/>
    <n v="0"/>
    <n v="0"/>
    <m/>
    <m/>
    <m/>
    <n v="2016.0044445721808"/>
    <n v="0"/>
    <n v="0"/>
    <n v="-126.88585999999987"/>
    <n v="35.472160000000031"/>
    <n v="0"/>
    <n v="0"/>
    <n v="-90.79525687811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0"/>
    <s v="Regular"/>
    <s v="Azul"/>
    <s v="A4"/>
    <s v="Industrial"/>
    <s v="Não se aplica"/>
    <s v="Não se aplica"/>
    <s v="Não se aplica"/>
    <s v="Ponta"/>
    <s v="CATIVO"/>
    <x v="1"/>
    <n v="1273"/>
    <n v="1273"/>
    <n v="69.762"/>
    <n v="69.762"/>
    <n v="69.762"/>
    <n v="69.762"/>
    <n v="111"/>
    <n v="69.64"/>
    <n v="144.41999999999999"/>
    <n v="141303"/>
    <n v="14933.253720000001"/>
    <n v="156236.25372000001"/>
    <n v="153082.49768"/>
    <n v="0"/>
    <n v="3726.6057180225544"/>
    <n v="0"/>
    <n v="0"/>
    <n v="0"/>
    <n v="39775.280548658033"/>
    <n v="101523.11889992448"/>
    <n v="10075.155260109963"/>
    <n v="0"/>
    <n v="0"/>
    <n v="0"/>
    <n v="0"/>
    <n v="0"/>
    <n v="661.53599986275333"/>
    <m/>
    <n v="34.719515163088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5.21738030321166"/>
    <n v="0"/>
    <n v="0"/>
    <n v="0"/>
    <n v="0"/>
    <n v="0"/>
    <m/>
    <m/>
    <m/>
    <m/>
    <m/>
    <m/>
    <m/>
    <m/>
    <m/>
    <n v="10510.372640413174"/>
    <m/>
    <m/>
    <m/>
    <m/>
    <m/>
    <m/>
    <m/>
    <m/>
    <m/>
    <m/>
    <m/>
    <m/>
    <n v="153082.07639999996"/>
    <n v="-3154.2073200000741"/>
    <m/>
    <m/>
    <m/>
    <m/>
    <n v="-3561.1661200000076"/>
    <n v="407.41008000000022"/>
    <n v="31"/>
    <n v="1425.8825921817988"/>
    <n v="0"/>
    <n v="0"/>
    <n v="0"/>
    <n v="0"/>
    <n v="0"/>
    <n v="0"/>
    <n v="0"/>
    <n v="1664.6492519466628"/>
    <n v="0"/>
    <n v="0"/>
    <n v="407.39559729299799"/>
    <n v="0"/>
    <n v="0"/>
    <n v="0"/>
    <n v="17.598303949011154"/>
    <n v="0"/>
    <n v="-572.52259184333479"/>
    <m/>
    <n v="0"/>
    <n v="0"/>
    <n v="0"/>
    <n v="0"/>
    <n v="-87.047923249460723"/>
    <n v="-4.1900459140765669"/>
    <n v="0"/>
    <n v="0"/>
    <m/>
    <m/>
    <n v="101523.11889992448"/>
    <n v="0"/>
    <n v="0"/>
    <n v="0"/>
    <n v="-3561.166120000009"/>
    <n v="407.41007999999965"/>
    <n v="0"/>
    <n v="0"/>
    <n v="-4572.320107926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1"/>
    <s v="Regular"/>
    <s v="Azul"/>
    <s v="A4"/>
    <s v="Industrial"/>
    <s v="Não se aplica"/>
    <s v="Não se aplica"/>
    <s v="Não se aplica"/>
    <s v="Fora ponta"/>
    <s v="CATIVO"/>
    <x v="1"/>
    <n v="3485"/>
    <n v="3485"/>
    <n v="1528.7159999999999"/>
    <n v="1528.7159999999999"/>
    <n v="1528.7159999999999"/>
    <n v="1528.7159999999999"/>
    <n v="34.950000000000003"/>
    <n v="69.64"/>
    <n v="144.41999999999999"/>
    <n v="121800.75000000001"/>
    <n v="327236.94695999997"/>
    <n v="449037.69695999997"/>
    <n v="442171.53823999997"/>
    <n v="0"/>
    <n v="81662.248599990926"/>
    <n v="0"/>
    <n v="0"/>
    <n v="0"/>
    <n v="44154.181597357943"/>
    <n v="77662.555854187653"/>
    <n v="220779.95253310201"/>
    <n v="0"/>
    <n v="0"/>
    <n v="0"/>
    <n v="0"/>
    <n v="0"/>
    <n v="14496.440290791386"/>
    <m/>
    <n v="760.81933347748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37.0512993836819"/>
    <n v="0"/>
    <n v="0"/>
    <n v="0"/>
    <n v="0"/>
    <n v="0"/>
    <m/>
    <m/>
    <m/>
    <m/>
    <m/>
    <m/>
    <m/>
    <m/>
    <m/>
    <n v="230317.0038324857"/>
    <m/>
    <m/>
    <m/>
    <m/>
    <m/>
    <m/>
    <m/>
    <m/>
    <m/>
    <m/>
    <m/>
    <m/>
    <n v="442172.38079999998"/>
    <n v="-6865.3461600000155"/>
    <m/>
    <m/>
    <m/>
    <m/>
    <n v="-15793.860160000017"/>
    <n v="8927.7014400000044"/>
    <n v="31"/>
    <n v="-3384.2545166033669"/>
    <n v="0"/>
    <n v="0"/>
    <n v="0"/>
    <n v="0"/>
    <n v="0"/>
    <n v="0"/>
    <n v="0"/>
    <n v="1847.9121794361126"/>
    <n v="0"/>
    <n v="0"/>
    <n v="8927.3840760207677"/>
    <n v="0"/>
    <n v="0"/>
    <n v="0"/>
    <n v="385.63700610241358"/>
    <n v="0"/>
    <n v="-12545.86231060428"/>
    <m/>
    <n v="0"/>
    <n v="0"/>
    <n v="0"/>
    <n v="0"/>
    <n v="-1907.5077124827621"/>
    <n v="-91.817755075592345"/>
    <n v="0"/>
    <n v="0"/>
    <m/>
    <m/>
    <n v="77662.555854187653"/>
    <n v="0"/>
    <n v="0"/>
    <n v="0"/>
    <n v="-15793.86016000004"/>
    <n v="8927.7014400000044"/>
    <n v="0"/>
    <n v="0"/>
    <n v="-3497.7064299519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2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9885.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63"/>
    <s v="Regular"/>
    <s v="Verde"/>
    <s v="A4"/>
    <s v="Industrial"/>
    <s v="Não se aplica"/>
    <s v="Não se aplica"/>
    <s v="Não se aplica"/>
    <s v="Ponta"/>
    <s v="CATIVO"/>
    <x v="1"/>
    <n v="0"/>
    <n v="0"/>
    <n v="67.459999999999994"/>
    <n v="67.459999999999994"/>
    <n v="67.459999999999994"/>
    <n v="67.459999999999994"/>
    <m/>
    <n v="2740.31"/>
    <n v="144.41999999999999"/>
    <m/>
    <n v="194603.88579999999"/>
    <n v="194603.88579999999"/>
    <n v="190670.29319999996"/>
    <n v="0"/>
    <n v="3603.6355284797091"/>
    <n v="0"/>
    <n v="0"/>
    <n v="0"/>
    <n v="50774.63338166663"/>
    <n v="129388.7904020625"/>
    <n v="9742.6962221125832"/>
    <n v="0"/>
    <n v="0"/>
    <n v="0"/>
    <n v="0"/>
    <n v="0"/>
    <n v="639.70669634960768"/>
    <m/>
    <n v="33.573843824746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0.85611758915536"/>
    <n v="0"/>
    <n v="0"/>
    <n v="0"/>
    <n v="0"/>
    <n v="0"/>
    <m/>
    <m/>
    <m/>
    <m/>
    <m/>
    <m/>
    <m/>
    <m/>
    <m/>
    <n v="10163.552339701739"/>
    <m/>
    <m/>
    <m/>
    <m/>
    <m/>
    <m/>
    <m/>
    <m/>
    <m/>
    <m/>
    <m/>
    <m/>
    <n v="190670.29319999996"/>
    <n v="-3933.6226000000606"/>
    <m/>
    <m/>
    <m/>
    <m/>
    <n v="-4327.5590000000057"/>
    <n v="393.96640000000019"/>
    <n v="31"/>
    <n v="1894.0991752407135"/>
    <n v="0"/>
    <n v="0"/>
    <n v="0"/>
    <n v="0"/>
    <n v="0"/>
    <n v="0"/>
    <n v="0"/>
    <n v="2124.9870349313642"/>
    <n v="0"/>
    <n v="0"/>
    <n v="393.95239519201823"/>
    <n v="0"/>
    <n v="0"/>
    <n v="0"/>
    <n v="17.017596748950609"/>
    <n v="0"/>
    <n v="-553.63054450490745"/>
    <m/>
    <n v="0"/>
    <n v="0"/>
    <n v="0"/>
    <n v="0"/>
    <n v="-84.175523958725535"/>
    <n v="-4.0517831679654392"/>
    <n v="0"/>
    <n v="0"/>
    <m/>
    <m/>
    <m/>
    <n v="129388.7904020625"/>
    <n v="0"/>
    <n v="0"/>
    <n v="-4327.5590000000084"/>
    <n v="393.96639999999934"/>
    <n v="0"/>
    <n v="0"/>
    <n v="-5827.312778666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4"/>
    <s v="Sistema de Compensação"/>
    <s v="Verde"/>
    <s v="A4"/>
    <s v="Industrial"/>
    <s v="Não se aplica"/>
    <s v="Não se aplica"/>
    <s v="Não se aplica"/>
    <s v="Ponta"/>
    <s v="CATIVO"/>
    <x v="1"/>
    <n v="0"/>
    <n v="0"/>
    <n v="0.57399999999999995"/>
    <n v="0.57399999999999995"/>
    <n v="0.57399999999999995"/>
    <n v="0.57399999999999995"/>
    <m/>
    <n v="2740.31"/>
    <n v="144.41999999999999"/>
    <m/>
    <n v="1655.8350199999998"/>
    <n v="1655.8350199999998"/>
    <n v="1622.3650799999996"/>
    <n v="0"/>
    <n v="30.662419112768355"/>
    <n v="0"/>
    <n v="0"/>
    <n v="0"/>
    <n v="432.0284548039823"/>
    <n v="1100.9363428814686"/>
    <n v="82.898126763898958"/>
    <n v="0"/>
    <n v="0"/>
    <n v="0"/>
    <n v="0"/>
    <n v="0"/>
    <n v="5.4431017448069205"/>
    <m/>
    <n v="0.2856713067803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80957774921067"/>
    <n v="0"/>
    <n v="0"/>
    <n v="0"/>
    <n v="0"/>
    <n v="0"/>
    <m/>
    <m/>
    <m/>
    <m/>
    <m/>
    <m/>
    <m/>
    <m/>
    <m/>
    <n v="86.479084538820018"/>
    <m/>
    <m/>
    <m/>
    <m/>
    <m/>
    <m/>
    <m/>
    <m/>
    <m/>
    <m/>
    <m/>
    <m/>
    <n v="1611.0593999999999"/>
    <n v="-44.805619999999863"/>
    <m/>
    <m/>
    <m/>
    <m/>
    <n v="-36.822100000000049"/>
    <n v="3.3521600000000018"/>
    <n v="31"/>
    <n v="16.11640863605362"/>
    <n v="0"/>
    <n v="0"/>
    <n v="0"/>
    <n v="0"/>
    <n v="0"/>
    <n v="0"/>
    <n v="0"/>
    <n v="18.080974770984312"/>
    <n v="0"/>
    <n v="0"/>
    <n v="3.3520408366471628"/>
    <n v="0"/>
    <n v="0"/>
    <n v="0"/>
    <n v="0.14479840696557433"/>
    <n v="0"/>
    <n v="-4.7107016386868814"/>
    <m/>
    <n v="0"/>
    <n v="0"/>
    <n v="0"/>
    <n v="0"/>
    <n v="-0.7162281463431448"/>
    <n v="-3.4475593513373315E-2"/>
    <n v="0"/>
    <n v="0"/>
    <m/>
    <m/>
    <m/>
    <n v="1100.9363428814686"/>
    <n v="0"/>
    <n v="0"/>
    <n v="-36.822100000000091"/>
    <n v="3.3521599999999978"/>
    <n v="0"/>
    <n v="0"/>
    <n v="-49.58312385050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5"/>
    <s v="Regular"/>
    <s v="Verde"/>
    <s v="A4"/>
    <s v="Industrial"/>
    <s v="Não se aplica"/>
    <s v="Não se aplica"/>
    <s v="Não se aplica"/>
    <s v="Fora ponta"/>
    <s v="CATIVO"/>
    <x v="1"/>
    <n v="0"/>
    <n v="0"/>
    <n v="5619.0429999999997"/>
    <n v="5619.0429999999997"/>
    <n v="5619.0429999999997"/>
    <n v="5619.0429999999997"/>
    <m/>
    <n v="69.64"/>
    <n v="144.41999999999999"/>
    <m/>
    <n v="1202812.3445799998"/>
    <n v="1202812.3445799998"/>
    <n v="1183595.2175199999"/>
    <n v="0"/>
    <n v="300162.80745412409"/>
    <n v="0"/>
    <n v="0"/>
    <n v="0"/>
    <n v="0"/>
    <n v="0"/>
    <n v="811512.43711811688"/>
    <n v="0"/>
    <n v="0"/>
    <n v="0"/>
    <n v="0"/>
    <n v="0"/>
    <n v="53284.011772552461"/>
    <m/>
    <n v="2796.5145586500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54.975119278395"/>
    <n v="0"/>
    <n v="0"/>
    <n v="0"/>
    <n v="0"/>
    <n v="0"/>
    <m/>
    <m/>
    <m/>
    <m/>
    <m/>
    <m/>
    <m/>
    <m/>
    <m/>
    <n v="846567.4122373953"/>
    <m/>
    <m/>
    <m/>
    <m/>
    <m/>
    <m/>
    <m/>
    <m/>
    <m/>
    <m/>
    <m/>
    <m/>
    <n v="1183594.5855999999"/>
    <n v="-19217.788979999954"/>
    <m/>
    <m/>
    <m/>
    <m/>
    <n v="-52032.338179999984"/>
    <n v="32815.211120000014"/>
    <n v="31"/>
    <n v="-19231.675241322489"/>
    <n v="0"/>
    <n v="0"/>
    <n v="0"/>
    <n v="0"/>
    <n v="0"/>
    <n v="0"/>
    <n v="0"/>
    <n v="0"/>
    <n v="0"/>
    <n v="0"/>
    <n v="32814.044597345637"/>
    <n v="0"/>
    <n v="0"/>
    <n v="0"/>
    <n v="1417.4712109251923"/>
    <n v="0"/>
    <n v="-46114.346808278817"/>
    <m/>
    <n v="0"/>
    <n v="0"/>
    <n v="0"/>
    <n v="0"/>
    <n v="-7011.3532266766924"/>
    <n v="-337.49101463791931"/>
    <n v="0"/>
    <n v="0"/>
    <m/>
    <m/>
    <m/>
    <n v="0"/>
    <n v="0"/>
    <n v="0"/>
    <n v="-52032.338179999962"/>
    <n v="32815.2111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6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7.26"/>
    <n v="7.26"/>
    <n v="7.26"/>
    <n v="7.26"/>
    <m/>
    <n v="69.64"/>
    <n v="144.41999999999999"/>
    <m/>
    <n v="1554.0755999999999"/>
    <n v="1554.0755999999999"/>
    <n v="1529.2463999999998"/>
    <n v="0"/>
    <n v="387.82084104302834"/>
    <n v="0"/>
    <n v="0"/>
    <n v="0"/>
    <n v="0"/>
    <n v="0"/>
    <n v="1048.5024395573282"/>
    <n v="0"/>
    <n v="0"/>
    <n v="0"/>
    <n v="0"/>
    <n v="0"/>
    <n v="68.844806040589276"/>
    <m/>
    <n v="3.6131945770480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292253390116635"/>
    <n v="0"/>
    <n v="0"/>
    <n v="0"/>
    <n v="0"/>
    <n v="0"/>
    <m/>
    <m/>
    <m/>
    <m/>
    <m/>
    <m/>
    <m/>
    <m/>
    <m/>
    <n v="1093.7946929474449"/>
    <m/>
    <m/>
    <m/>
    <m/>
    <m/>
    <m/>
    <m/>
    <m/>
    <m/>
    <m/>
    <m/>
    <m/>
    <n v="1529.2463999999998"/>
    <n v="-24.859200000000101"/>
    <m/>
    <m/>
    <m/>
    <m/>
    <n v="-67.227599999999981"/>
    <n v="42.398400000000024"/>
    <n v="31"/>
    <n v="-24.847996758878708"/>
    <n v="0"/>
    <n v="0"/>
    <n v="0"/>
    <n v="0"/>
    <n v="0"/>
    <n v="0"/>
    <n v="0"/>
    <n v="0"/>
    <n v="0"/>
    <n v="0"/>
    <n v="42.396892811948646"/>
    <n v="0"/>
    <n v="0"/>
    <n v="0"/>
    <n v="1.831422359878168"/>
    <n v="0"/>
    <n v="-59.581348252381076"/>
    <m/>
    <n v="0"/>
    <n v="0"/>
    <n v="0"/>
    <n v="0"/>
    <n v="-9.0589134885909885"/>
    <n v="-0.43605018973360643"/>
    <n v="0"/>
    <n v="0"/>
    <m/>
    <m/>
    <m/>
    <n v="0"/>
    <n v="0"/>
    <n v="0"/>
    <n v="-67.227599999999939"/>
    <n v="42.3983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67"/>
    <s v="Regular"/>
    <s v="Verde"/>
    <s v="A4"/>
    <s v="Industrial"/>
    <s v="Não se aplica"/>
    <s v="Não se aplica"/>
    <s v="Não se aplica"/>
    <s v="Não se aplica"/>
    <s v="CATIVO"/>
    <x v="1"/>
    <n v="21128"/>
    <n v="21128"/>
    <n v="0"/>
    <n v="0"/>
    <n v="0"/>
    <n v="0"/>
    <n v="34.950000000000003"/>
    <m/>
    <m/>
    <n v="738423.60000000009"/>
    <m/>
    <n v="738423.60000000009"/>
    <n v="728493.44"/>
    <n v="0"/>
    <n v="0"/>
    <n v="0"/>
    <n v="0"/>
    <n v="0"/>
    <n v="267687.10151764093"/>
    <n v="470833.423267511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1.6"/>
    <n v="699.75"/>
    <n v="840303.3"/>
    <n v="69"/>
    <m/>
    <m/>
    <m/>
    <m/>
    <m/>
    <m/>
    <m/>
    <m/>
    <m/>
    <n v="0"/>
    <m/>
    <m/>
    <m/>
    <m/>
    <m/>
    <m/>
    <m/>
    <m/>
    <m/>
    <m/>
    <m/>
    <m/>
    <n v="728493.44"/>
    <n v="-9930.190000000177"/>
    <m/>
    <m/>
    <m/>
    <m/>
    <n v="-9930.1600000001254"/>
    <n v="0"/>
    <n v="31"/>
    <n v="11203.067009218445"/>
    <n v="0"/>
    <n v="0"/>
    <n v="0"/>
    <n v="0"/>
    <m/>
    <m/>
    <m/>
    <n v="11203.06700921844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0833.42326751124"/>
    <m/>
    <n v="0"/>
    <n v="0"/>
    <n v="-9930.160000000149"/>
    <m/>
    <n v="0"/>
    <m/>
    <n v="-21205.03341521520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68"/>
    <s v="Sistema de Compensação"/>
    <s v="Verde"/>
    <s v="A4"/>
    <s v="Industrial"/>
    <s v="Não se aplica"/>
    <s v="Não se aplica"/>
    <s v="Não se aplica"/>
    <s v="Não se aplica"/>
    <s v="CATIVO"/>
    <x v="1"/>
    <n v="255"/>
    <n v="255"/>
    <n v="0"/>
    <n v="0"/>
    <n v="0"/>
    <n v="0"/>
    <n v="34.950000000000003"/>
    <m/>
    <m/>
    <n v="8912.25"/>
    <m/>
    <n v="8912.25"/>
    <n v="8792.4"/>
    <n v="0"/>
    <n v="0"/>
    <n v="0"/>
    <n v="0"/>
    <n v="0"/>
    <n v="3230.793775416435"/>
    <n v="5682.626038111291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69.14"/>
    <n v="2"/>
    <m/>
    <m/>
    <m/>
    <m/>
    <m/>
    <m/>
    <m/>
    <m/>
    <m/>
    <n v="0"/>
    <m/>
    <m/>
    <m/>
    <m/>
    <m/>
    <m/>
    <m/>
    <m/>
    <m/>
    <m/>
    <m/>
    <m/>
    <n v="8792.4"/>
    <n v="-119.88000000000102"/>
    <m/>
    <m/>
    <m/>
    <m/>
    <n v="-119.85000000000153"/>
    <n v="0"/>
    <n v="31"/>
    <n v="135.21308630020349"/>
    <n v="0"/>
    <n v="0"/>
    <n v="0"/>
    <n v="0"/>
    <m/>
    <m/>
    <m/>
    <n v="135.213086300203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82.6260381112916"/>
    <m/>
    <n v="0"/>
    <n v="0"/>
    <n v="-119.85000000000036"/>
    <m/>
    <n v="0"/>
    <m/>
    <n v="-255.92973877697204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69"/>
    <s v="Regular"/>
    <s v="Convencional"/>
    <s v="B3"/>
    <s v="Comercial"/>
    <s v="Não se aplica"/>
    <s v="Não se aplica"/>
    <s v="Não se aplica"/>
    <s v="Não se aplica"/>
    <s v="CATIVO"/>
    <x v="1"/>
    <n v="0"/>
    <n v="0"/>
    <n v="662.68"/>
    <n v="662.68"/>
    <n v="662.68"/>
    <n v="662.68"/>
    <m/>
    <n v="522.37"/>
    <n v="144.41999999999999"/>
    <m/>
    <n v="441868.39719999995"/>
    <n v="441868.39719999995"/>
    <n v="431895.06319999998"/>
    <n v="0"/>
    <n v="40689.198401316295"/>
    <n v="0"/>
    <n v="0"/>
    <n v="0"/>
    <n v="67569.273875311497"/>
    <n v="219948.27549046636"/>
    <n v="95705.454083450444"/>
    <n v="0"/>
    <n v="0"/>
    <n v="0"/>
    <n v="0"/>
    <n v="0"/>
    <n v="6284.0325161126302"/>
    <m/>
    <n v="964.10343744802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07.7983513073"/>
    <n v="0"/>
    <n v="223.57"/>
    <n v="1033.58"/>
    <n v="158119.72"/>
    <n v="1194"/>
    <m/>
    <m/>
    <m/>
    <m/>
    <m/>
    <m/>
    <m/>
    <m/>
    <m/>
    <n v="106413.25243475774"/>
    <m/>
    <m/>
    <m/>
    <m/>
    <m/>
    <m/>
    <m/>
    <m/>
    <m/>
    <m/>
    <m/>
    <m/>
    <n v="431895.06319999998"/>
    <n v="-9973.3640000000014"/>
    <m/>
    <m/>
    <m/>
    <m/>
    <n v="-13843.38519999999"/>
    <n v="3870.0512000000022"/>
    <n v="31"/>
    <n v="-63.603201674035517"/>
    <n v="0"/>
    <n v="0"/>
    <n v="0"/>
    <n v="0"/>
    <n v="0"/>
    <n v="0"/>
    <n v="0"/>
    <n v="2827.8654395292106"/>
    <n v="0"/>
    <n v="0"/>
    <n v="3869.9136265319685"/>
    <n v="0"/>
    <n v="0"/>
    <n v="0"/>
    <n v="432.97694103978574"/>
    <n v="0"/>
    <n v="-6251.1269212323969"/>
    <m/>
    <n v="0"/>
    <n v="0"/>
    <n v="0"/>
    <n v="0"/>
    <n v="-826.88165160047811"/>
    <n v="-116.35063594208293"/>
    <n v="0"/>
    <n v="0"/>
    <m/>
    <m/>
    <m/>
    <n v="219948.27549046636"/>
    <n v="0"/>
    <n v="0"/>
    <n v="-13843.385200000019"/>
    <n v="3870.0512000000017"/>
    <n v="0"/>
    <n v="0"/>
    <n v="-9905.8611834031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0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6.8659999999999997"/>
    <n v="-6.8659999999999997"/>
    <n v="-6.8659999999999997"/>
    <n v="-6.8659999999999997"/>
    <m/>
    <n v="522.37"/>
    <n v="144.41999999999999"/>
    <m/>
    <n v="-4578.1801399999995"/>
    <n v="-4578.1801399999995"/>
    <n v="-4474.8468400000002"/>
    <n v="0"/>
    <n v="-421.57909733723318"/>
    <n v="0"/>
    <n v="0"/>
    <n v="0"/>
    <n v="-700.08244466090525"/>
    <n v="-2278.8749615463603"/>
    <n v="-991.60024104691672"/>
    <n v="0"/>
    <n v="0"/>
    <n v="0"/>
    <n v="0"/>
    <n v="0"/>
    <n v="-65.108600313317623"/>
    <m/>
    <n v="-9.98903573597835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0.94305468714299"/>
    <n v="0"/>
    <n v="0"/>
    <n v="0"/>
    <n v="-1627.92"/>
    <n v="0"/>
    <m/>
    <m/>
    <m/>
    <m/>
    <m/>
    <m/>
    <m/>
    <m/>
    <m/>
    <n v="-1102.5432957340597"/>
    <m/>
    <m/>
    <m/>
    <m/>
    <m/>
    <m/>
    <m/>
    <m/>
    <m/>
    <m/>
    <m/>
    <m/>
    <n v="-4477.4538000000002"/>
    <n v="100.6963399999986"/>
    <m/>
    <m/>
    <m/>
    <m/>
    <n v="143.4307399999999"/>
    <n v="-40.09744000000002"/>
    <n v="31"/>
    <n v="0.6589901350484979"/>
    <n v="0"/>
    <n v="0"/>
    <n v="0"/>
    <n v="0"/>
    <n v="0"/>
    <n v="0"/>
    <n v="0"/>
    <n v="-29.299396553098973"/>
    <n v="0"/>
    <n v="0"/>
    <n v="-40.09601460700253"/>
    <n v="0"/>
    <n v="0"/>
    <n v="0"/>
    <n v="-4.4860561314347365"/>
    <n v="0"/>
    <n v="64.767666809292052"/>
    <m/>
    <n v="0"/>
    <n v="0"/>
    <n v="0"/>
    <n v="0"/>
    <n v="8.5672865031219985"/>
    <n v="1.2055041141702496"/>
    <n v="0"/>
    <n v="0"/>
    <m/>
    <m/>
    <m/>
    <n v="-2278.8749615463603"/>
    <n v="0"/>
    <n v="0"/>
    <n v="143.43073999999979"/>
    <n v="-40.09744000000012"/>
    <n v="0"/>
    <n v="0"/>
    <n v="102.63421694520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1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21.484000000000002"/>
    <n v="21.484000000000002"/>
    <n v="21.484000000000002"/>
    <n v="21.484000000000002"/>
    <m/>
    <n v="522.37"/>
    <n v="144.41999999999999"/>
    <m/>
    <n v="14325.316360000001"/>
    <n v="14325.316360000001"/>
    <n v="14001.982160000001"/>
    <n v="0"/>
    <n v="1319.1385562471771"/>
    <n v="0"/>
    <n v="0"/>
    <n v="0"/>
    <n v="2190.5871309488625"/>
    <n v="7130.6946801430258"/>
    <n v="3102.7584588773611"/>
    <n v="0"/>
    <n v="0"/>
    <n v="0"/>
    <n v="0"/>
    <n v="0"/>
    <n v="203.7275224484876"/>
    <m/>
    <n v="31.2561089064606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1454393968221"/>
    <n v="0"/>
    <n v="0.48"/>
    <n v="2.2200000000000002"/>
    <n v="9755.2999999999993"/>
    <n v="31"/>
    <m/>
    <m/>
    <m/>
    <m/>
    <m/>
    <m/>
    <m/>
    <m/>
    <m/>
    <n v="3449.9038982741831"/>
    <m/>
    <m/>
    <m/>
    <m/>
    <m/>
    <m/>
    <m/>
    <m/>
    <m/>
    <m/>
    <m/>
    <m/>
    <n v="13999.3752"/>
    <n v="-325.97116000000096"/>
    <m/>
    <m/>
    <m/>
    <m/>
    <n v="-448.80075999999974"/>
    <n v="125.46656000000009"/>
    <n v="31"/>
    <n v="-2.0620075824917876"/>
    <n v="0"/>
    <n v="0"/>
    <n v="0"/>
    <n v="0"/>
    <n v="0"/>
    <n v="0"/>
    <n v="0"/>
    <n v="91.67903226722683"/>
    <n v="0"/>
    <n v="0"/>
    <n v="125.46209988593728"/>
    <n v="0"/>
    <n v="0"/>
    <n v="0"/>
    <n v="14.037056499817027"/>
    <n v="0"/>
    <n v="-202.66072731296686"/>
    <m/>
    <n v="0"/>
    <n v="0"/>
    <n v="0"/>
    <n v="0"/>
    <n v="-26.807396334557666"/>
    <n v="-3.7720725879454804"/>
    <n v="0"/>
    <n v="0"/>
    <m/>
    <m/>
    <m/>
    <n v="7130.6946801430258"/>
    <n v="0"/>
    <n v="0"/>
    <n v="-448.80076000000008"/>
    <n v="125.4665600000003"/>
    <n v="0"/>
    <n v="0"/>
    <n v="-321.14674000155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2"/>
    <s v="Regular"/>
    <s v="Verde"/>
    <s v="A4"/>
    <s v="Comercial"/>
    <s v="Não se aplica"/>
    <s v="Não se aplica"/>
    <s v="Não se aplica"/>
    <s v="Ponta"/>
    <s v="CATIVO"/>
    <x v="1"/>
    <n v="0"/>
    <n v="0"/>
    <n v="6.4610000000000003"/>
    <n v="6.4610000000000003"/>
    <n v="6.4610000000000003"/>
    <n v="6.4610000000000003"/>
    <m/>
    <n v="2740.31"/>
    <n v="144.41999999999999"/>
    <m/>
    <n v="18638.240529999999"/>
    <n v="18638.240529999999"/>
    <n v="18261.499620000002"/>
    <n v="0"/>
    <n v="345.13918098884386"/>
    <n v="0"/>
    <n v="0"/>
    <n v="0"/>
    <n v="4862.9544363911673"/>
    <n v="12392.246883897507"/>
    <n v="933.10940247657004"/>
    <n v="0"/>
    <n v="0"/>
    <n v="0"/>
    <n v="0"/>
    <n v="0"/>
    <n v="61.268084273863266"/>
    <m/>
    <n v="3.2155440994913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307610076245673"/>
    <n v="0"/>
    <n v="0"/>
    <n v="0"/>
    <n v="0"/>
    <n v="0"/>
    <m/>
    <m/>
    <m/>
    <m/>
    <m/>
    <m/>
    <m/>
    <m/>
    <m/>
    <n v="973.41701255281566"/>
    <m/>
    <m/>
    <m/>
    <m/>
    <m/>
    <m/>
    <m/>
    <m/>
    <m/>
    <m/>
    <m/>
    <m/>
    <n v="18258.673199999997"/>
    <n v="-379.59732999999687"/>
    <m/>
    <m/>
    <m/>
    <m/>
    <n v="-414.4731500000006"/>
    <n v="37.732240000000026"/>
    <n v="31"/>
    <n v="181.40786793996904"/>
    <n v="0"/>
    <n v="0"/>
    <n v="0"/>
    <n v="0"/>
    <n v="0"/>
    <n v="0"/>
    <n v="0"/>
    <n v="203.52121601973795"/>
    <n v="0"/>
    <n v="0"/>
    <n v="37.730898685674902"/>
    <n v="0"/>
    <n v="0"/>
    <n v="0"/>
    <n v="1.6298649954783571"/>
    <n v="0"/>
    <n v="-53.024117225707244"/>
    <m/>
    <n v="0"/>
    <n v="0"/>
    <n v="0"/>
    <n v="0"/>
    <n v="-8.0619338911551495"/>
    <n v="-0.38806064405906771"/>
    <n v="0"/>
    <n v="0"/>
    <m/>
    <m/>
    <m/>
    <n v="12392.246883897507"/>
    <n v="0"/>
    <n v="0"/>
    <n v="-414.47314999999799"/>
    <n v="37.732239999999933"/>
    <n v="0"/>
    <n v="0"/>
    <n v="-558.11247943918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Fora ponta"/>
    <s v="CATIVO"/>
    <x v="1"/>
    <n v="0"/>
    <n v="0"/>
    <n v="392.959"/>
    <n v="392.959"/>
    <n v="392.959"/>
    <n v="392.959"/>
    <m/>
    <n v="69.64"/>
    <n v="144.41999999999999"/>
    <m/>
    <n v="84116.803539999994"/>
    <n v="84116.803539999994"/>
    <n v="82772.883759999997"/>
    <n v="0"/>
    <n v="20991.417338213138"/>
    <n v="0"/>
    <n v="0"/>
    <n v="0"/>
    <n v="0"/>
    <n v="0"/>
    <n v="56751.855392012141"/>
    <n v="0"/>
    <n v="0"/>
    <n v="0"/>
    <n v="0"/>
    <n v="0"/>
    <n v="3726.3341786369037"/>
    <m/>
    <n v="195.5698798625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51.5149586676093"/>
    <n v="0"/>
    <n v="0"/>
    <n v="0"/>
    <n v="0"/>
    <n v="0"/>
    <m/>
    <m/>
    <m/>
    <m/>
    <m/>
    <m/>
    <m/>
    <m/>
    <m/>
    <n v="59203.370350679754"/>
    <m/>
    <m/>
    <m/>
    <m/>
    <m/>
    <m/>
    <m/>
    <m/>
    <m/>
    <m/>
    <m/>
    <m/>
    <n v="82773.094400000002"/>
    <n v="-1343.739139999976"/>
    <m/>
    <m/>
    <m/>
    <m/>
    <n v="-3638.8003399999993"/>
    <n v="2294.8805600000014"/>
    <n v="31"/>
    <n v="-1344.9371843488043"/>
    <n v="0"/>
    <n v="0"/>
    <n v="0"/>
    <n v="0"/>
    <n v="0"/>
    <n v="0"/>
    <n v="0"/>
    <n v="0"/>
    <n v="0"/>
    <n v="0"/>
    <n v="2294.798981059299"/>
    <n v="0"/>
    <n v="0"/>
    <n v="0"/>
    <n v="99.128636241785898"/>
    <n v="0"/>
    <n v="-3224.9348523288463"/>
    <m/>
    <n v="0"/>
    <n v="0"/>
    <n v="0"/>
    <n v="0"/>
    <n v="-490.32804208859852"/>
    <n v="-23.601907232441931"/>
    <n v="0"/>
    <n v="0"/>
    <m/>
    <m/>
    <m/>
    <n v="0"/>
    <n v="0"/>
    <n v="0"/>
    <n v="-3638.800339999998"/>
    <n v="2294.8805600000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4"/>
    <s v="Regular"/>
    <s v="Verde"/>
    <s v="A4"/>
    <s v="Comercial"/>
    <s v="Não se aplica"/>
    <s v="Não se aplica"/>
    <s v="Não se aplica"/>
    <s v="Não se aplica"/>
    <s v="CATIVO"/>
    <x v="1"/>
    <n v="1882"/>
    <n v="1882"/>
    <n v="0"/>
    <n v="0"/>
    <n v="0"/>
    <n v="0"/>
    <n v="34.950000000000003"/>
    <m/>
    <m/>
    <n v="65775.900000000009"/>
    <m/>
    <n v="65775.900000000009"/>
    <n v="64891.359999999993"/>
    <n v="0"/>
    <n v="0"/>
    <n v="0"/>
    <n v="0"/>
    <n v="0"/>
    <n v="23844.525040524433"/>
    <n v="41940.0086420605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1737.11"/>
    <n v="15"/>
    <m/>
    <m/>
    <m/>
    <m/>
    <m/>
    <m/>
    <m/>
    <m/>
    <m/>
    <n v="0"/>
    <m/>
    <m/>
    <m/>
    <m/>
    <m/>
    <m/>
    <m/>
    <m/>
    <m/>
    <m/>
    <m/>
    <m/>
    <n v="64891.359999999993"/>
    <n v="-884.56999999999971"/>
    <m/>
    <m/>
    <m/>
    <m/>
    <n v="-884.54000000001122"/>
    <n v="0"/>
    <n v="31"/>
    <n v="997.92560163522649"/>
    <n v="0"/>
    <n v="0"/>
    <n v="0"/>
    <n v="0"/>
    <m/>
    <m/>
    <m/>
    <n v="997.925601635226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940.008642060595"/>
    <m/>
    <n v="0"/>
    <n v="0"/>
    <n v="-884.54000000001543"/>
    <m/>
    <n v="0"/>
    <m/>
    <n v="-1888.861836777505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75"/>
    <s v="Regular"/>
    <s v="Branca"/>
    <s v="B3"/>
    <s v="Comercial"/>
    <s v="Não se aplica"/>
    <s v="Não se aplica"/>
    <s v="Não se aplica"/>
    <s v="Ponta"/>
    <s v="CATIVO"/>
    <x v="1"/>
    <n v="0"/>
    <n v="0"/>
    <n v="0.114"/>
    <n v="0.114"/>
    <n v="0.114"/>
    <n v="0.114"/>
    <m/>
    <n v="1585.55"/>
    <n v="144.41999999999999"/>
    <m/>
    <n v="197.21657999999999"/>
    <n v="197.21657999999999"/>
    <n v="192.51978"/>
    <n v="0"/>
    <n v="6.9997111995986865"/>
    <n v="0"/>
    <n v="0"/>
    <n v="0"/>
    <n v="40.125288480251243"/>
    <n v="130.53901913498882"/>
    <n v="16.464087893875405"/>
    <n v="0"/>
    <n v="0"/>
    <n v="0"/>
    <n v="0"/>
    <n v="0"/>
    <n v="1.0810341444390053"/>
    <m/>
    <n v="0.16585349168388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420489709196479"/>
    <n v="0"/>
    <n v="0"/>
    <n v="0"/>
    <n v="0"/>
    <n v="0"/>
    <m/>
    <m/>
    <m/>
    <m/>
    <m/>
    <m/>
    <m/>
    <m/>
    <m/>
    <n v="18.306136864795054"/>
    <m/>
    <m/>
    <m/>
    <m/>
    <m/>
    <m/>
    <m/>
    <m/>
    <m/>
    <m/>
    <m/>
    <m/>
    <n v="185.7647"/>
    <n v="-11.481879999999961"/>
    <m/>
    <m/>
    <m/>
    <m/>
    <n v="-5.3625599999999958"/>
    <n v="0.66576000000000046"/>
    <n v="31"/>
    <n v="1.1818818735281837"/>
    <n v="0"/>
    <n v="0"/>
    <n v="0"/>
    <n v="0"/>
    <n v="0"/>
    <n v="0"/>
    <n v="0"/>
    <n v="1.6792975569608615"/>
    <n v="0"/>
    <n v="0"/>
    <n v="0.66573633341075933"/>
    <n v="0"/>
    <n v="0"/>
    <n v="0"/>
    <n v="7.4484474072758378E-2"/>
    <n v="0"/>
    <n v="-1.0753734366820984"/>
    <m/>
    <n v="0"/>
    <n v="0"/>
    <n v="0"/>
    <n v="0"/>
    <n v="-0.14224740188696605"/>
    <n v="-2.001565234713204E-2"/>
    <n v="0"/>
    <n v="0"/>
    <m/>
    <m/>
    <m/>
    <n v="130.53901913498882"/>
    <n v="0"/>
    <n v="0"/>
    <n v="-5.362560000000002"/>
    <n v="0.6657599999999988"/>
    <n v="0"/>
    <n v="0"/>
    <n v="-5.8791158952504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6"/>
    <s v="Regular"/>
    <s v="Branca"/>
    <s v="B3"/>
    <s v="Comercial"/>
    <s v="Não se aplica"/>
    <s v="Não se aplica"/>
    <s v="Não se aplica"/>
    <s v="Fora ponta"/>
    <s v="CATIVO"/>
    <x v="1"/>
    <n v="0"/>
    <n v="0"/>
    <n v="5.37"/>
    <n v="5.37"/>
    <n v="5.37"/>
    <n v="5.37"/>
    <m/>
    <n v="387.88"/>
    <n v="144.41999999999999"/>
    <m/>
    <n v="2858.451"/>
    <n v="2858.451"/>
    <n v="2795.4609"/>
    <n v="0"/>
    <n v="329.72323808635917"/>
    <n v="0"/>
    <n v="0"/>
    <n v="0"/>
    <n v="377.86002119470083"/>
    <n v="1229.8151868219734"/>
    <n v="775.54519289570976"/>
    <n v="0"/>
    <n v="0"/>
    <n v="0"/>
    <n v="0"/>
    <n v="0"/>
    <n v="50.922397856468926"/>
    <m/>
    <n v="7.8125723714249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770201524899207"/>
    <n v="0"/>
    <n v="0"/>
    <n v="0"/>
    <n v="0"/>
    <n v="0"/>
    <m/>
    <m/>
    <m/>
    <m/>
    <m/>
    <m/>
    <m/>
    <m/>
    <m/>
    <n v="862.31539442060898"/>
    <m/>
    <m/>
    <m/>
    <m/>
    <m/>
    <m/>
    <m/>
    <m/>
    <m/>
    <m/>
    <m/>
    <m/>
    <n v="2795.4609"/>
    <n v="-63.020100000000639"/>
    <m/>
    <m/>
    <m/>
    <m/>
    <n v="-94.350899999999967"/>
    <n v="31.360800000000019"/>
    <n v="31"/>
    <n v="-7.6169440575540648"/>
    <n v="0"/>
    <n v="0"/>
    <n v="0"/>
    <n v="0"/>
    <n v="0"/>
    <n v="0"/>
    <n v="0"/>
    <n v="15.813952609406044"/>
    <n v="0"/>
    <n v="0"/>
    <n v="31.359685179085886"/>
    <n v="0"/>
    <n v="0"/>
    <n v="0"/>
    <n v="3.5086107523746648"/>
    <n v="0"/>
    <n v="-50.655748727919899"/>
    <m/>
    <n v="0"/>
    <n v="0"/>
    <n v="0"/>
    <n v="0"/>
    <n v="-6.7006012994123409"/>
    <n v="-0.9428425710885886"/>
    <n v="0"/>
    <n v="0"/>
    <m/>
    <m/>
    <m/>
    <n v="1229.8151868219734"/>
    <n v="0"/>
    <n v="0"/>
    <n v="-94.350899999999683"/>
    <n v="31.36080000000004"/>
    <n v="0"/>
    <n v="0"/>
    <n v="-55.387470052831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67.2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78"/>
    <s v="Regular"/>
    <s v="Branca"/>
    <s v="B3"/>
    <s v="Comercial"/>
    <s v="Não se aplica"/>
    <s v="Não se aplica"/>
    <s v="Não se aplica"/>
    <s v="Intermediário"/>
    <s v="CATIVO"/>
    <x v="1"/>
    <n v="0"/>
    <n v="0"/>
    <n v="9.5000000000000001E-2"/>
    <n v="9.5000000000000001E-2"/>
    <n v="9.5000000000000001E-2"/>
    <n v="9.5000000000000001E-2"/>
    <m/>
    <n v="986.74"/>
    <n v="144.41999999999999"/>
    <m/>
    <n v="107.4602"/>
    <n v="107.4602"/>
    <n v="104.94555"/>
    <n v="0"/>
    <n v="5.8330926663322389"/>
    <n v="0"/>
    <n v="0"/>
    <n v="0"/>
    <n v="20.063602103336553"/>
    <n v="65.269521088317106"/>
    <n v="13.720073244896168"/>
    <n v="0"/>
    <n v="0"/>
    <n v="0"/>
    <n v="0"/>
    <n v="0"/>
    <n v="0.9008617870325043"/>
    <m/>
    <n v="0.13821124306990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350408090997065"/>
    <n v="0"/>
    <n v="0"/>
    <n v="0"/>
    <n v="0"/>
    <n v="0"/>
    <m/>
    <m/>
    <m/>
    <m/>
    <m/>
    <m/>
    <m/>
    <m/>
    <m/>
    <n v="15.255114053995875"/>
    <m/>
    <m/>
    <m/>
    <m/>
    <m/>
    <m/>
    <m/>
    <m/>
    <m/>
    <m/>
    <m/>
    <m/>
    <n v="110.46899999999999"/>
    <n v="2.9787999999999784"/>
    <m/>
    <m/>
    <m/>
    <m/>
    <n v="-3.0694500000000056"/>
    <n v="0.55480000000000029"/>
    <n v="31"/>
    <n v="0.42517579682322548"/>
    <n v="0"/>
    <n v="0"/>
    <n v="0"/>
    <n v="0"/>
    <n v="0"/>
    <n v="0"/>
    <n v="0"/>
    <n v="0.83968886635045337"/>
    <n v="0"/>
    <n v="0"/>
    <n v="0.55478027784230299"/>
    <n v="0"/>
    <n v="0"/>
    <n v="0"/>
    <n v="6.2070395060632055E-2"/>
    <n v="0"/>
    <n v="-0.89614453056841548"/>
    <m/>
    <n v="0"/>
    <n v="0"/>
    <n v="0"/>
    <n v="0"/>
    <n v="-0.11853950157247162"/>
    <n v="-1.66797102892767E-2"/>
    <n v="0"/>
    <n v="0"/>
    <m/>
    <m/>
    <m/>
    <n v="65.269521088317106"/>
    <n v="0"/>
    <n v="0"/>
    <n v="-3.0694500000000033"/>
    <n v="0.55480000000000018"/>
    <n v="0"/>
    <n v="0"/>
    <n v="-2.9395584664910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Não se aplica"/>
    <s v="Não se aplica"/>
    <s v="Não se aplica"/>
    <s v="Não se aplica"/>
    <s v="CATIVO"/>
    <x v="1"/>
    <n v="0"/>
    <n v="0"/>
    <n v="303.26799999999997"/>
    <n v="303.26799999999997"/>
    <n v="303.26799999999997"/>
    <n v="303.26799999999997"/>
    <m/>
    <n v="522.37"/>
    <n v="144.41999999999999"/>
    <m/>
    <n v="202216.06971999997"/>
    <n v="202216.06971999997"/>
    <n v="197651.88631999999"/>
    <n v="0"/>
    <n v="18620.951018244687"/>
    <n v="0"/>
    <n v="0"/>
    <n v="0"/>
    <n v="30922.31325770804"/>
    <n v="100656.83831025948"/>
    <n v="43798.51760877022"/>
    <n v="0"/>
    <n v="0"/>
    <n v="0"/>
    <n v="0"/>
    <n v="0"/>
    <n v="2875.8163413660368"/>
    <m/>
    <n v="441.21102382445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00.3026957268394"/>
    <n v="0"/>
    <n v="4.6399999999999997"/>
    <n v="21.52"/>
    <n v="45008.12"/>
    <n v="764"/>
    <m/>
    <m/>
    <m/>
    <m/>
    <m/>
    <n v="23715.5576"/>
    <m/>
    <m/>
    <m/>
    <n v="48698.820304497058"/>
    <m/>
    <m/>
    <m/>
    <m/>
    <m/>
    <m/>
    <m/>
    <m/>
    <m/>
    <m/>
    <m/>
    <m/>
    <n v="173937.47579999999"/>
    <n v="-4011.1185600000317"/>
    <m/>
    <m/>
    <m/>
    <m/>
    <n v="-6335.2685199999951"/>
    <n v="1771.0851200000009"/>
    <n v="31"/>
    <n v="-29.107285213482101"/>
    <n v="0"/>
    <n v="0"/>
    <n v="0"/>
    <n v="0"/>
    <n v="0"/>
    <n v="0"/>
    <n v="0"/>
    <n v="1294.1406049905672"/>
    <n v="0"/>
    <n v="0"/>
    <n v="1771.02216105978"/>
    <n v="0"/>
    <n v="0"/>
    <n v="0"/>
    <n v="198.14699546576594"/>
    <n v="0"/>
    <n v="-2860.7574683833918"/>
    <m/>
    <n v="0"/>
    <n v="0"/>
    <n v="0"/>
    <n v="0"/>
    <n v="-378.41302697768788"/>
    <n v="-53.246551368509131"/>
    <n v="0"/>
    <n v="0"/>
    <m/>
    <m/>
    <m/>
    <n v="100656.83831025948"/>
    <n v="0"/>
    <n v="0"/>
    <n v="-6335.2685199999833"/>
    <n v="1771.0851200000034"/>
    <n v="0"/>
    <n v="0"/>
    <n v="-4533.3052293238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1"/>
    <n v="-1"/>
    <n v="-1"/>
    <n v="-1"/>
    <m/>
    <n v="522.37"/>
    <n v="144.41999999999999"/>
    <m/>
    <n v="-666.79"/>
    <n v="-666.79"/>
    <n v="-651.74"/>
    <n v="0"/>
    <n v="-61.400975435076198"/>
    <n v="0"/>
    <n v="0"/>
    <n v="0"/>
    <n v="-101.963653460662"/>
    <n v="-331.907218401742"/>
    <n v="-144.42182363048599"/>
    <n v="0"/>
    <n v="0"/>
    <n v="0"/>
    <n v="0"/>
    <n v="0"/>
    <n v="-9.4827556529737294"/>
    <m/>
    <n v="-1.4548551902094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.1583243063127"/>
    <n v="0"/>
    <n v="0"/>
    <n v="0"/>
    <n v="-238.84"/>
    <n v="0"/>
    <m/>
    <m/>
    <m/>
    <m/>
    <m/>
    <n v="-78.200000000000017"/>
    <m/>
    <m/>
    <m/>
    <n v="-160.58014793679868"/>
    <m/>
    <m/>
    <m/>
    <m/>
    <m/>
    <m/>
    <m/>
    <m/>
    <m/>
    <m/>
    <m/>
    <m/>
    <n v="-573.54"/>
    <n v="13.200000000000045"/>
    <m/>
    <m/>
    <m/>
    <m/>
    <n v="20.889999999999986"/>
    <n v="-5.8400000000000034"/>
    <n v="31"/>
    <n v="9.5978755468649979E-2"/>
    <n v="0"/>
    <n v="0"/>
    <n v="0"/>
    <n v="0"/>
    <n v="0"/>
    <n v="0"/>
    <n v="0"/>
    <n v="-4.2673167132389977"/>
    <n v="0"/>
    <n v="0"/>
    <n v="-5.8397923983400233"/>
    <n v="0"/>
    <n v="0"/>
    <n v="0"/>
    <n v="-0.65337257958560002"/>
    <n v="0"/>
    <n v="9.4331003217727982"/>
    <m/>
    <n v="0"/>
    <n v="0"/>
    <n v="0"/>
    <n v="0"/>
    <n v="1.2477842270786486"/>
    <n v="0.17557589778186"/>
    <n v="0"/>
    <n v="0"/>
    <m/>
    <m/>
    <m/>
    <n v="-331.907218401742"/>
    <n v="0"/>
    <n v="0"/>
    <n v="20.889999999999986"/>
    <n v="-5.8400000000000034"/>
    <n v="0"/>
    <n v="0"/>
    <n v="14.94818190288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56699999999999995"/>
    <n v="0.56699999999999995"/>
    <n v="0.56699999999999995"/>
    <n v="0.56699999999999995"/>
    <m/>
    <n v="522.37"/>
    <n v="144.41999999999999"/>
    <m/>
    <n v="378.06993"/>
    <n v="378.06993"/>
    <n v="369.53657999999996"/>
    <n v="0"/>
    <n v="34.814353071688203"/>
    <n v="0"/>
    <n v="0"/>
    <n v="0"/>
    <n v="57.813391512195352"/>
    <n v="188.19139283378769"/>
    <n v="81.887173998485551"/>
    <n v="0"/>
    <n v="0"/>
    <n v="0"/>
    <n v="0"/>
    <n v="0"/>
    <n v="5.3767224552361039"/>
    <m/>
    <n v="0.82490289284878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617698816792998"/>
    <n v="0"/>
    <n v="0"/>
    <n v="0"/>
    <n v="271.67"/>
    <n v="4"/>
    <m/>
    <m/>
    <m/>
    <m/>
    <m/>
    <n v="44.339400000000005"/>
    <m/>
    <m/>
    <m/>
    <n v="91.048943880164856"/>
    <m/>
    <m/>
    <m/>
    <m/>
    <m/>
    <m/>
    <m/>
    <m/>
    <m/>
    <m/>
    <m/>
    <m/>
    <n v="326.91779999999994"/>
    <n v="-5.8107899999999972"/>
    <m/>
    <m/>
    <m/>
    <m/>
    <n v="-11.844629999999992"/>
    <n v="3.3112800000000018"/>
    <n v="31"/>
    <n v="-5.4419954350720445E-2"/>
    <n v="0"/>
    <n v="0"/>
    <n v="0"/>
    <n v="0"/>
    <n v="0"/>
    <n v="0"/>
    <n v="0"/>
    <n v="2.4195685764065118"/>
    <n v="0"/>
    <n v="0"/>
    <n v="3.3111622898587854"/>
    <n v="0"/>
    <n v="0"/>
    <n v="0"/>
    <n v="0.3704622526250354"/>
    <n v="0"/>
    <n v="-5.3485678824451774"/>
    <m/>
    <n v="0"/>
    <n v="0"/>
    <n v="0"/>
    <n v="0"/>
    <n v="-0.70749365675359321"/>
    <n v="-9.9551534042314649E-2"/>
    <n v="0"/>
    <n v="0"/>
    <m/>
    <m/>
    <m/>
    <n v="188.19139283378769"/>
    <n v="0"/>
    <n v="0"/>
    <n v="-11.844629999999995"/>
    <n v="3.3112800000000107"/>
    <n v="0"/>
    <n v="0"/>
    <n v="-8.475619138935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Não se aplica"/>
    <s v="Não se aplica"/>
    <s v="Não se aplica"/>
    <s v="Ponta"/>
    <s v="CATIVO"/>
    <x v="1"/>
    <n v="0"/>
    <n v="0"/>
    <n v="0.79800000000000004"/>
    <n v="0.76607999999999998"/>
    <n v="0.79800000000000004"/>
    <n v="0.76607999999999998"/>
    <m/>
    <n v="2740.31"/>
    <n v="144.41999999999999"/>
    <m/>
    <n v="2302.0145400000001"/>
    <n v="2302.0145400000001"/>
    <n v="2255.4831599999998"/>
    <n v="0"/>
    <n v="42.628241205556009"/>
    <n v="0"/>
    <n v="0"/>
    <n v="0"/>
    <n v="600.6249249713901"/>
    <n v="1530.5700376644809"/>
    <n v="115.24861525712782"/>
    <n v="0"/>
    <n v="0"/>
    <n v="0"/>
    <n v="0"/>
    <n v="0"/>
    <n v="7.5672390110730365"/>
    <m/>
    <n v="0.397152792353213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784047114756307"/>
    <n v="0"/>
    <n v="0"/>
    <n v="0"/>
    <n v="0"/>
    <n v="0"/>
    <m/>
    <m/>
    <m/>
    <m/>
    <m/>
    <n v="90.219326400000156"/>
    <m/>
    <m/>
    <m/>
    <n v="120.22701996860346"/>
    <m/>
    <m/>
    <m/>
    <m/>
    <m/>
    <m/>
    <m/>
    <m/>
    <m/>
    <m/>
    <m/>
    <m/>
    <n v="2176.3433999999997"/>
    <n v="-33.620558400000846"/>
    <m/>
    <m/>
    <m/>
    <m/>
    <n v="-51.191700000000075"/>
    <n v="4.6603200000000031"/>
    <n v="31"/>
    <n v="22.40573883548916"/>
    <n v="0"/>
    <n v="0"/>
    <n v="0"/>
    <n v="0"/>
    <n v="0"/>
    <n v="0"/>
    <n v="0"/>
    <n v="25.136964925514803"/>
    <n v="0"/>
    <n v="0"/>
    <n v="4.6601543338753402"/>
    <n v="0"/>
    <n v="0"/>
    <n v="0"/>
    <n v="0.20130510236677335"/>
    <n v="0"/>
    <n v="-6.5490242293939573"/>
    <m/>
    <n v="0"/>
    <n v="0"/>
    <n v="0"/>
    <n v="0"/>
    <n v="-0.99573181320876181"/>
    <n v="-4.7929483664933603E-2"/>
    <n v="0"/>
    <n v="0"/>
    <m/>
    <m/>
    <m/>
    <n v="1530.5700376644809"/>
    <n v="0"/>
    <n v="0"/>
    <n v="-51.19170000000031"/>
    <n v="4.6603199999999987"/>
    <n v="0"/>
    <n v="0"/>
    <n v="-68.932635597039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Não se aplica"/>
    <s v="Não se aplica"/>
    <s v="Não se aplica"/>
    <s v="Fora ponta"/>
    <s v="CATIVO"/>
    <x v="1"/>
    <n v="0"/>
    <n v="0"/>
    <n v="36.095999999999997"/>
    <n v="34.652159999999995"/>
    <n v="36.095999999999997"/>
    <n v="34.652159999999995"/>
    <m/>
    <n v="69.64"/>
    <n v="144.41999999999999"/>
    <m/>
    <n v="7726.7097599999979"/>
    <n v="7726.7097599999979"/>
    <n v="7603.2614399999984"/>
    <n v="0"/>
    <n v="1928.2067600949242"/>
    <n v="0"/>
    <n v="0"/>
    <n v="0"/>
    <n v="0"/>
    <n v="0"/>
    <n v="5213.0501457660221"/>
    <n v="0"/>
    <n v="0"/>
    <n v="0"/>
    <n v="0"/>
    <n v="0"/>
    <n v="342.28954804973972"/>
    <m/>
    <n v="17.964445103736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18859206193525"/>
    <n v="0"/>
    <n v="0"/>
    <n v="0"/>
    <n v="0"/>
    <n v="0"/>
    <m/>
    <m/>
    <m/>
    <m/>
    <m/>
    <n v="304.13045760000034"/>
    <m/>
    <m/>
    <m/>
    <n v="5438.2387378279573"/>
    <m/>
    <m/>
    <m/>
    <m/>
    <m/>
    <m/>
    <m/>
    <m/>
    <m/>
    <m/>
    <m/>
    <m/>
    <n v="7298.6759999999995"/>
    <n v="-118.99536960000023"/>
    <m/>
    <m/>
    <m/>
    <m/>
    <n v="-334.2489599999999"/>
    <n v="210.8006400000001"/>
    <n v="31"/>
    <n v="-123.54177562100449"/>
    <n v="0"/>
    <n v="0"/>
    <n v="0"/>
    <n v="0"/>
    <n v="0"/>
    <n v="0"/>
    <n v="0"/>
    <n v="0"/>
    <n v="0"/>
    <n v="0"/>
    <n v="210.79314641048131"/>
    <n v="0"/>
    <n v="0"/>
    <n v="0"/>
    <n v="9.1056503446504564"/>
    <n v="0"/>
    <n v="-296.23255461679719"/>
    <m/>
    <n v="0"/>
    <n v="0"/>
    <n v="0"/>
    <n v="0"/>
    <n v="-45.040019460630901"/>
    <n v="-2.1679982987085769"/>
    <n v="0"/>
    <n v="0"/>
    <m/>
    <m/>
    <m/>
    <n v="0"/>
    <n v="0"/>
    <n v="0"/>
    <n v="-334.2489599999999"/>
    <n v="210.80064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Não se aplica"/>
    <s v="Não se aplica"/>
    <s v="Não se aplica"/>
    <s v="Não se aplica"/>
    <s v="CATIVO"/>
    <x v="1"/>
    <n v="142"/>
    <n v="136.32"/>
    <n v="0"/>
    <n v="0"/>
    <n v="0"/>
    <n v="0"/>
    <n v="34.950000000000003"/>
    <m/>
    <m/>
    <n v="4962.9000000000005"/>
    <m/>
    <n v="4962.9000000000005"/>
    <n v="4896.16"/>
    <n v="0"/>
    <n v="0"/>
    <n v="0"/>
    <n v="0"/>
    <n v="0"/>
    <n v="1799.1086906240539"/>
    <n v="3164.44273494824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261.21"/>
    <n v="1"/>
    <m/>
    <m/>
    <m/>
    <m/>
    <m/>
    <n v="195.84640000000022"/>
    <m/>
    <m/>
    <m/>
    <n v="0"/>
    <m/>
    <m/>
    <m/>
    <m/>
    <m/>
    <m/>
    <m/>
    <m/>
    <m/>
    <m/>
    <m/>
    <m/>
    <n v="4700.3135999999995"/>
    <n v="-64.100400000001173"/>
    <m/>
    <m/>
    <m/>
    <m/>
    <n v="-66.740000000000848"/>
    <n v="0"/>
    <n v="31"/>
    <n v="75.295130410309412"/>
    <n v="0"/>
    <n v="0"/>
    <n v="0"/>
    <n v="0"/>
    <m/>
    <m/>
    <m/>
    <n v="75.2951304103094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64.4427349482485"/>
    <m/>
    <n v="0"/>
    <n v="0"/>
    <n v="-66.740000000000691"/>
    <m/>
    <n v="0"/>
    <m/>
    <n v="-142.51773688756884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8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66.320999999999998"/>
    <n v="66.320999999999998"/>
    <n v="66.320999999999998"/>
    <n v="66.320999999999998"/>
    <m/>
    <n v="522.37"/>
    <n v="144.41999999999999"/>
    <m/>
    <n v="44222.17959"/>
    <n v="44222.17959"/>
    <n v="43224.048539999996"/>
    <n v="0"/>
    <n v="4072.1740918296882"/>
    <n v="0"/>
    <n v="0"/>
    <n v="0"/>
    <n v="6762.3314611645646"/>
    <n v="22012.418631621931"/>
    <n v="9578.1997649974601"/>
    <n v="0"/>
    <n v="0"/>
    <n v="0"/>
    <n v="0"/>
    <n v="0"/>
    <n v="628.9058376608707"/>
    <m/>
    <n v="96.487451069883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1.6362263189646"/>
    <n v="0"/>
    <n v="320.49"/>
    <n v="1481.96"/>
    <n v="13539.71"/>
    <n v="125"/>
    <m/>
    <m/>
    <m/>
    <m/>
    <m/>
    <m/>
    <m/>
    <m/>
    <m/>
    <n v="10649.835991316424"/>
    <m/>
    <m/>
    <m/>
    <m/>
    <m/>
    <m/>
    <m/>
    <m/>
    <m/>
    <m/>
    <m/>
    <m/>
    <n v="43223.396799999995"/>
    <n v="-998.81279000001086"/>
    <m/>
    <m/>
    <m/>
    <m/>
    <n v="-1385.4456899999991"/>
    <n v="387.31464000000022"/>
    <n v="31"/>
    <n v="-6.3654070414340822"/>
    <n v="0"/>
    <n v="0"/>
    <n v="0"/>
    <n v="0"/>
    <n v="0"/>
    <n v="0"/>
    <n v="0"/>
    <n v="283.01271173872374"/>
    <n v="0"/>
    <n v="0"/>
    <n v="387.30087165031"/>
    <n v="0"/>
    <n v="0"/>
    <n v="0"/>
    <n v="43.332322850696528"/>
    <n v="0"/>
    <n v="-625.6126464402937"/>
    <m/>
    <n v="0"/>
    <n v="0"/>
    <n v="0"/>
    <n v="0"/>
    <n v="-82.754297724083017"/>
    <n v="-11.644369116790728"/>
    <n v="0"/>
    <n v="0"/>
    <m/>
    <m/>
    <m/>
    <n v="22012.418631621931"/>
    <n v="0"/>
    <n v="0"/>
    <n v="-1385.4456900000005"/>
    <n v="387.31464000000051"/>
    <n v="0"/>
    <n v="0"/>
    <n v="-991.37837198117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6"/>
    <s v="Sistema de Compensação"/>
    <s v="Convencional"/>
    <s v="B3"/>
    <s v="Poder público"/>
    <s v="Não se aplica"/>
    <s v="Não se aplica"/>
    <s v="Não se aplica"/>
    <s v="Não se aplica"/>
    <s v="CATIVO"/>
    <x v="1"/>
    <n v="0"/>
    <n v="0"/>
    <n v="1.5960000000000001"/>
    <n v="1.5960000000000001"/>
    <n v="1.5960000000000001"/>
    <n v="1.5960000000000001"/>
    <m/>
    <n v="522.37"/>
    <n v="144.41999999999999"/>
    <m/>
    <n v="1064.1968400000001"/>
    <n v="1064.1968400000001"/>
    <n v="1040.17704"/>
    <n v="0"/>
    <n v="97.995956794381613"/>
    <n v="0"/>
    <n v="0"/>
    <n v="0"/>
    <n v="162.73399092321657"/>
    <n v="529.72392056918022"/>
    <n v="230.49723051425565"/>
    <n v="0"/>
    <n v="0"/>
    <n v="0"/>
    <n v="0"/>
    <n v="0"/>
    <n v="15.134478022146073"/>
    <m/>
    <n v="2.321948883574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88685592875069"/>
    <n v="0"/>
    <n v="5.53"/>
    <n v="25.53"/>
    <n v="409.1"/>
    <n v="2"/>
    <m/>
    <m/>
    <m/>
    <m/>
    <m/>
    <m/>
    <m/>
    <m/>
    <m/>
    <n v="256.28591610713073"/>
    <m/>
    <m/>
    <m/>
    <m/>
    <m/>
    <m/>
    <m/>
    <m/>
    <m/>
    <m/>
    <m/>
    <m/>
    <n v="1042.7840000000001"/>
    <n v="-21.442839999999933"/>
    <m/>
    <m/>
    <m/>
    <m/>
    <n v="-33.34043999999998"/>
    <n v="9.3206400000000063"/>
    <n v="31"/>
    <n v="-0.15318209372810543"/>
    <n v="0"/>
    <n v="0"/>
    <n v="0"/>
    <n v="0"/>
    <n v="0"/>
    <n v="0"/>
    <n v="0"/>
    <n v="6.8106374743294396"/>
    <n v="0"/>
    <n v="0"/>
    <n v="9.3203086677506803"/>
    <n v="0"/>
    <n v="0"/>
    <n v="0"/>
    <n v="1.0427826370186182"/>
    <n v="0"/>
    <n v="-15.055228113549376"/>
    <m/>
    <n v="0"/>
    <n v="0"/>
    <n v="0"/>
    <n v="0"/>
    <n v="-1.9914636264175236"/>
    <n v="-0.28021913285984867"/>
    <n v="0"/>
    <n v="0"/>
    <m/>
    <m/>
    <m/>
    <n v="529.72392056918022"/>
    <n v="0"/>
    <n v="0"/>
    <n v="-33.340439999999944"/>
    <n v="9.3206399999999974"/>
    <n v="0"/>
    <n v="0"/>
    <n v="-23.85729831700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7"/>
    <s v="Regular"/>
    <s v="Verde"/>
    <s v="A4"/>
    <s v="Poder público"/>
    <s v="Não se aplica"/>
    <s v="Não se aplica"/>
    <s v="Não se aplica"/>
    <s v="Ponta"/>
    <s v="CATIVO"/>
    <x v="1"/>
    <n v="0"/>
    <n v="0"/>
    <n v="9.0999999999999998E-2"/>
    <n v="9.0999999999999998E-2"/>
    <n v="9.0999999999999998E-2"/>
    <n v="9.0999999999999998E-2"/>
    <m/>
    <n v="2740.31"/>
    <n v="144.41999999999999"/>
    <m/>
    <n v="262.51042999999999"/>
    <n v="262.51042999999999"/>
    <n v="257.20421999999996"/>
    <n v="0"/>
    <n v="4.8611152251949834"/>
    <n v="0"/>
    <n v="0"/>
    <n v="0"/>
    <n v="68.492316005509394"/>
    <n v="174.53868850559869"/>
    <n v="13.142385950374225"/>
    <n v="0"/>
    <n v="0"/>
    <n v="0"/>
    <n v="0"/>
    <n v="0"/>
    <n v="0.86293076442060934"/>
    <m/>
    <n v="4.52893535139629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771281797529116"/>
    <n v="0"/>
    <n v="0"/>
    <n v="0"/>
    <n v="0"/>
    <n v="0"/>
    <m/>
    <m/>
    <m/>
    <m/>
    <m/>
    <m/>
    <m/>
    <m/>
    <m/>
    <n v="13.710098768349516"/>
    <m/>
    <m/>
    <m/>
    <m/>
    <m/>
    <m/>
    <m/>
    <m/>
    <m/>
    <m/>
    <m/>
    <m/>
    <n v="254.37779999999998"/>
    <n v="-8.1626299999999787"/>
    <m/>
    <m/>
    <m/>
    <m/>
    <n v="-5.837650000000008"/>
    <n v="0.53144000000000025"/>
    <n v="31"/>
    <n v="2.5550403935206845"/>
    <n v="0"/>
    <n v="0"/>
    <n v="0"/>
    <n v="0"/>
    <n v="0"/>
    <n v="0"/>
    <n v="0"/>
    <n v="2.8664960002779907"/>
    <n v="0"/>
    <n v="0"/>
    <n v="0.53142110824894218"/>
    <n v="0"/>
    <n v="0"/>
    <n v="0"/>
    <n v="2.2955845006737419E-2"/>
    <n v="0"/>
    <n v="-0.74681855247474971"/>
    <m/>
    <n v="0"/>
    <n v="0"/>
    <n v="0"/>
    <n v="0"/>
    <n v="-0.11354836466415696"/>
    <n v="-5.4656428740713775E-3"/>
    <n v="0"/>
    <n v="0"/>
    <m/>
    <m/>
    <m/>
    <n v="174.53868850559869"/>
    <n v="0"/>
    <n v="0"/>
    <n v="-5.8376499999999965"/>
    <n v="0.53143999999999991"/>
    <n v="0"/>
    <n v="0"/>
    <n v="-7.8607391470307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8"/>
    <s v="Regular"/>
    <s v="Verde"/>
    <s v="A4"/>
    <s v="Poder público"/>
    <s v="Não se aplica"/>
    <s v="Não se aplica"/>
    <s v="Não se aplica"/>
    <s v="Fora ponta"/>
    <s v="CATIVO"/>
    <x v="1"/>
    <n v="0"/>
    <n v="0"/>
    <n v="2.0419999999999998"/>
    <n v="2.0419999999999998"/>
    <n v="2.0419999999999998"/>
    <n v="2.0419999999999998"/>
    <m/>
    <n v="69.64"/>
    <n v="144.41999999999999"/>
    <m/>
    <n v="437.11051999999995"/>
    <n v="437.11051999999995"/>
    <n v="430.12687999999991"/>
    <n v="0"/>
    <n v="109.08128889943028"/>
    <n v="0"/>
    <n v="0"/>
    <n v="0"/>
    <n v="0"/>
    <n v="0"/>
    <n v="294.90936385345236"/>
    <n v="0"/>
    <n v="0"/>
    <n v="0"/>
    <n v="0"/>
    <n v="0"/>
    <n v="19.363787043372355"/>
    <m/>
    <n v="1.0162731854451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739226091269719"/>
    <n v="0"/>
    <n v="0"/>
    <n v="0"/>
    <n v="0"/>
    <n v="0"/>
    <m/>
    <m/>
    <m/>
    <m/>
    <m/>
    <m/>
    <m/>
    <m/>
    <m/>
    <n v="307.64858994472206"/>
    <m/>
    <m/>
    <m/>
    <m/>
    <m/>
    <m/>
    <m/>
    <m/>
    <m/>
    <m/>
    <m/>
    <m/>
    <n v="429.7056"/>
    <n v="-7.43491999999992"/>
    <m/>
    <m/>
    <m/>
    <m/>
    <n v="-18.908919999999995"/>
    <n v="11.925280000000006"/>
    <n v="31"/>
    <n v="-6.988926912070383"/>
    <n v="0"/>
    <n v="0"/>
    <n v="0"/>
    <n v="0"/>
    <n v="0"/>
    <n v="0"/>
    <n v="0"/>
    <n v="0"/>
    <n v="0"/>
    <n v="0"/>
    <n v="11.924856077410311"/>
    <n v="0"/>
    <n v="0"/>
    <n v="0"/>
    <n v="0.51511907146986502"/>
    <n v="0"/>
    <n v="-16.758280045642181"/>
    <m/>
    <n v="0"/>
    <n v="0"/>
    <n v="0"/>
    <n v="0"/>
    <n v="-2.5479753916946031"/>
    <n v="-0.12264662361377754"/>
    <n v="0"/>
    <n v="0"/>
    <m/>
    <m/>
    <m/>
    <n v="0"/>
    <n v="0"/>
    <n v="0"/>
    <n v="-18.908919999999981"/>
    <n v="11.92527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89"/>
    <s v="Regular"/>
    <s v="Verde"/>
    <s v="A4"/>
    <s v="Poder público"/>
    <s v="Não se aplica"/>
    <s v="Não se aplica"/>
    <s v="Não se aplica"/>
    <s v="Não se aplica"/>
    <s v="CATIVO"/>
    <x v="1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53"/>
    <n v="99.42"/>
    <n v="696.51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1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90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398.983"/>
    <n v="398.983"/>
    <n v="398.983"/>
    <n v="398.983"/>
    <m/>
    <n v="287.3"/>
    <n v="79.430000000000007"/>
    <m/>
    <n v="146319.03559000001"/>
    <n v="146319.03559000001"/>
    <n v="143019.44618"/>
    <n v="0"/>
    <n v="13473.869960107149"/>
    <n v="0"/>
    <n v="0"/>
    <n v="0"/>
    <n v="22374.970391782419"/>
    <n v="72833.935745770184"/>
    <n v="31692.018851659286"/>
    <n v="0"/>
    <n v="0"/>
    <n v="0"/>
    <n v="0"/>
    <n v="0"/>
    <n v="2080.9020642797291"/>
    <m/>
    <n v="319.2543685954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5.7931886880642"/>
    <n v="0"/>
    <n v="1274.53"/>
    <n v="5882.63"/>
    <n v="65362.48"/>
    <n v="6"/>
    <m/>
    <m/>
    <m/>
    <m/>
    <m/>
    <m/>
    <m/>
    <m/>
    <m/>
    <n v="35237.812040347351"/>
    <m/>
    <m/>
    <m/>
    <m/>
    <m/>
    <m/>
    <m/>
    <m/>
    <m/>
    <m/>
    <m/>
    <m/>
    <n v="143018.3708"/>
    <n v="-3300.6947900000087"/>
    <m/>
    <m/>
    <m/>
    <m/>
    <n v="-4580.3248400000075"/>
    <n v="1280.7354299999975"/>
    <n v="31"/>
    <n v="-21.061640486470424"/>
    <n v="0"/>
    <n v="0"/>
    <n v="0"/>
    <n v="0"/>
    <n v="0"/>
    <n v="0"/>
    <n v="0"/>
    <n v="936.4227533089288"/>
    <n v="0"/>
    <n v="0"/>
    <n v="1281.4878397566317"/>
    <n v="0"/>
    <n v="0"/>
    <n v="0"/>
    <n v="143.37650355644064"/>
    <n v="0"/>
    <n v="-2070.0056661250164"/>
    <m/>
    <n v="0"/>
    <n v="0"/>
    <n v="0"/>
    <n v="0"/>
    <n v="-273.81458184988355"/>
    <n v="-38.528489133586106"/>
    <n v="0"/>
    <n v="0"/>
    <m/>
    <m/>
    <m/>
    <n v="72833.935745770184"/>
    <n v="0"/>
    <n v="0"/>
    <n v="-4580.3248400000011"/>
    <n v="1280.735429999997"/>
    <n v="0"/>
    <n v="0"/>
    <n v="-3280.2387530870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1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6.812000000000001"/>
    <n v="15.803280000000001"/>
    <n v="16.812000000000001"/>
    <n v="15.803280000000001"/>
    <m/>
    <n v="522.37"/>
    <n v="144.41999999999999"/>
    <m/>
    <n v="11210.073480000001"/>
    <n v="11210.073480000001"/>
    <n v="10957.052879999999"/>
    <n v="0"/>
    <n v="1032.2731990145012"/>
    <n v="0"/>
    <n v="0"/>
    <n v="0"/>
    <n v="1714.2129419806497"/>
    <n v="5580.0241557700865"/>
    <n v="2428.0196988757307"/>
    <n v="0"/>
    <n v="0"/>
    <n v="0"/>
    <n v="0"/>
    <n v="0"/>
    <n v="159.42408803779435"/>
    <m/>
    <n v="24.459025457801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1.65374823772913"/>
    <n v="0"/>
    <n v="76.62"/>
    <n v="354.74"/>
    <n v="4162.04"/>
    <n v="33"/>
    <m/>
    <m/>
    <m/>
    <m/>
    <n v="657.4231728000002"/>
    <m/>
    <m/>
    <m/>
    <m/>
    <n v="2699.6734471134596"/>
    <m/>
    <m/>
    <m/>
    <m/>
    <m/>
    <m/>
    <m/>
    <m/>
    <m/>
    <m/>
    <m/>
    <m/>
    <n v="10297.492000000002"/>
    <n v="-240.0070711999997"/>
    <m/>
    <m/>
    <m/>
    <m/>
    <n v="-351.20267999999982"/>
    <n v="98.18208000000007"/>
    <n v="31"/>
    <n v="-1.6135948369392281"/>
    <n v="0"/>
    <n v="0"/>
    <n v="0"/>
    <n v="0"/>
    <n v="0"/>
    <n v="0"/>
    <n v="0"/>
    <n v="71.742128582973919"/>
    <n v="0"/>
    <n v="0"/>
    <n v="98.178589800892496"/>
    <n v="0"/>
    <n v="0"/>
    <n v="0"/>
    <n v="10.984499807993132"/>
    <n v="0"/>
    <n v="-158.58928260964433"/>
    <m/>
    <n v="0"/>
    <n v="0"/>
    <n v="0"/>
    <n v="0"/>
    <n v="-20.97774842564624"/>
    <n v="-2.9517819935086287"/>
    <n v="0"/>
    <n v="0"/>
    <m/>
    <m/>
    <m/>
    <n v="5580.0241557700865"/>
    <n v="0"/>
    <n v="0"/>
    <n v="-351.20268000000033"/>
    <n v="98.182080000000042"/>
    <n v="0"/>
    <n v="0"/>
    <n v="-251.3088341512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2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5.6"/>
    <n v="5.6"/>
    <n v="5.6"/>
    <n v="5.6"/>
    <m/>
    <n v="522.37"/>
    <n v="144.41999999999999"/>
    <m/>
    <n v="3734.0239999999999"/>
    <n v="3734.0239999999999"/>
    <n v="3649.7439999999997"/>
    <n v="0"/>
    <n v="343.84546243642671"/>
    <n v="0"/>
    <n v="0"/>
    <n v="0"/>
    <n v="570.99645937970718"/>
    <n v="1858.6804230497551"/>
    <n v="808.76221233072147"/>
    <n v="0"/>
    <n v="0"/>
    <n v="0"/>
    <n v="0"/>
    <n v="0"/>
    <n v="53.10343165665288"/>
    <m/>
    <n v="8.1471890651731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486616115351111"/>
    <n v="0"/>
    <n v="0"/>
    <n v="0"/>
    <n v="0"/>
    <n v="3"/>
    <m/>
    <m/>
    <m/>
    <m/>
    <m/>
    <m/>
    <m/>
    <m/>
    <m/>
    <n v="899.24882844607259"/>
    <m/>
    <m/>
    <m/>
    <m/>
    <m/>
    <m/>
    <m/>
    <m/>
    <m/>
    <m/>
    <m/>
    <m/>
    <n v="3649.7439999999997"/>
    <n v="-84.310000000000855"/>
    <m/>
    <m/>
    <m/>
    <m/>
    <n v="-116.98399999999991"/>
    <n v="32.704000000000015"/>
    <n v="31"/>
    <n v="-0.53748103062480368"/>
    <n v="0"/>
    <n v="0"/>
    <n v="0"/>
    <n v="0"/>
    <n v="0"/>
    <n v="0"/>
    <n v="0"/>
    <n v="23.896973594138331"/>
    <n v="0"/>
    <n v="0"/>
    <n v="32.702837430704108"/>
    <n v="0"/>
    <n v="0"/>
    <n v="0"/>
    <n v="3.6588864456793573"/>
    <n v="0"/>
    <n v="-52.82536180192767"/>
    <m/>
    <n v="0"/>
    <n v="0"/>
    <n v="0"/>
    <n v="0"/>
    <n v="-6.9875916716404305"/>
    <n v="-0.98322502757841512"/>
    <n v="0"/>
    <n v="0"/>
    <m/>
    <m/>
    <m/>
    <n v="1858.6804230497551"/>
    <n v="0"/>
    <n v="0"/>
    <n v="-116.98399999999992"/>
    <n v="32.704000000000065"/>
    <n v="0"/>
    <n v="0"/>
    <n v="-83.709818656150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3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3.7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94"/>
    <s v="Regular"/>
    <s v="Convencional"/>
    <s v="B2"/>
    <s v="Rural"/>
    <s v="Agropecuária rural"/>
    <s v="IRRIG./AQUIC."/>
    <s v="Não se aplica"/>
    <s v="Não se aplica"/>
    <s v="CATIVO"/>
    <x v="1"/>
    <n v="0"/>
    <n v="0"/>
    <n v="1.0900000000000001"/>
    <n v="1.0900000000000001"/>
    <n v="1.0900000000000001"/>
    <n v="1.0900000000000001"/>
    <m/>
    <n v="522.37"/>
    <n v="144.41999999999999"/>
    <m/>
    <n v="726.80110000000013"/>
    <n v="726.80110000000013"/>
    <n v="710.39660000000003"/>
    <n v="0"/>
    <n v="66.927063224233066"/>
    <n v="0"/>
    <n v="0"/>
    <n v="0"/>
    <n v="111.14038227212158"/>
    <n v="361.77886805789882"/>
    <n v="157.41978775722973"/>
    <n v="0"/>
    <n v="0"/>
    <n v="0"/>
    <n v="0"/>
    <n v="0"/>
    <n v="10.336203661741365"/>
    <m/>
    <n v="1.5857921573283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12573493880845"/>
    <n v="0"/>
    <n v="0"/>
    <n v="0"/>
    <n v="0"/>
    <n v="0"/>
    <m/>
    <m/>
    <m/>
    <m/>
    <m/>
    <n v="85.238000000000028"/>
    <m/>
    <m/>
    <m/>
    <n v="175.03236125111056"/>
    <m/>
    <m/>
    <m/>
    <m/>
    <m/>
    <m/>
    <m/>
    <m/>
    <m/>
    <m/>
    <m/>
    <m/>
    <n v="625.15859999999998"/>
    <n v="-14.450700000000097"/>
    <m/>
    <m/>
    <m/>
    <m/>
    <n v="-22.770099999999985"/>
    <n v="6.3656000000000041"/>
    <n v="31"/>
    <n v="-0.10461684346086031"/>
    <n v="0"/>
    <n v="0"/>
    <n v="0"/>
    <n v="0"/>
    <n v="0"/>
    <n v="0"/>
    <n v="0"/>
    <n v="4.6513752174305125"/>
    <n v="0"/>
    <n v="0"/>
    <n v="6.365373714190639"/>
    <n v="0"/>
    <n v="0"/>
    <n v="0"/>
    <n v="0.71217611174830253"/>
    <n v="0"/>
    <n v="-10.282079350732353"/>
    <m/>
    <n v="0"/>
    <n v="0"/>
    <n v="0"/>
    <n v="0"/>
    <n v="-1.3600848075157259"/>
    <n v="-0.19137772858222757"/>
    <n v="0"/>
    <n v="0"/>
    <m/>
    <m/>
    <m/>
    <n v="361.77886805789882"/>
    <n v="0"/>
    <n v="0"/>
    <n v="-22.77010000000007"/>
    <n v="6.3656000000000006"/>
    <n v="0"/>
    <n v="0"/>
    <n v="-16.2935182741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5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73"/>
    <n v="0.29199999999999998"/>
    <n v="0.73"/>
    <n v="0.29199999999999998"/>
    <m/>
    <n v="522.37"/>
    <n v="144.41999999999999"/>
    <m/>
    <n v="486.75670000000002"/>
    <n v="486.75670000000002"/>
    <n v="475.77019999999999"/>
    <n v="0"/>
    <n v="44.822712067605622"/>
    <n v="0"/>
    <n v="0"/>
    <n v="0"/>
    <n v="74.433467026283253"/>
    <n v="242.29226943327166"/>
    <n v="105.42793125025477"/>
    <n v="0"/>
    <n v="0"/>
    <n v="0"/>
    <n v="0"/>
    <n v="0"/>
    <n v="6.9224116266708222"/>
    <m/>
    <n v="1.0620442888529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95576743608271"/>
    <n v="0"/>
    <n v="0"/>
    <n v="0"/>
    <n v="0"/>
    <n v="0"/>
    <m/>
    <m/>
    <m/>
    <m/>
    <m/>
    <m/>
    <n v="308.29652000000004"/>
    <m/>
    <m/>
    <n v="117.22350799386304"/>
    <m/>
    <m/>
    <m/>
    <m/>
    <m/>
    <m/>
    <m/>
    <m/>
    <m/>
    <m/>
    <m/>
    <m/>
    <n v="166.32659999999998"/>
    <n v="-5.040239999999983"/>
    <m/>
    <m/>
    <m/>
    <m/>
    <n v="-15.24969999999999"/>
    <n v="4.2632000000000021"/>
    <n v="31"/>
    <n v="-7.0064491492161096E-2"/>
    <n v="0"/>
    <n v="0"/>
    <n v="0"/>
    <n v="0"/>
    <n v="0"/>
    <n v="0"/>
    <n v="0"/>
    <n v="3.1151412006644676"/>
    <n v="0"/>
    <n v="0"/>
    <n v="4.2630484507882187"/>
    <n v="0"/>
    <n v="0"/>
    <n v="0"/>
    <n v="0.47696198309748894"/>
    <n v="0"/>
    <n v="-6.8861632348941413"/>
    <m/>
    <n v="0"/>
    <n v="0"/>
    <n v="0"/>
    <n v="0"/>
    <n v="-0.91088248576741382"/>
    <n v="-0.12817040538075775"/>
    <n v="0"/>
    <n v="0"/>
    <m/>
    <m/>
    <m/>
    <n v="242.29226943327166"/>
    <n v="0"/>
    <n v="0"/>
    <n v="-15.249700000000018"/>
    <n v="4.2631999999999977"/>
    <n v="0"/>
    <n v="0"/>
    <n v="-10.91217278910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6"/>
    <s v="Regular"/>
    <s v="Convencional"/>
    <s v="B1"/>
    <s v="Residencial"/>
    <s v="Residencial"/>
    <s v="Não se aplica"/>
    <s v="Não se aplica"/>
    <s v="Não se aplica"/>
    <s v="CATIVO"/>
    <x v="2"/>
    <n v="0"/>
    <n v="0"/>
    <n v="2298.2170000000001"/>
    <n v="2298.2170000000001"/>
    <n v="2298.2170000000001"/>
    <n v="2298.2170000000001"/>
    <m/>
    <n v="522.37"/>
    <n v="144.41999999999999"/>
    <m/>
    <n v="1532428.1134300001"/>
    <n v="1532428.1134300001"/>
    <n v="1497839.9475800002"/>
    <n v="0"/>
    <n v="141112.76556147452"/>
    <n v="0"/>
    <n v="0"/>
    <n v="0"/>
    <n v="234334.60176540224"/>
    <n v="762794.8117535963"/>
    <n v="331912.69023858465"/>
    <n v="0"/>
    <n v="0"/>
    <n v="0"/>
    <n v="0"/>
    <n v="0"/>
    <n v="21793.430248510325"/>
    <m/>
    <n v="3343.5729306776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35.335612281058"/>
    <n v="0"/>
    <n v="545.98"/>
    <n v="2535.71"/>
    <n v="335458.31"/>
    <n v="11966"/>
    <m/>
    <m/>
    <m/>
    <m/>
    <m/>
    <m/>
    <m/>
    <m/>
    <m/>
    <n v="369048.0258508657"/>
    <m/>
    <m/>
    <m/>
    <m/>
    <m/>
    <m/>
    <m/>
    <m/>
    <m/>
    <m/>
    <m/>
    <m/>
    <n v="1497841.9027999998"/>
    <n v="-34586.240630000364"/>
    <m/>
    <m/>
    <m/>
    <m/>
    <n v="-48009.753129999968"/>
    <n v="13421.587280000009"/>
    <n v="30"/>
    <n v="-220.58000745682511"/>
    <n v="0"/>
    <n v="0"/>
    <n v="0"/>
    <n v="0"/>
    <n v="0"/>
    <n v="0"/>
    <n v="0"/>
    <n v="9807.2198147499876"/>
    <n v="0"/>
    <n v="0"/>
    <n v="13421.110166335769"/>
    <n v="0"/>
    <n v="0"/>
    <n v="0"/>
    <n v="1501.5919697374775"/>
    <n v="0"/>
    <n v="-21679.311522203716"/>
    <m/>
    <n v="0"/>
    <n v="0"/>
    <n v="0"/>
    <n v="0"/>
    <n v="-2867.6789230040085"/>
    <n v="-403.51151307253303"/>
    <n v="0"/>
    <n v="0"/>
    <m/>
    <m/>
    <m/>
    <n v="762794.8117535963"/>
    <n v="0"/>
    <n v="0"/>
    <n v="-48009.753130000085"/>
    <n v="13421.587280000036"/>
    <n v="0"/>
    <n v="0"/>
    <n v="-34354.1657683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.891"/>
    <n v="-10.891"/>
    <n v="-10.891"/>
    <n v="-10.891"/>
    <m/>
    <n v="522.37"/>
    <n v="144.41999999999999"/>
    <m/>
    <n v="-7262.0098899999994"/>
    <n v="-7262.0098899999994"/>
    <n v="-7098.1003400000009"/>
    <n v="0"/>
    <n v="-668.71802346341485"/>
    <n v="0"/>
    <n v="0"/>
    <n v="0"/>
    <n v="-1110.4861498400699"/>
    <n v="-3614.801515613372"/>
    <n v="-1572.898081159623"/>
    <n v="0"/>
    <n v="0"/>
    <n v="0"/>
    <n v="0"/>
    <n v="0"/>
    <n v="-103.27669181653688"/>
    <m/>
    <n v="-15.8448278765715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5.9803100200516"/>
    <n v="0"/>
    <n v="-37.24"/>
    <n v="-171.81"/>
    <n v="-2538.15"/>
    <n v="0"/>
    <m/>
    <m/>
    <m/>
    <m/>
    <m/>
    <m/>
    <m/>
    <m/>
    <m/>
    <n v="-1748.8783911796745"/>
    <m/>
    <m/>
    <m/>
    <m/>
    <m/>
    <m/>
    <m/>
    <m/>
    <m/>
    <m/>
    <m/>
    <m/>
    <n v="-7097.4486000000006"/>
    <n v="164.53128999999808"/>
    <m/>
    <m/>
    <m/>
    <m/>
    <n v="227.51298999999986"/>
    <n v="-63.603440000000035"/>
    <n v="30"/>
    <n v="1.0453046258094219"/>
    <n v="0"/>
    <n v="0"/>
    <n v="0"/>
    <n v="0"/>
    <n v="0"/>
    <n v="0"/>
    <n v="0"/>
    <n v="-46.475346323886015"/>
    <n v="0"/>
    <n v="0"/>
    <n v="-63.601179010321175"/>
    <n v="0"/>
    <n v="0"/>
    <n v="0"/>
    <n v="-7.1158807642667909"/>
    <n v="0"/>
    <n v="102.73589560442747"/>
    <m/>
    <n v="0"/>
    <n v="0"/>
    <n v="0"/>
    <n v="0"/>
    <n v="13.589618017113551"/>
    <n v="1.9121971027422369"/>
    <n v="0"/>
    <n v="0"/>
    <m/>
    <m/>
    <m/>
    <n v="-3614.801515613372"/>
    <n v="0"/>
    <n v="0"/>
    <n v="227.51298999999926"/>
    <n v="-63.603440000000091"/>
    <n v="0"/>
    <n v="0"/>
    <n v="162.80064910430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5.09"/>
    <n v="5.09"/>
    <n v="5.09"/>
    <n v="5.09"/>
    <m/>
    <n v="522.37"/>
    <n v="144.41999999999999"/>
    <m/>
    <n v="3393.9611"/>
    <n v="3393.9611"/>
    <n v="3317.3565999999996"/>
    <n v="0"/>
    <n v="312.53096496453782"/>
    <n v="0"/>
    <n v="0"/>
    <n v="0"/>
    <n v="518.99499611476961"/>
    <n v="1689.4077416648668"/>
    <n v="735.10708227917371"/>
    <n v="0"/>
    <n v="0"/>
    <n v="0"/>
    <n v="0"/>
    <n v="0"/>
    <n v="48.267226273636282"/>
    <m/>
    <n v="7.4052129181663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245870719131645"/>
    <n v="0"/>
    <n v="0.46"/>
    <n v="2.2200000000000002"/>
    <n v="3796.33"/>
    <n v="63"/>
    <m/>
    <m/>
    <m/>
    <m/>
    <m/>
    <m/>
    <m/>
    <m/>
    <m/>
    <n v="817.35295299830534"/>
    <m/>
    <m/>
    <m/>
    <m/>
    <m/>
    <m/>
    <m/>
    <m/>
    <m/>
    <m/>
    <m/>
    <m/>
    <n v="3317.3565999999996"/>
    <n v="-76.634500000001026"/>
    <m/>
    <m/>
    <m/>
    <m/>
    <n v="-106.33009999999993"/>
    <n v="29.725600000000018"/>
    <n v="30"/>
    <n v="-0.48853186533574444"/>
    <n v="0"/>
    <n v="0"/>
    <n v="0"/>
    <n v="0"/>
    <n v="0"/>
    <n v="0"/>
    <n v="0"/>
    <n v="21.720642070386475"/>
    <n v="0"/>
    <n v="0"/>
    <n v="29.724543307550675"/>
    <n v="0"/>
    <n v="0"/>
    <n v="0"/>
    <n v="3.3256664300907062"/>
    <n v="0"/>
    <n v="-48.01448063782351"/>
    <m/>
    <n v="0"/>
    <n v="0"/>
    <n v="0"/>
    <n v="0"/>
    <n v="-6.3512217158303201"/>
    <n v="-0.89368131970966758"/>
    <n v="0"/>
    <n v="0"/>
    <m/>
    <m/>
    <m/>
    <n v="1689.4077416648668"/>
    <n v="0"/>
    <n v="0"/>
    <n v="-106.33010000000013"/>
    <n v="29.725599999999986"/>
    <n v="0"/>
    <n v="0"/>
    <n v="-76.086245885679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9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5.48"/>
    <n v="15.48"/>
    <n v="15.48"/>
    <n v="15.48"/>
    <m/>
    <n v="451.48"/>
    <n v="144.41999999999999"/>
    <m/>
    <n v="9224.5320000000011"/>
    <n v="9224.5320000000011"/>
    <n v="9157.0391999999993"/>
    <n v="0"/>
    <n v="0"/>
    <n v="0"/>
    <n v="0"/>
    <n v="0"/>
    <n v="1578.3973555710479"/>
    <n v="5137.9237408589661"/>
    <n v="2235.6498297999233"/>
    <n v="0"/>
    <n v="0"/>
    <n v="0"/>
    <n v="0"/>
    <n v="0"/>
    <n v="0"/>
    <m/>
    <n v="22.521158344442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13086026172061"/>
    <n v="0"/>
    <n v="0.86"/>
    <n v="3.74"/>
    <n v="387.94"/>
    <n v="9"/>
    <m/>
    <m/>
    <m/>
    <m/>
    <m/>
    <m/>
    <m/>
    <n v="5952.0599999999995"/>
    <m/>
    <n v="2485.7806900616438"/>
    <m/>
    <m/>
    <m/>
    <m/>
    <m/>
    <m/>
    <m/>
    <m/>
    <m/>
    <m/>
    <m/>
    <m/>
    <n v="3204.9791999999998"/>
    <n v="-23.714400000001206"/>
    <m/>
    <m/>
    <m/>
    <m/>
    <n v="-157.8960000000007"/>
    <n v="90.403200000000055"/>
    <n v="30"/>
    <n v="163.85434168156507"/>
    <n v="0"/>
    <n v="0"/>
    <n v="0"/>
    <n v="0"/>
    <n v="0"/>
    <n v="0"/>
    <n v="0"/>
    <n v="66.058062720939688"/>
    <n v="0"/>
    <n v="0"/>
    <n v="90.399986326303406"/>
    <n v="0"/>
    <n v="0"/>
    <n v="0"/>
    <n v="10.114207531985073"/>
    <n v="0"/>
    <n v="0"/>
    <m/>
    <n v="0"/>
    <n v="0"/>
    <n v="0"/>
    <n v="0"/>
    <n v="0"/>
    <n v="-2.7179148976631922"/>
    <n v="0"/>
    <n v="0"/>
    <m/>
    <m/>
    <m/>
    <n v="5137.9237408589661"/>
    <n v="0"/>
    <n v="0"/>
    <n v="-157.89600000000064"/>
    <n v="90.403200000000197"/>
    <n v="0"/>
    <n v="0"/>
    <n v="-231.39785585664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34.073"/>
    <n v="34.073"/>
    <n v="34.073"/>
    <n v="34.073"/>
    <m/>
    <n v="451.48"/>
    <n v="144.41999999999999"/>
    <m/>
    <n v="20304.100700000003"/>
    <n v="20304.100700000003"/>
    <n v="20155.542419999998"/>
    <n v="0"/>
    <n v="0"/>
    <n v="0"/>
    <n v="0"/>
    <n v="0"/>
    <n v="3474.2075643651365"/>
    <n v="11309.074652602556"/>
    <n v="4920.8847965615496"/>
    <n v="0"/>
    <n v="0"/>
    <n v="0"/>
    <n v="0"/>
    <n v="0"/>
    <n v="0"/>
    <m/>
    <n v="49.57128089600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0.56258408899259"/>
    <n v="0"/>
    <n v="3.22"/>
    <n v="14.81"/>
    <n v="1474.55"/>
    <n v="58"/>
    <m/>
    <m/>
    <m/>
    <m/>
    <m/>
    <m/>
    <m/>
    <n v="8062.01253"/>
    <m/>
    <n v="5471.4473806505421"/>
    <m/>
    <m/>
    <m/>
    <m/>
    <m/>
    <m/>
    <m/>
    <m/>
    <m/>
    <m/>
    <m/>
    <m/>
    <n v="12092.465099999998"/>
    <n v="-90.025320000002466"/>
    <m/>
    <m/>
    <m/>
    <m/>
    <n v="-347.54460000000154"/>
    <n v="198.98632000000012"/>
    <n v="30"/>
    <n v="360.65949509793063"/>
    <n v="0"/>
    <n v="0"/>
    <n v="0"/>
    <n v="0"/>
    <n v="0"/>
    <n v="0"/>
    <n v="0"/>
    <n v="145.40028237019214"/>
    <n v="0"/>
    <n v="0"/>
    <n v="198.97924638863878"/>
    <n v="0"/>
    <n v="0"/>
    <n v="0"/>
    <n v="22.262363904220138"/>
    <n v="0"/>
    <n v="0"/>
    <m/>
    <n v="0"/>
    <n v="0"/>
    <n v="0"/>
    <n v="0"/>
    <n v="0"/>
    <n v="-5.9823975651213104"/>
    <n v="0"/>
    <n v="0"/>
    <m/>
    <m/>
    <m/>
    <n v="11309.074652602556"/>
    <n v="0"/>
    <n v="0"/>
    <n v="-347.54460000000108"/>
    <n v="198.98631999999998"/>
    <n v="0"/>
    <n v="0"/>
    <n v="-509.329401976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1"/>
    <s v="Refaturamento - 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6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02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8.396000000000001"/>
    <n v="38.396000000000001"/>
    <n v="38.396000000000001"/>
    <n v="38.396000000000001"/>
    <m/>
    <n v="451.48"/>
    <n v="144.41999999999999"/>
    <m/>
    <n v="22880.1764"/>
    <n v="22880.1764"/>
    <n v="22712.769839999997"/>
    <n v="0"/>
    <n v="0"/>
    <n v="0"/>
    <n v="0"/>
    <n v="0"/>
    <n v="3914.9964382755784"/>
    <n v="12743.909557753286"/>
    <n v="5545.2203401161405"/>
    <n v="0"/>
    <n v="0"/>
    <n v="0"/>
    <n v="0"/>
    <n v="0"/>
    <n v="0"/>
    <m/>
    <n v="55.860619883283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.41502006518249"/>
    <n v="0"/>
    <n v="5.45"/>
    <n v="25.68"/>
    <n v="4376.26"/>
    <n v="266"/>
    <m/>
    <m/>
    <m/>
    <m/>
    <m/>
    <m/>
    <m/>
    <n v="2271.123399999999"/>
    <m/>
    <n v="6165.6353601813225"/>
    <m/>
    <m/>
    <m/>
    <m/>
    <m/>
    <m/>
    <m/>
    <m/>
    <m/>
    <m/>
    <m/>
    <m/>
    <n v="20443.775999999998"/>
    <n v="-148.7967200000021"/>
    <m/>
    <m/>
    <m/>
    <m/>
    <n v="-391.63920000000178"/>
    <n v="224.23264000000015"/>
    <n v="30"/>
    <n v="406.41804284272257"/>
    <n v="0"/>
    <n v="0"/>
    <n v="0"/>
    <n v="0"/>
    <n v="0"/>
    <n v="0"/>
    <n v="0"/>
    <n v="163.8478925215245"/>
    <n v="0"/>
    <n v="0"/>
    <n v="224.22466892666307"/>
    <n v="0"/>
    <n v="0"/>
    <n v="0"/>
    <n v="25.086893565768605"/>
    <n v="0"/>
    <n v="0"/>
    <m/>
    <n v="0"/>
    <n v="0"/>
    <n v="0"/>
    <n v="0"/>
    <n v="0"/>
    <n v="-6.7414121712322981"/>
    <n v="0"/>
    <n v="0"/>
    <m/>
    <m/>
    <m/>
    <n v="12743.909557753286"/>
    <n v="0"/>
    <n v="0"/>
    <n v="-391.63920000000144"/>
    <n v="224.23264000000017"/>
    <n v="0"/>
    <n v="0"/>
    <n v="-573.9503923431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3"/>
    <s v="Refaturamento - 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-0.12"/>
    <n v="-0.12"/>
    <n v="-0.12"/>
    <n v="-0.12"/>
    <m/>
    <n v="451.48"/>
    <n v="144.41999999999999"/>
    <m/>
    <n v="-71.507999999999996"/>
    <n v="-71.507999999999996"/>
    <n v="-70.984799999999993"/>
    <n v="0"/>
    <n v="0"/>
    <n v="0"/>
    <n v="0"/>
    <n v="0"/>
    <n v="-12.235638415279439"/>
    <n v="-39.828866208209035"/>
    <n v="-17.330618835658317"/>
    <n v="0"/>
    <n v="0"/>
    <n v="0"/>
    <n v="0"/>
    <n v="0"/>
    <n v="0"/>
    <m/>
    <n v="-0.17458262282513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9389989167575239"/>
    <n v="0"/>
    <n v="0"/>
    <n v="0"/>
    <n v="-14.21"/>
    <n v="0"/>
    <m/>
    <m/>
    <m/>
    <m/>
    <m/>
    <m/>
    <m/>
    <n v="-7.0979999999999972"/>
    <m/>
    <n v="-19.26961775241584"/>
    <m/>
    <m/>
    <m/>
    <m/>
    <m/>
    <m/>
    <m/>
    <m/>
    <m/>
    <m/>
    <m/>
    <m/>
    <n v="-63.886799999999994"/>
    <n v="0.441599999999994"/>
    <m/>
    <m/>
    <m/>
    <m/>
    <n v="1.2240000000000053"/>
    <n v="-0.70080000000000042"/>
    <n v="30"/>
    <n v="-1.2701886952059276"/>
    <n v="0"/>
    <n v="0"/>
    <n v="0"/>
    <n v="0"/>
    <n v="0"/>
    <n v="0"/>
    <n v="0"/>
    <n v="-0.51207800558868044"/>
    <n v="0"/>
    <n v="0"/>
    <n v="-0.70077508780080322"/>
    <n v="0"/>
    <n v="0"/>
    <n v="0"/>
    <n v="-7.8404709550272234E-2"/>
    <n v="0"/>
    <n v="0"/>
    <m/>
    <n v="0"/>
    <n v="0"/>
    <n v="0"/>
    <n v="0"/>
    <n v="0"/>
    <n v="2.10691077338232E-2"/>
    <n v="0"/>
    <n v="0"/>
    <m/>
    <m/>
    <m/>
    <n v="-39.828866208209035"/>
    <n v="0"/>
    <n v="0"/>
    <n v="1.2240000000000038"/>
    <n v="-0.70080000000000098"/>
    <n v="0"/>
    <n v="0"/>
    <n v="1.7937818283460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4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5.231999999999999"/>
    <n v="15.231999999999999"/>
    <n v="15.231999999999999"/>
    <n v="15.231999999999999"/>
    <m/>
    <n v="451.48"/>
    <n v="144.41999999999999"/>
    <m/>
    <n v="9076.7487999999994"/>
    <n v="9076.7487999999994"/>
    <n v="9010.3372799999997"/>
    <n v="0"/>
    <n v="0"/>
    <n v="0"/>
    <n v="0"/>
    <n v="0"/>
    <n v="1553.1103695128036"/>
    <n v="5055.610750695334"/>
    <n v="2199.8332175395626"/>
    <n v="0"/>
    <n v="0"/>
    <n v="0"/>
    <n v="0"/>
    <n v="0"/>
    <n v="0"/>
    <m/>
    <n v="22.160354257270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.12359583375505"/>
    <n v="0"/>
    <n v="1.74"/>
    <n v="8.34"/>
    <n v="3055.82"/>
    <n v="183"/>
    <m/>
    <m/>
    <m/>
    <m/>
    <m/>
    <m/>
    <m/>
    <m/>
    <m/>
    <n v="2445.9568133733178"/>
    <m/>
    <m/>
    <m/>
    <m/>
    <m/>
    <m/>
    <m/>
    <m/>
    <m/>
    <m/>
    <m/>
    <m/>
    <n v="9009.154199999999"/>
    <n v="-67.62460000000101"/>
    <m/>
    <m/>
    <m/>
    <m/>
    <n v="-155.36640000000068"/>
    <n v="88.954880000000045"/>
    <n v="30"/>
    <n v="161.22928504480569"/>
    <n v="0"/>
    <n v="0"/>
    <n v="0"/>
    <n v="0"/>
    <n v="0"/>
    <n v="0"/>
    <n v="0"/>
    <n v="64.999768176056477"/>
    <n v="0"/>
    <n v="0"/>
    <n v="88.951717811515209"/>
    <n v="0"/>
    <n v="0"/>
    <n v="0"/>
    <n v="9.9521711322478552"/>
    <n v="0"/>
    <n v="0"/>
    <m/>
    <n v="0"/>
    <n v="0"/>
    <n v="0"/>
    <n v="0"/>
    <n v="0"/>
    <n v="-2.6743720750132915"/>
    <n v="0"/>
    <n v="0"/>
    <m/>
    <m/>
    <m/>
    <n v="5055.610750695334"/>
    <n v="0"/>
    <n v="0"/>
    <n v="-155.36640000000079"/>
    <n v="88.95488000000023"/>
    <n v="0"/>
    <n v="0"/>
    <n v="-227.6907067447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5"/>
    <s v="Refaturamento - 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-1.2809999999999999"/>
    <n v="-1.2809999999999999"/>
    <n v="-1.2809999999999999"/>
    <n v="-1.2809999999999999"/>
    <m/>
    <n v="451.48"/>
    <n v="144.41999999999999"/>
    <m/>
    <n v="-763.34789999999998"/>
    <n v="-763.34789999999998"/>
    <n v="-757.76273999999989"/>
    <n v="0"/>
    <n v="0"/>
    <n v="0"/>
    <n v="0"/>
    <n v="0"/>
    <n v="-130.61544008310801"/>
    <n v="-425.17314677263147"/>
    <n v="-185.00435607065253"/>
    <n v="0"/>
    <n v="0"/>
    <n v="0"/>
    <n v="0"/>
    <n v="0"/>
    <n v="0"/>
    <m/>
    <n v="-1.8636694986583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0.698813436386569"/>
    <n v="0"/>
    <n v="0"/>
    <n v="0"/>
    <n v="-249.06"/>
    <n v="0"/>
    <m/>
    <m/>
    <m/>
    <m/>
    <m/>
    <m/>
    <m/>
    <m/>
    <m/>
    <n v="-205.70316950703909"/>
    <m/>
    <m/>
    <m/>
    <m/>
    <m/>
    <m/>
    <m/>
    <m/>
    <m/>
    <m/>
    <m/>
    <m/>
    <n v="-757.1712"/>
    <n v="6.1467000000000098"/>
    <m/>
    <m/>
    <m/>
    <m/>
    <n v="13.066200000000057"/>
    <n v="-7.4810400000000037"/>
    <n v="30"/>
    <n v="-13.559264321323326"/>
    <n v="0"/>
    <n v="0"/>
    <n v="0"/>
    <n v="0"/>
    <n v="0"/>
    <n v="0"/>
    <n v="0"/>
    <n v="-5.4664327096591592"/>
    <n v="0"/>
    <n v="0"/>
    <n v="-7.4807740622735821"/>
    <n v="0"/>
    <n v="0"/>
    <n v="0"/>
    <n v="-0.83697027444915051"/>
    <n v="0"/>
    <n v="0"/>
    <m/>
    <n v="0"/>
    <n v="0"/>
    <n v="0"/>
    <n v="0"/>
    <n v="0"/>
    <n v="0.22491272505856252"/>
    <n v="0"/>
    <n v="0"/>
    <m/>
    <m/>
    <m/>
    <n v="-425.17314677263147"/>
    <n v="0"/>
    <n v="0"/>
    <n v="13.066199999999981"/>
    <n v="-7.4810400000000072"/>
    <n v="0"/>
    <n v="0"/>
    <n v="19.14862101759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6"/>
    <s v="Regular"/>
    <s v="Convencional"/>
    <s v="B3"/>
    <s v="Industrial"/>
    <s v="Não se aplica"/>
    <s v="Não se aplica"/>
    <s v="Não se aplica"/>
    <s v="Não se aplica"/>
    <s v="CATIVO"/>
    <x v="2"/>
    <n v="0"/>
    <n v="0"/>
    <n v="330.74299999999999"/>
    <n v="330.74299999999999"/>
    <n v="330.74299999999999"/>
    <n v="330.74299999999999"/>
    <m/>
    <n v="522.37"/>
    <n v="144.41999999999999"/>
    <m/>
    <n v="220536.12497"/>
    <n v="220536.12497"/>
    <n v="215558.44282"/>
    <n v="0"/>
    <n v="20307.942818323405"/>
    <n v="0"/>
    <n v="0"/>
    <n v="0"/>
    <n v="33723.76463653973"/>
    <n v="109775.98913584735"/>
    <n v="47766.507213017823"/>
    <n v="0"/>
    <n v="0"/>
    <n v="0"/>
    <n v="0"/>
    <n v="0"/>
    <n v="3136.3550529314903"/>
    <m/>
    <n v="481.18317017545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44.2526560427814"/>
    <n v="0"/>
    <n v="30.3"/>
    <n v="142.05000000000001"/>
    <n v="79852.91"/>
    <n v="553"/>
    <m/>
    <m/>
    <m/>
    <m/>
    <m/>
    <m/>
    <m/>
    <m/>
    <m/>
    <n v="53110.759869060603"/>
    <m/>
    <m/>
    <m/>
    <m/>
    <m/>
    <m/>
    <m/>
    <m/>
    <m/>
    <m/>
    <m/>
    <m/>
    <n v="215556.48759999999"/>
    <n v="-4979.6673700000392"/>
    <m/>
    <m/>
    <m/>
    <m/>
    <n v="-6909.2212699999955"/>
    <n v="1931.539120000001"/>
    <n v="30"/>
    <n v="-31.744301519967848"/>
    <n v="0"/>
    <n v="0"/>
    <n v="0"/>
    <n v="0"/>
    <n v="0"/>
    <n v="0"/>
    <n v="0"/>
    <n v="1411.3851316868095"/>
    <n v="0"/>
    <n v="0"/>
    <n v="1931.470457204181"/>
    <n v="0"/>
    <n v="0"/>
    <n v="0"/>
    <n v="216.09840708988031"/>
    <n v="0"/>
    <n v="-3119.9318997240989"/>
    <m/>
    <n v="0"/>
    <n v="0"/>
    <n v="0"/>
    <n v="0"/>
    <n v="-412.69589861667373"/>
    <n v="-58.070499160065765"/>
    <n v="0"/>
    <n v="0"/>
    <m/>
    <m/>
    <m/>
    <n v="109775.98913584735"/>
    <n v="0"/>
    <n v="0"/>
    <n v="-6909.2212700000091"/>
    <n v="1931.5391200000013"/>
    <n v="0"/>
    <n v="0"/>
    <n v="-4944.0065271055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7"/>
    <s v="Refaturamento - Regular"/>
    <s v="Convencional"/>
    <s v="B3"/>
    <s v="Industrial"/>
    <s v="Não se aplica"/>
    <s v="Não se aplica"/>
    <s v="Não se aplica"/>
    <s v="Não se aplica"/>
    <s v="CATIVO"/>
    <x v="2"/>
    <n v="0"/>
    <n v="0"/>
    <n v="4.492"/>
    <n v="4.492"/>
    <n v="4.492"/>
    <n v="4.492"/>
    <m/>
    <n v="522.37"/>
    <n v="144.41999999999999"/>
    <m/>
    <n v="2995.2206800000004"/>
    <n v="2995.2206800000004"/>
    <n v="2927.6160800000002"/>
    <n v="0"/>
    <n v="275.81318165436227"/>
    <n v="0"/>
    <n v="0"/>
    <n v="0"/>
    <n v="458.02073134529371"/>
    <n v="1490.927225060625"/>
    <n v="648.74283174814309"/>
    <n v="0"/>
    <n v="0"/>
    <n v="0"/>
    <n v="0"/>
    <n v="0"/>
    <n v="42.596538393157992"/>
    <m/>
    <n v="6.5352095144210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583192783956648"/>
    <n v="0"/>
    <n v="-1.95"/>
    <n v="-9.08"/>
    <n v="1082.6099999999999"/>
    <n v="0"/>
    <m/>
    <m/>
    <m/>
    <m/>
    <m/>
    <m/>
    <m/>
    <m/>
    <m/>
    <n v="721.32602453209972"/>
    <m/>
    <m/>
    <m/>
    <m/>
    <m/>
    <m/>
    <m/>
    <m/>
    <m/>
    <m/>
    <m/>
    <m/>
    <n v="2926.3126000000002"/>
    <n v="-68.938080000000809"/>
    <m/>
    <m/>
    <m/>
    <m/>
    <n v="-93.837879999999942"/>
    <n v="26.233280000000015"/>
    <n v="30"/>
    <n v="-0.43113656956529667"/>
    <n v="0"/>
    <n v="0"/>
    <n v="0"/>
    <n v="0"/>
    <n v="0"/>
    <n v="0"/>
    <n v="0"/>
    <n v="19.168786675869569"/>
    <n v="0"/>
    <n v="0"/>
    <n v="26.232347453343323"/>
    <n v="0"/>
    <n v="0"/>
    <n v="0"/>
    <n v="2.9349496274985114"/>
    <n v="0"/>
    <n v="-42.373486645403403"/>
    <m/>
    <n v="0"/>
    <n v="0"/>
    <n v="0"/>
    <n v="0"/>
    <n v="-5.6050467480372888"/>
    <n v="-0.78868693283611435"/>
    <n v="0"/>
    <n v="0"/>
    <m/>
    <m/>
    <m/>
    <n v="1490.927225060625"/>
    <n v="0"/>
    <n v="0"/>
    <n v="-93.837880000000041"/>
    <n v="26.233280000000036"/>
    <n v="0"/>
    <n v="0"/>
    <n v="-67.147233107755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8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7.4939999999999998"/>
    <n v="7.4939999999999998"/>
    <n v="7.4939999999999998"/>
    <n v="7.4939999999999998"/>
    <m/>
    <n v="522.37"/>
    <n v="144.41999999999999"/>
    <m/>
    <n v="4996.9242599999998"/>
    <n v="4996.9242599999998"/>
    <n v="4884.1395599999996"/>
    <n v="0"/>
    <n v="460.138909910461"/>
    <n v="0"/>
    <n v="0"/>
    <n v="0"/>
    <n v="764.11561903420102"/>
    <n v="2487.3126947026544"/>
    <n v="1082.297146286862"/>
    <n v="0"/>
    <n v="0"/>
    <n v="0"/>
    <n v="0"/>
    <n v="0"/>
    <n v="71.06377086338513"/>
    <m/>
    <n v="10.90268479542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09048235150738"/>
    <n v="0"/>
    <n v="0"/>
    <n v="0"/>
    <n v="4360.93"/>
    <n v="8"/>
    <m/>
    <m/>
    <m/>
    <m/>
    <m/>
    <m/>
    <m/>
    <m/>
    <m/>
    <n v="1203.3876286383693"/>
    <m/>
    <m/>
    <m/>
    <m/>
    <m/>
    <m/>
    <m/>
    <m/>
    <m/>
    <m/>
    <m/>
    <m/>
    <n v="4881.5326000000005"/>
    <n v="-115.42165999999997"/>
    <m/>
    <m/>
    <m/>
    <m/>
    <n v="-156.5496599999999"/>
    <n v="43.764960000000023"/>
    <n v="30"/>
    <n v="-0.71926479348303474"/>
    <n v="0"/>
    <n v="0"/>
    <n v="0"/>
    <n v="0"/>
    <n v="0"/>
    <n v="0"/>
    <n v="0"/>
    <n v="31.979271449013027"/>
    <n v="0"/>
    <n v="0"/>
    <n v="43.763404233160145"/>
    <n v="0"/>
    <n v="0"/>
    <n v="0"/>
    <n v="4.8963741114144739"/>
    <n v="0"/>
    <n v="-70.691653811365313"/>
    <m/>
    <n v="0"/>
    <n v="0"/>
    <n v="0"/>
    <n v="0"/>
    <n v="-9.3508949977273943"/>
    <n v="-1.3157657779772602"/>
    <n v="0"/>
    <n v="0"/>
    <m/>
    <m/>
    <m/>
    <n v="2487.3126947026544"/>
    <n v="0"/>
    <n v="0"/>
    <n v="-156.54965999999968"/>
    <n v="43.764959999999974"/>
    <n v="0"/>
    <n v="0"/>
    <n v="-112.0216751802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09"/>
    <s v="Regular"/>
    <s v="Azul"/>
    <s v="A4"/>
    <s v="Industrial"/>
    <s v="Não se aplica"/>
    <s v="Não se aplica"/>
    <s v="Não se aplica"/>
    <s v="Ponta"/>
    <s v="CATIVO"/>
    <x v="2"/>
    <n v="1239"/>
    <n v="1239"/>
    <n v="66.686000000000007"/>
    <n v="66.686000000000007"/>
    <n v="66.686000000000007"/>
    <n v="66.686000000000007"/>
    <n v="111"/>
    <n v="69.64"/>
    <n v="144.41999999999999"/>
    <n v="137529"/>
    <n v="14274.80516"/>
    <n v="151803.80515999999"/>
    <n v="148738.42903999999"/>
    <n v="0"/>
    <n v="3562.2893396412383"/>
    <n v="0"/>
    <n v="0"/>
    <n v="0"/>
    <n v="38712.939984121993"/>
    <n v="98811.582338575347"/>
    <n v="9630.9137306225894"/>
    <n v="0"/>
    <n v="0"/>
    <n v="0"/>
    <n v="0"/>
    <n v="0"/>
    <n v="632.36704347420618"/>
    <m/>
    <n v="33.188635477276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0274393351678"/>
    <n v="0"/>
    <n v="0"/>
    <n v="0"/>
    <n v="0"/>
    <n v="0"/>
    <m/>
    <m/>
    <m/>
    <m/>
    <m/>
    <m/>
    <m/>
    <m/>
    <m/>
    <n v="10046.941169957758"/>
    <m/>
    <m/>
    <m/>
    <m/>
    <m/>
    <m/>
    <m/>
    <m/>
    <m/>
    <m/>
    <m/>
    <m/>
    <n v="148739.27160000001"/>
    <n v="-3064.5635600000096"/>
    <m/>
    <m/>
    <m/>
    <m/>
    <n v="-3454.8223600000074"/>
    <n v="389.44624000000027"/>
    <n v="30"/>
    <n v="1391.9500877035389"/>
    <n v="0"/>
    <n v="0"/>
    <n v="0"/>
    <n v="0"/>
    <n v="0"/>
    <n v="0"/>
    <n v="0"/>
    <n v="1620.1888634421994"/>
    <n v="0"/>
    <n v="0"/>
    <n v="389.43239587570315"/>
    <n v="0"/>
    <n v="0"/>
    <n v="0"/>
    <n v="16.822345935376802"/>
    <n v="0"/>
    <n v="-547.27848341023218"/>
    <m/>
    <n v="0"/>
    <n v="0"/>
    <n v="0"/>
    <n v="0"/>
    <n v="-83.209738966966825"/>
    <n v="-4.0052951725310315"/>
    <n v="0"/>
    <n v="0"/>
    <m/>
    <m/>
    <n v="98811.582338575347"/>
    <n v="0"/>
    <n v="0"/>
    <n v="0"/>
    <n v="-3454.822359999991"/>
    <n v="389.44624000000113"/>
    <n v="0"/>
    <n v="0"/>
    <n v="-4450.2000107785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0"/>
    <s v="Regular"/>
    <s v="Azul"/>
    <s v="A4"/>
    <s v="Industrial"/>
    <s v="Não se aplica"/>
    <s v="Não se aplica"/>
    <s v="Não se aplica"/>
    <s v="Fora ponta"/>
    <s v="CATIVO"/>
    <x v="2"/>
    <n v="3686"/>
    <n v="3686"/>
    <n v="1584.982"/>
    <n v="1584.982"/>
    <n v="1584.982"/>
    <n v="1584.982"/>
    <n v="34.950000000000003"/>
    <n v="69.64"/>
    <n v="144.41999999999999"/>
    <n v="128825.70000000001"/>
    <n v="339281.24691999995"/>
    <n v="468106.94692000002"/>
    <n v="460953.88847999997"/>
    <n v="0"/>
    <n v="84667.913536923021"/>
    <n v="0"/>
    <n v="0"/>
    <n v="0"/>
    <n v="46700.807279156783"/>
    <n v="82141.802260698911"/>
    <n v="228905.99086149494"/>
    <n v="0"/>
    <n v="0"/>
    <n v="0"/>
    <n v="0"/>
    <n v="0"/>
    <n v="15029.997020361607"/>
    <m/>
    <n v="788.8220891348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88.0725017594832"/>
    <n v="0"/>
    <n v="0"/>
    <n v="0"/>
    <n v="0"/>
    <n v="0"/>
    <m/>
    <m/>
    <m/>
    <m/>
    <m/>
    <m/>
    <m/>
    <m/>
    <m/>
    <n v="238794.06336325442"/>
    <m/>
    <m/>
    <m/>
    <m/>
    <m/>
    <m/>
    <m/>
    <m/>
    <m/>
    <m/>
    <m/>
    <m/>
    <n v="460953.46719999996"/>
    <n v="-7153.5097200000891"/>
    <m/>
    <m/>
    <m/>
    <m/>
    <n v="-16409.353320000017"/>
    <n v="9256.2948800000049"/>
    <n v="30"/>
    <n v="-3470.250187225407"/>
    <n v="0"/>
    <n v="0"/>
    <n v="0"/>
    <n v="0"/>
    <n v="0"/>
    <n v="0"/>
    <n v="0"/>
    <n v="1954.4919062845074"/>
    <n v="0"/>
    <n v="0"/>
    <n v="9255.9658351057733"/>
    <n v="0"/>
    <n v="0"/>
    <n v="0"/>
    <n v="399.83078165350162"/>
    <n v="0"/>
    <n v="-13007.625966357504"/>
    <m/>
    <n v="0"/>
    <n v="0"/>
    <n v="0"/>
    <n v="0"/>
    <n v="-1977.7155398035702"/>
    <n v="-95.19720410803734"/>
    <n v="0"/>
    <n v="0"/>
    <m/>
    <m/>
    <n v="82141.802260698911"/>
    <n v="0"/>
    <n v="0"/>
    <n v="0"/>
    <n v="-16409.353320000024"/>
    <n v="9256.2948800000013"/>
    <n v="0"/>
    <n v="0"/>
    <n v="-3699.4392828702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1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7570.9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12"/>
    <s v="Regular"/>
    <s v="Verde"/>
    <s v="A4"/>
    <s v="Industrial"/>
    <s v="Não se aplica"/>
    <s v="Não se aplica"/>
    <s v="Não se aplica"/>
    <s v="Ponta"/>
    <s v="CATIVO"/>
    <x v="2"/>
    <n v="0"/>
    <n v="0"/>
    <n v="74.069999999999993"/>
    <n v="74.069999999999993"/>
    <n v="74.069999999999993"/>
    <n v="74.069999999999993"/>
    <m/>
    <n v="2740.31"/>
    <n v="144.41999999999999"/>
    <m/>
    <n v="213671.95109999998"/>
    <n v="213671.95109999998"/>
    <n v="209352.92939999999"/>
    <n v="0"/>
    <n v="3956.7341179142022"/>
    <n v="0"/>
    <n v="0"/>
    <n v="0"/>
    <n v="55749.734577231655"/>
    <n v="142066.82041329335"/>
    <n v="10697.324476310096"/>
    <n v="0"/>
    <n v="0"/>
    <n v="0"/>
    <n v="0"/>
    <n v="0"/>
    <n v="702.38771121576406"/>
    <m/>
    <n v="36.863543019552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.09327942230561"/>
    <n v="0"/>
    <n v="0"/>
    <n v="0"/>
    <n v="0"/>
    <n v="0"/>
    <m/>
    <m/>
    <m/>
    <m/>
    <m/>
    <m/>
    <m/>
    <m/>
    <m/>
    <n v="11159.417755732402"/>
    <m/>
    <m/>
    <m/>
    <m/>
    <m/>
    <m/>
    <m/>
    <m/>
    <m/>
    <m/>
    <m/>
    <m/>
    <n v="209352.92939999999"/>
    <n v="-4319.0517000000109"/>
    <m/>
    <m/>
    <m/>
    <m/>
    <n v="-4751.5905000000066"/>
    <n v="432.56880000000024"/>
    <n v="30"/>
    <n v="2079.6905708580016"/>
    <n v="0"/>
    <n v="0"/>
    <n v="0"/>
    <n v="0"/>
    <n v="0"/>
    <n v="0"/>
    <n v="0"/>
    <n v="2333.2017444021039"/>
    <n v="0"/>
    <n v="0"/>
    <n v="432.5534229450459"/>
    <n v="0"/>
    <n v="0"/>
    <n v="0"/>
    <n v="18.685048787352059"/>
    <n v="0"/>
    <n v="-607.87747452532631"/>
    <m/>
    <n v="0"/>
    <n v="0"/>
    <n v="0"/>
    <n v="0"/>
    <n v="-92.423377699715502"/>
    <n v="-4.4487930514556808"/>
    <n v="0"/>
    <n v="0"/>
    <m/>
    <m/>
    <m/>
    <n v="142066.82041329335"/>
    <n v="0"/>
    <n v="0"/>
    <n v="-4751.5904999999912"/>
    <n v="432.56880000000092"/>
    <n v="0"/>
    <n v="0"/>
    <n v="-6398.296138687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3"/>
    <s v="Sistema de Compensação"/>
    <s v="Verde"/>
    <s v="A4"/>
    <s v="Industrial"/>
    <s v="Não se aplica"/>
    <s v="Não se aplica"/>
    <s v="Não se aplica"/>
    <s v="Ponta"/>
    <s v="CATIVO"/>
    <x v="2"/>
    <n v="0"/>
    <n v="0"/>
    <n v="0.54500000000000004"/>
    <n v="0.54500000000000004"/>
    <n v="0.54500000000000004"/>
    <n v="0.54500000000000004"/>
    <m/>
    <n v="2740.31"/>
    <n v="144.41999999999999"/>
    <m/>
    <n v="1572.1778500000003"/>
    <n v="1572.1778500000003"/>
    <n v="1540.3988999999999"/>
    <n v="0"/>
    <n v="29.113272502541385"/>
    <n v="0"/>
    <n v="0"/>
    <n v="0"/>
    <n v="410.20123321980907"/>
    <n v="1045.3141234675966"/>
    <n v="78.709893878614864"/>
    <n v="0"/>
    <n v="0"/>
    <n v="0"/>
    <n v="0"/>
    <n v="0"/>
    <n v="5.1681018308706825"/>
    <m/>
    <n v="0.27123843588032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000383054564143"/>
    <n v="0"/>
    <n v="0"/>
    <n v="0"/>
    <n v="0"/>
    <n v="0"/>
    <m/>
    <m/>
    <m/>
    <m/>
    <m/>
    <m/>
    <m/>
    <m/>
    <m/>
    <n v="82.109932184071283"/>
    <m/>
    <m/>
    <m/>
    <m/>
    <m/>
    <m/>
    <m/>
    <m/>
    <m/>
    <m/>
    <m/>
    <m/>
    <n v="1554.5310000000002"/>
    <n v="-17.676850000000059"/>
    <m/>
    <m/>
    <m/>
    <m/>
    <n v="-34.961750000000052"/>
    <n v="3.1828000000000021"/>
    <n v="30"/>
    <n v="15.302164994162354"/>
    <n v="0"/>
    <n v="0"/>
    <n v="0"/>
    <n v="0"/>
    <n v="0"/>
    <n v="0"/>
    <n v="0"/>
    <n v="17.167476045620958"/>
    <n v="0"/>
    <n v="0"/>
    <n v="3.1826868570953195"/>
    <n v="0"/>
    <n v="0"/>
    <n v="0"/>
    <n v="0.13748280800738311"/>
    <n v="0"/>
    <n v="-4.4727045175685518"/>
    <m/>
    <n v="0"/>
    <n v="0"/>
    <n v="0"/>
    <n v="0"/>
    <n v="-0.68004240375786296"/>
    <n v="-3.2733795234823115E-2"/>
    <n v="0"/>
    <n v="0"/>
    <m/>
    <m/>
    <m/>
    <n v="1045.3141234675966"/>
    <n v="0"/>
    <n v="0"/>
    <n v="-34.961750000000166"/>
    <n v="3.1828000000000003"/>
    <n v="0"/>
    <n v="0"/>
    <n v="-47.078053133316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4"/>
    <s v="Regular"/>
    <s v="Verde"/>
    <s v="A4"/>
    <s v="Industrial"/>
    <s v="Não se aplica"/>
    <s v="Não se aplica"/>
    <s v="Não se aplica"/>
    <s v="Fora ponta"/>
    <s v="CATIVO"/>
    <x v="2"/>
    <n v="0"/>
    <n v="0"/>
    <n v="5626.1220000000003"/>
    <n v="5626.1220000000003"/>
    <n v="5626.1220000000003"/>
    <n v="5626.1220000000003"/>
    <m/>
    <n v="69.64"/>
    <n v="144.41999999999999"/>
    <m/>
    <n v="1204327.6753199999"/>
    <n v="1204327.6753199999"/>
    <n v="1185086.3380800001"/>
    <n v="0"/>
    <n v="300540.95948356541"/>
    <n v="0"/>
    <n v="0"/>
    <n v="0"/>
    <n v="0"/>
    <n v="0"/>
    <n v="812534.79920759716"/>
    <n v="0"/>
    <n v="0"/>
    <n v="0"/>
    <n v="0"/>
    <n v="0"/>
    <n v="53351.140199819863"/>
    <m/>
    <n v="2800.0376722053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99.138185634954"/>
    <n v="0"/>
    <n v="0"/>
    <n v="0"/>
    <n v="0"/>
    <n v="0"/>
    <m/>
    <m/>
    <m/>
    <m/>
    <m/>
    <m/>
    <m/>
    <m/>
    <m/>
    <n v="847633.93739323213"/>
    <m/>
    <m/>
    <m/>
    <m/>
    <m/>
    <m/>
    <m/>
    <m/>
    <m/>
    <m/>
    <m/>
    <m/>
    <n v="1185085.9168"/>
    <n v="-19241.788519999944"/>
    <m/>
    <m/>
    <m/>
    <m/>
    <n v="-52097.889719999992"/>
    <n v="32856.55248000002"/>
    <n v="30"/>
    <n v="-19255.903749457095"/>
    <n v="0"/>
    <n v="0"/>
    <n v="0"/>
    <n v="0"/>
    <n v="0"/>
    <n v="0"/>
    <n v="0"/>
    <n v="0"/>
    <n v="0"/>
    <n v="0"/>
    <n v="32855.384487733594"/>
    <n v="0"/>
    <n v="0"/>
    <n v="0"/>
    <n v="1419.2569738570965"/>
    <n v="0"/>
    <n v="-46172.442726223555"/>
    <m/>
    <n v="0"/>
    <n v="0"/>
    <n v="0"/>
    <n v="0"/>
    <n v="-7020.1862912201759"/>
    <n v="-337.91619360391451"/>
    <n v="0"/>
    <n v="0"/>
    <m/>
    <m/>
    <m/>
    <n v="0"/>
    <n v="0"/>
    <n v="0"/>
    <n v="-52097.889719999977"/>
    <n v="32856.55248000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5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4.7830000000000004"/>
    <n v="4.7830000000000004"/>
    <n v="4.7830000000000004"/>
    <n v="4.7830000000000004"/>
    <m/>
    <n v="69.64"/>
    <n v="144.41999999999999"/>
    <m/>
    <n v="1023.84898"/>
    <n v="1023.84898"/>
    <n v="1007.49112"/>
    <n v="0"/>
    <n v="255.50235299019349"/>
    <n v="0"/>
    <n v="0"/>
    <n v="0"/>
    <n v="0"/>
    <n v="0"/>
    <n v="690.76958242461455"/>
    <n v="0"/>
    <n v="0"/>
    <n v="0"/>
    <n v="0"/>
    <n v="0"/>
    <n v="45.356020288173347"/>
    <m/>
    <n v="2.3804283281020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839235256877117"/>
    <n v="0"/>
    <n v="0"/>
    <n v="0"/>
    <n v="0"/>
    <n v="0"/>
    <m/>
    <m/>
    <m/>
    <m/>
    <m/>
    <m/>
    <m/>
    <m/>
    <m/>
    <n v="720.6088176814917"/>
    <m/>
    <m/>
    <m/>
    <m/>
    <m/>
    <m/>
    <m/>
    <m/>
    <m/>
    <m/>
    <m/>
    <m/>
    <n v="1006.8592000000001"/>
    <n v="-17.019779999999855"/>
    <m/>
    <m/>
    <m/>
    <m/>
    <n v="-44.290579999999991"/>
    <n v="27.932720000000018"/>
    <n v="30"/>
    <n v="-16.370243594727071"/>
    <n v="0"/>
    <n v="0"/>
    <n v="0"/>
    <n v="0"/>
    <n v="0"/>
    <n v="0"/>
    <n v="0"/>
    <n v="0"/>
    <n v="0"/>
    <n v="0"/>
    <n v="27.931727041260274"/>
    <n v="0"/>
    <n v="0"/>
    <n v="0"/>
    <n v="1.2065693040354404"/>
    <n v="0"/>
    <n v="-39.253111389964033"/>
    <m/>
    <n v="0"/>
    <n v="0"/>
    <n v="0"/>
    <n v="0"/>
    <n v="-5.9681519581171756"/>
    <n v="-0.28727659194157606"/>
    <n v="0"/>
    <n v="0"/>
    <m/>
    <m/>
    <m/>
    <n v="0"/>
    <n v="0"/>
    <n v="0"/>
    <n v="-44.290579999999977"/>
    <n v="27.932720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Não se aplica"/>
    <s v="CATIVO"/>
    <x v="2"/>
    <n v="21149"/>
    <n v="21149"/>
    <n v="0"/>
    <n v="0"/>
    <n v="0"/>
    <n v="0"/>
    <n v="34.950000000000003"/>
    <m/>
    <m/>
    <n v="739157.55"/>
    <m/>
    <n v="739157.55"/>
    <n v="729217.5199999999"/>
    <n v="0"/>
    <n v="0"/>
    <n v="0"/>
    <n v="0"/>
    <n v="0"/>
    <n v="267953.16688738111"/>
    <n v="471301.404235355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5.64"/>
    <n v="810.69"/>
    <n v="919760.36"/>
    <n v="69"/>
    <m/>
    <m/>
    <m/>
    <m/>
    <m/>
    <m/>
    <m/>
    <m/>
    <m/>
    <n v="0"/>
    <m/>
    <m/>
    <m/>
    <m/>
    <m/>
    <m/>
    <m/>
    <m/>
    <m/>
    <m/>
    <m/>
    <m/>
    <n v="729217.5199999999"/>
    <n v="-9940.0600000001723"/>
    <m/>
    <m/>
    <m/>
    <m/>
    <n v="-9940.0300000001262"/>
    <n v="0"/>
    <n v="30"/>
    <n v="11214.202204560803"/>
    <n v="0"/>
    <n v="0"/>
    <n v="0"/>
    <n v="0"/>
    <m/>
    <m/>
    <m/>
    <n v="11214.2022045608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1301.40423535573"/>
    <m/>
    <n v="0"/>
    <n v="0"/>
    <n v="-9940.0300000001444"/>
    <m/>
    <n v="0"/>
    <m/>
    <n v="-21226.10998193803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17"/>
    <s v="Sistema de Compensação"/>
    <s v="Verde"/>
    <s v="A4"/>
    <s v="Industrial"/>
    <s v="Não se aplica"/>
    <s v="Não se aplica"/>
    <s v="Não se aplica"/>
    <s v="Não se aplica"/>
    <s v="CATIVO"/>
    <x v="2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36.41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0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18"/>
    <s v="Regular"/>
    <s v="Convencional"/>
    <s v="B3"/>
    <s v="Comercial"/>
    <s v="Não se aplica"/>
    <s v="Não se aplica"/>
    <s v="Não se aplica"/>
    <s v="Não se aplica"/>
    <s v="CATIVO"/>
    <x v="2"/>
    <n v="0"/>
    <n v="0"/>
    <n v="706.12400000000002"/>
    <n v="706.12400000000002"/>
    <n v="706.12400000000002"/>
    <n v="706.12400000000002"/>
    <m/>
    <n v="522.37"/>
    <n v="144.41999999999999"/>
    <m/>
    <n v="470836.42196000001"/>
    <n v="470836.42196000001"/>
    <n v="460209.25576000003"/>
    <n v="0"/>
    <n v="43356.702378117749"/>
    <n v="0"/>
    <n v="0"/>
    <n v="0"/>
    <n v="71998.982836256502"/>
    <n v="234367.65268671166"/>
    <n v="101979.71578925329"/>
    <n v="0"/>
    <n v="0"/>
    <n v="0"/>
    <n v="0"/>
    <n v="0"/>
    <n v="6696.0013527004221"/>
    <m/>
    <n v="1027.3081663314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09.78059247075"/>
    <n v="0"/>
    <n v="237.16"/>
    <n v="1096.57"/>
    <n v="169968.73"/>
    <n v="1190"/>
    <m/>
    <m/>
    <m/>
    <m/>
    <m/>
    <m/>
    <m/>
    <m/>
    <m/>
    <n v="113389.49638172404"/>
    <m/>
    <m/>
    <m/>
    <m/>
    <m/>
    <m/>
    <m/>
    <m/>
    <m/>
    <m/>
    <m/>
    <m/>
    <n v="460206.64879999997"/>
    <n v="-10629.803160000069"/>
    <m/>
    <m/>
    <m/>
    <m/>
    <n v="-14750.930359999991"/>
    <n v="4123.7641600000024"/>
    <n v="30"/>
    <n v="-67.772902726603206"/>
    <n v="0"/>
    <n v="0"/>
    <n v="0"/>
    <n v="0"/>
    <n v="0"/>
    <n v="0"/>
    <n v="0"/>
    <n v="3013.2547468191769"/>
    <n v="0"/>
    <n v="0"/>
    <n v="4123.6175674854603"/>
    <n v="0"/>
    <n v="0"/>
    <n v="0"/>
    <n v="461.362059387302"/>
    <n v="0"/>
    <n v="-6660.9385316115004"/>
    <m/>
    <n v="0"/>
    <n v="0"/>
    <n v="0"/>
    <n v="0"/>
    <n v="-881.09038956168388"/>
    <n v="-123.97835524531808"/>
    <n v="0"/>
    <n v="0"/>
    <m/>
    <m/>
    <m/>
    <n v="234367.65268671166"/>
    <n v="0"/>
    <n v="0"/>
    <n v="-14750.930359999998"/>
    <n v="4123.7641600000061"/>
    <n v="0"/>
    <n v="0"/>
    <n v="-10555.269997992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19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-9.33"/>
    <n v="-9.33"/>
    <n v="-9.33"/>
    <n v="-9.33"/>
    <m/>
    <n v="522.37"/>
    <n v="144.41999999999999"/>
    <m/>
    <n v="-6221.1507000000001"/>
    <n v="-6221.1507000000001"/>
    <n v="-6080.7341999999999"/>
    <n v="0"/>
    <n v="-572.87110080926095"/>
    <n v="0"/>
    <n v="0"/>
    <n v="0"/>
    <n v="-951.32088678797652"/>
    <n v="-3096.6943476882529"/>
    <n v="-1347.4556144724343"/>
    <n v="0"/>
    <n v="0"/>
    <n v="0"/>
    <n v="0"/>
    <n v="0"/>
    <n v="-88.47411024224489"/>
    <m/>
    <n v="-13.573798924654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0.75716577789748"/>
    <n v="0"/>
    <n v="0"/>
    <n v="0"/>
    <n v="-2225.91"/>
    <n v="0"/>
    <m/>
    <m/>
    <m/>
    <m/>
    <m/>
    <m/>
    <m/>
    <m/>
    <m/>
    <n v="-1498.2127802503317"/>
    <m/>
    <m/>
    <m/>
    <m/>
    <m/>
    <m/>
    <m/>
    <m/>
    <m/>
    <m/>
    <m/>
    <m/>
    <n v="-6080.7341999999999"/>
    <n v="140.38649999999961"/>
    <m/>
    <m/>
    <m/>
    <m/>
    <n v="194.90369999999987"/>
    <n v="-54.48720000000003"/>
    <n v="30"/>
    <n v="0.89548178852328419"/>
    <n v="0"/>
    <n v="0"/>
    <n v="0"/>
    <n v="0"/>
    <n v="0"/>
    <n v="0"/>
    <n v="0"/>
    <n v="-39.81406493451982"/>
    <n v="0"/>
    <n v="0"/>
    <n v="-54.48526307651241"/>
    <n v="0"/>
    <n v="0"/>
    <n v="0"/>
    <n v="-6.0959661675336463"/>
    <n v="0"/>
    <n v="88.01082600214022"/>
    <m/>
    <n v="0"/>
    <n v="0"/>
    <n v="0"/>
    <n v="0"/>
    <n v="11.64182683864378"/>
    <n v="1.6381231263047535"/>
    <n v="0"/>
    <n v="0"/>
    <m/>
    <m/>
    <m/>
    <n v="-3096.6943476882529"/>
    <n v="0"/>
    <n v="0"/>
    <n v="194.90369999999984"/>
    <n v="-54.48720000000003"/>
    <n v="0"/>
    <n v="0"/>
    <n v="139.4665371539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0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20.423999999999999"/>
    <n v="20.423999999999999"/>
    <n v="20.423999999999999"/>
    <n v="20.423999999999999"/>
    <m/>
    <n v="522.37"/>
    <n v="144.41999999999999"/>
    <m/>
    <n v="13618.518959999999"/>
    <n v="13618.518959999999"/>
    <n v="13311.13776"/>
    <n v="0"/>
    <n v="1254.0535222859962"/>
    <n v="0"/>
    <n v="0"/>
    <n v="0"/>
    <n v="2082.5056582805605"/>
    <n v="6778.8730286371783"/>
    <n v="2949.6713258290456"/>
    <n v="0"/>
    <n v="0"/>
    <n v="0"/>
    <n v="0"/>
    <n v="0"/>
    <n v="193.67580145633545"/>
    <m/>
    <n v="29.713962404838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.01761563213057"/>
    <n v="0"/>
    <n v="0.48"/>
    <n v="2.2599999999999998"/>
    <n v="10868.7"/>
    <n v="36"/>
    <m/>
    <m/>
    <m/>
    <m/>
    <m/>
    <m/>
    <m/>
    <m/>
    <m/>
    <n v="3279.688941461176"/>
    <m/>
    <m/>
    <m/>
    <m/>
    <m/>
    <m/>
    <m/>
    <m/>
    <m/>
    <m/>
    <m/>
    <m/>
    <n v="13308.5308"/>
    <n v="-310.01815999999963"/>
    <m/>
    <m/>
    <m/>
    <m/>
    <n v="-426.6573599999997"/>
    <n v="119.27616000000006"/>
    <n v="30"/>
    <n v="-1.9602701016920037"/>
    <n v="0"/>
    <n v="0"/>
    <n v="0"/>
    <n v="0"/>
    <n v="0"/>
    <n v="0"/>
    <n v="0"/>
    <n v="87.155676551193665"/>
    <n v="0"/>
    <n v="0"/>
    <n v="119.27191994369696"/>
    <n v="0"/>
    <n v="0"/>
    <n v="0"/>
    <n v="13.344481565456306"/>
    <n v="0"/>
    <n v="-192.66164097188766"/>
    <m/>
    <n v="0"/>
    <n v="0"/>
    <n v="0"/>
    <n v="0"/>
    <n v="-25.484745053854311"/>
    <n v="-3.5859621362967076"/>
    <n v="0"/>
    <n v="0"/>
    <m/>
    <m/>
    <m/>
    <n v="6778.8730286371783"/>
    <n v="0"/>
    <n v="0"/>
    <n v="-426.65735999999924"/>
    <n v="119.27615999999989"/>
    <n v="0"/>
    <n v="0"/>
    <n v="-305.30166718450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1"/>
    <s v="Regular"/>
    <s v="Verde"/>
    <s v="A4"/>
    <s v="Comercial"/>
    <s v="Não se aplica"/>
    <s v="Não se aplica"/>
    <s v="Não se aplica"/>
    <s v="Ponta"/>
    <s v="CATIVO"/>
    <x v="2"/>
    <n v="0"/>
    <n v="0"/>
    <n v="6.62"/>
    <n v="6.62"/>
    <n v="6.62"/>
    <n v="6.62"/>
    <m/>
    <n v="2740.31"/>
    <n v="144.41999999999999"/>
    <m/>
    <n v="19096.9126"/>
    <n v="19096.9126"/>
    <n v="18710.900399999999"/>
    <n v="0"/>
    <n v="353.63277792077793"/>
    <n v="0"/>
    <n v="0"/>
    <n v="0"/>
    <n v="4982.6278236974968"/>
    <n v="12697.210086890807"/>
    <n v="956.07247243381721"/>
    <n v="0"/>
    <n v="0"/>
    <n v="0"/>
    <n v="0"/>
    <n v="0"/>
    <n v="62.77584242268609"/>
    <m/>
    <n v="3.2946760468399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299547857103597"/>
    <n v="0"/>
    <n v="0"/>
    <n v="0"/>
    <n v="0"/>
    <n v="0"/>
    <m/>
    <m/>
    <m/>
    <m/>
    <m/>
    <m/>
    <m/>
    <m/>
    <m/>
    <n v="997.37202029092077"/>
    <m/>
    <m/>
    <m/>
    <m/>
    <m/>
    <m/>
    <m/>
    <m/>
    <m/>
    <m/>
    <m/>
    <m/>
    <n v="18710.900399999999"/>
    <n v="-386.04219999999623"/>
    <m/>
    <m/>
    <m/>
    <m/>
    <n v="-424.67300000000063"/>
    <n v="38.660800000000023"/>
    <n v="30"/>
    <n v="185.87216928689122"/>
    <n v="0"/>
    <n v="0"/>
    <n v="0"/>
    <n v="0"/>
    <n v="0"/>
    <n v="0"/>
    <n v="0"/>
    <n v="208.52970903121241"/>
    <n v="0"/>
    <n v="0"/>
    <n v="38.659425677010972"/>
    <n v="0"/>
    <n v="0"/>
    <n v="0"/>
    <n v="1.6699746587318884"/>
    <n v="0"/>
    <n v="-54.328997993218024"/>
    <m/>
    <n v="0"/>
    <n v="0"/>
    <n v="0"/>
    <n v="0"/>
    <n v="-8.2603315832606512"/>
    <n v="-0.39761050358629157"/>
    <n v="0"/>
    <n v="0"/>
    <m/>
    <m/>
    <m/>
    <n v="12697.210086890807"/>
    <n v="0"/>
    <n v="0"/>
    <n v="-424.6730000000025"/>
    <n v="38.660799999999995"/>
    <n v="0"/>
    <n v="0"/>
    <n v="-571.84717750927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2"/>
    <s v="Regular"/>
    <s v="Verde"/>
    <s v="A4"/>
    <s v="Comercial"/>
    <s v="Não se aplica"/>
    <s v="Não se aplica"/>
    <s v="Não se aplica"/>
    <s v="Fora ponta"/>
    <s v="CATIVO"/>
    <x v="2"/>
    <n v="0"/>
    <n v="0"/>
    <n v="390.53"/>
    <n v="390.53"/>
    <n v="390.53"/>
    <n v="390.53"/>
    <m/>
    <n v="69.64"/>
    <n v="144.41999999999999"/>
    <m/>
    <n v="83596.851799999989"/>
    <n v="83596.851799999989"/>
    <n v="82261.239199999982"/>
    <n v="0"/>
    <n v="20861.662954894469"/>
    <n v="0"/>
    <n v="0"/>
    <n v="0"/>
    <n v="0"/>
    <n v="0"/>
    <n v="56401.054782413688"/>
    <n v="0"/>
    <n v="0"/>
    <n v="0"/>
    <n v="0"/>
    <n v="0"/>
    <n v="3703.3005651558301"/>
    <m/>
    <n v="194.36100250338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6.3613934493455"/>
    <n v="0"/>
    <n v="0"/>
    <n v="0"/>
    <n v="0"/>
    <n v="0"/>
    <m/>
    <m/>
    <m/>
    <m/>
    <m/>
    <m/>
    <m/>
    <m/>
    <m/>
    <n v="58837.416175863036"/>
    <m/>
    <m/>
    <m/>
    <m/>
    <m/>
    <m/>
    <m/>
    <m/>
    <m/>
    <m/>
    <m/>
    <m/>
    <n v="82261.239199999982"/>
    <n v="-1335.6425999999919"/>
    <m/>
    <m/>
    <m/>
    <m/>
    <n v="-3616.3077999999991"/>
    <n v="2280.695200000001"/>
    <n v="30"/>
    <n v="-1336.6237154607516"/>
    <n v="0"/>
    <n v="0"/>
    <n v="0"/>
    <n v="0"/>
    <n v="0"/>
    <n v="0"/>
    <n v="0"/>
    <n v="0"/>
    <n v="0"/>
    <n v="0"/>
    <n v="2280.6141253237292"/>
    <n v="0"/>
    <n v="0"/>
    <n v="0"/>
    <n v="98.515891763528998"/>
    <n v="0"/>
    <n v="-3205.0005417358661"/>
    <m/>
    <n v="0"/>
    <n v="0"/>
    <n v="0"/>
    <n v="0"/>
    <n v="-487.29717420102452"/>
    <n v="-23.456016611110925"/>
    <n v="0"/>
    <n v="0"/>
    <m/>
    <m/>
    <m/>
    <n v="0"/>
    <n v="0"/>
    <n v="0"/>
    <n v="-3616.3077999999987"/>
    <n v="2280.695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3"/>
    <s v="Regular"/>
    <s v="Verde"/>
    <s v="A4"/>
    <s v="Comercial"/>
    <s v="Não se aplica"/>
    <s v="Não se aplica"/>
    <s v="Não se aplica"/>
    <s v="Não se aplica"/>
    <s v="CATIVO"/>
    <x v="2"/>
    <n v="1860"/>
    <n v="1860"/>
    <n v="0"/>
    <n v="0"/>
    <n v="0"/>
    <n v="0"/>
    <n v="34.950000000000003"/>
    <m/>
    <m/>
    <n v="65007.000000000007"/>
    <m/>
    <n v="65007.000000000007"/>
    <n v="64132.799999999996"/>
    <n v="0"/>
    <n v="0"/>
    <n v="0"/>
    <n v="0"/>
    <n v="0"/>
    <n v="23565.78989127282"/>
    <n v="41449.7428662235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617.13"/>
    <n v="15"/>
    <m/>
    <m/>
    <m/>
    <m/>
    <m/>
    <m/>
    <m/>
    <m/>
    <m/>
    <n v="0"/>
    <m/>
    <m/>
    <m/>
    <m/>
    <m/>
    <m/>
    <m/>
    <m/>
    <m/>
    <m/>
    <m/>
    <m/>
    <n v="64132.799999999996"/>
    <n v="-874.23000000001775"/>
    <m/>
    <m/>
    <m/>
    <m/>
    <n v="-874.20000000001107"/>
    <n v="0"/>
    <n v="30"/>
    <n v="986.26015889560222"/>
    <n v="0"/>
    <n v="0"/>
    <n v="0"/>
    <n v="0"/>
    <m/>
    <m/>
    <m/>
    <n v="986.260158895602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449.74286622354"/>
    <m/>
    <n v="0"/>
    <n v="0"/>
    <n v="-874.20000000001164"/>
    <m/>
    <n v="0"/>
    <m/>
    <n v="-1866.7816240202737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24"/>
    <s v="Regular"/>
    <s v="Branca"/>
    <s v="B3"/>
    <s v="Comercial"/>
    <s v="Não se aplica"/>
    <s v="Não se aplica"/>
    <s v="Não se aplica"/>
    <s v="Ponta"/>
    <s v="CATIVO"/>
    <x v="2"/>
    <n v="0"/>
    <n v="0"/>
    <n v="7.3999999999999996E-2"/>
    <n v="7.3999999999999996E-2"/>
    <n v="7.3999999999999996E-2"/>
    <n v="7.3999999999999996E-2"/>
    <m/>
    <n v="1585.55"/>
    <n v="144.41999999999999"/>
    <m/>
    <n v="128.01777999999999"/>
    <n v="128.01777999999999"/>
    <n v="124.96898"/>
    <n v="0"/>
    <n v="4.5436721821956381"/>
    <n v="0"/>
    <n v="0"/>
    <n v="0"/>
    <n v="26.046239890689403"/>
    <n v="84.735854526220805"/>
    <n v="10.687214948655962"/>
    <n v="0"/>
    <n v="0"/>
    <n v="0"/>
    <n v="0"/>
    <n v="0"/>
    <n v="0.70172391832005598"/>
    <m/>
    <n v="0.10765928407550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957159986671397"/>
    <n v="0"/>
    <n v="0"/>
    <n v="0"/>
    <n v="0"/>
    <n v="0"/>
    <m/>
    <m/>
    <m/>
    <m/>
    <m/>
    <m/>
    <m/>
    <m/>
    <m/>
    <n v="11.882930947323102"/>
    <m/>
    <m/>
    <m/>
    <m/>
    <m/>
    <m/>
    <m/>
    <m/>
    <m/>
    <m/>
    <m/>
    <m/>
    <n v="118.21390000000002"/>
    <n v="-9.8338799999999651"/>
    <m/>
    <m/>
    <m/>
    <m/>
    <n v="-3.4809599999999969"/>
    <n v="0.43216000000000021"/>
    <n v="30"/>
    <n v="0.76718647930776029"/>
    <n v="0"/>
    <n v="0"/>
    <n v="0"/>
    <n v="0"/>
    <n v="0"/>
    <n v="0"/>
    <n v="0"/>
    <n v="1.0900703439921351"/>
    <n v="0"/>
    <n v="0"/>
    <n v="0.43214463747716181"/>
    <n v="0"/>
    <n v="0"/>
    <n v="0"/>
    <n v="4.8349570889334448E-2"/>
    <n v="0"/>
    <n v="-0.69804942381118673"/>
    <m/>
    <n v="0"/>
    <n v="0"/>
    <n v="0"/>
    <n v="0"/>
    <n v="-9.2336032803820078E-2"/>
    <n v="-1.299261643585764E-2"/>
    <n v="0"/>
    <n v="0"/>
    <m/>
    <m/>
    <m/>
    <n v="84.735854526220805"/>
    <n v="0"/>
    <n v="0"/>
    <n v="-3.4809599999999961"/>
    <n v="0.43216000000000143"/>
    <n v="0"/>
    <n v="0"/>
    <n v="-3.8162682127064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5"/>
    <s v="Regular"/>
    <s v="Branca"/>
    <s v="B3"/>
    <s v="Comercial"/>
    <s v="Não se aplica"/>
    <s v="Não se aplica"/>
    <s v="Não se aplica"/>
    <s v="Fora ponta"/>
    <s v="CATIVO"/>
    <x v="2"/>
    <n v="0"/>
    <n v="0"/>
    <n v="5.657"/>
    <n v="5.657"/>
    <n v="5.657"/>
    <n v="5.657"/>
    <m/>
    <n v="387.88"/>
    <n v="144.41999999999999"/>
    <m/>
    <n v="3011.2211000000002"/>
    <n v="3011.2211000000002"/>
    <n v="2944.8644899999999"/>
    <n v="0"/>
    <n v="347.34531803622605"/>
    <n v="0"/>
    <n v="0"/>
    <n v="0"/>
    <n v="398.05477465519976"/>
    <n v="1295.5427396372258"/>
    <n v="816.99425627765925"/>
    <n v="0"/>
    <n v="0"/>
    <n v="0"/>
    <n v="0"/>
    <n v="0"/>
    <n v="53.643948728872388"/>
    <m/>
    <n v="8.230115811015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40764060081095"/>
    <n v="0"/>
    <n v="0"/>
    <n v="0"/>
    <n v="0"/>
    <n v="0"/>
    <m/>
    <m/>
    <m/>
    <m/>
    <m/>
    <m/>
    <m/>
    <m/>
    <m/>
    <n v="908.40189687847021"/>
    <m/>
    <m/>
    <m/>
    <m/>
    <m/>
    <m/>
    <m/>
    <m/>
    <m/>
    <m/>
    <m/>
    <m/>
    <n v="2946.4261999999999"/>
    <n v="-64.82490000000098"/>
    <m/>
    <m/>
    <m/>
    <m/>
    <n v="-99.393489999999957"/>
    <n v="33.036880000000018"/>
    <n v="30"/>
    <n v="-8.0240321291594228"/>
    <n v="0"/>
    <n v="0"/>
    <n v="0"/>
    <n v="0"/>
    <n v="0"/>
    <n v="0"/>
    <n v="0"/>
    <n v="16.659130337320278"/>
    <n v="0"/>
    <n v="0"/>
    <n v="33.03570559740956"/>
    <n v="0"/>
    <n v="0"/>
    <n v="0"/>
    <n v="3.696128682715738"/>
    <n v="0"/>
    <n v="-53.363048520268705"/>
    <m/>
    <n v="0"/>
    <n v="0"/>
    <n v="0"/>
    <n v="0"/>
    <n v="-7.0587153725839187"/>
    <n v="-0.993232853751981"/>
    <n v="0"/>
    <n v="0"/>
    <m/>
    <m/>
    <m/>
    <n v="1295.5427396372258"/>
    <n v="0"/>
    <n v="0"/>
    <n v="-99.393489999999929"/>
    <n v="33.036879999999996"/>
    <n v="0"/>
    <n v="0"/>
    <n v="-58.347656999789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6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18.5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27"/>
    <s v="Regular"/>
    <s v="Branca"/>
    <s v="B3"/>
    <s v="Comercial"/>
    <s v="Não se aplica"/>
    <s v="Não se aplica"/>
    <s v="Não se aplica"/>
    <s v="Intermediário"/>
    <s v="CATIVO"/>
    <x v="2"/>
    <n v="0"/>
    <n v="0"/>
    <n v="0.104"/>
    <n v="0.104"/>
    <n v="0.104"/>
    <n v="0.104"/>
    <m/>
    <n v="986.74"/>
    <n v="144.41999999999999"/>
    <m/>
    <n v="117.64063999999999"/>
    <n v="117.64063999999999"/>
    <n v="114.88775999999999"/>
    <n v="0"/>
    <n v="6.3857014452479239"/>
    <n v="0"/>
    <n v="0"/>
    <n v="0"/>
    <n v="21.964364407863172"/>
    <n v="71.452949401947137"/>
    <n v="15.019869657570542"/>
    <n v="0"/>
    <n v="0"/>
    <n v="0"/>
    <n v="0"/>
    <n v="0"/>
    <n v="0.98620658790926785"/>
    <m/>
    <n v="0.15130493978178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804657278565207"/>
    <n v="0"/>
    <n v="0"/>
    <n v="0"/>
    <n v="0"/>
    <n v="0"/>
    <m/>
    <m/>
    <m/>
    <m/>
    <m/>
    <m/>
    <m/>
    <m/>
    <m/>
    <n v="16.700335385427064"/>
    <m/>
    <m/>
    <m/>
    <m/>
    <m/>
    <m/>
    <m/>
    <m/>
    <m/>
    <m/>
    <m/>
    <m/>
    <n v="110.46899999999999"/>
    <n v="-7.2016400000000118"/>
    <m/>
    <m/>
    <m/>
    <m/>
    <n v="-3.3602400000000059"/>
    <n v="0.60736000000000034"/>
    <n v="30"/>
    <n v="0.46545560915384954"/>
    <n v="0"/>
    <n v="0"/>
    <n v="0"/>
    <n v="0"/>
    <n v="0"/>
    <n v="0"/>
    <n v="0"/>
    <n v="0.91923833789944354"/>
    <n v="0"/>
    <n v="0"/>
    <n v="0.60733840942736173"/>
    <n v="0"/>
    <n v="0"/>
    <n v="0"/>
    <n v="6.7950748276902395E-2"/>
    <n v="0"/>
    <n v="-0.98104243346437059"/>
    <m/>
    <n v="0"/>
    <n v="0"/>
    <n v="0"/>
    <n v="0"/>
    <n v="-0.12976955961617953"/>
    <n v="-1.825989336931344E-2"/>
    <n v="0"/>
    <n v="0"/>
    <m/>
    <m/>
    <m/>
    <n v="71.452949401947137"/>
    <n v="0"/>
    <n v="0"/>
    <n v="-3.3602400000000046"/>
    <n v="0.60736000000000168"/>
    <n v="0"/>
    <n v="0"/>
    <n v="-3.2180429527902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8"/>
    <s v="Regular"/>
    <s v="Convencional"/>
    <s v="B2"/>
    <s v="Rural"/>
    <s v="Não se aplica"/>
    <s v="Não se aplica"/>
    <s v="Não se aplica"/>
    <s v="Não se aplica"/>
    <s v="CATIVO"/>
    <x v="2"/>
    <n v="0"/>
    <n v="0"/>
    <n v="335.06099999999998"/>
    <n v="335.06099999999998"/>
    <n v="335.06099999999998"/>
    <n v="335.06099999999998"/>
    <m/>
    <n v="522.37"/>
    <n v="144.41999999999999"/>
    <m/>
    <n v="223415.32418999998"/>
    <n v="223415.32418999998"/>
    <n v="218372.65613999998"/>
    <n v="0"/>
    <n v="20573.072230252066"/>
    <n v="0"/>
    <n v="0"/>
    <n v="0"/>
    <n v="34164.043692182866"/>
    <n v="111209.16450490608"/>
    <n v="48390.120647454263"/>
    <n v="0"/>
    <n v="0"/>
    <n v="0"/>
    <n v="0"/>
    <n v="0"/>
    <n v="3177.3015918410306"/>
    <m/>
    <n v="487.4652348867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14.0243003974392"/>
    <n v="0"/>
    <n v="4.5599999999999996"/>
    <n v="21.26"/>
    <n v="51995.11"/>
    <n v="764"/>
    <m/>
    <m/>
    <m/>
    <m/>
    <m/>
    <n v="26201.770200000006"/>
    <m/>
    <m/>
    <m/>
    <n v="53804.144947851702"/>
    <m/>
    <m/>
    <m/>
    <m/>
    <m/>
    <m/>
    <m/>
    <m/>
    <m/>
    <m/>
    <m/>
    <m/>
    <n v="192170.3124"/>
    <n v="-4433.4605700000247"/>
    <m/>
    <m/>
    <m/>
    <m/>
    <n v="-6999.4242899999954"/>
    <n v="1956.7562400000011"/>
    <n v="30"/>
    <n v="-32.158737786099664"/>
    <n v="0"/>
    <n v="0"/>
    <n v="0"/>
    <n v="0"/>
    <n v="0"/>
    <n v="0"/>
    <n v="0"/>
    <n v="1429.8114052545716"/>
    <n v="0"/>
    <n v="0"/>
    <n v="1956.6866807802071"/>
    <n v="0"/>
    <n v="0"/>
    <n v="0"/>
    <n v="218.91966988853073"/>
    <n v="0"/>
    <n v="-3160.6640269135169"/>
    <m/>
    <n v="0"/>
    <n v="0"/>
    <n v="0"/>
    <n v="0"/>
    <n v="-418.08383090919915"/>
    <n v="-58.828635886687834"/>
    <n v="0"/>
    <n v="0"/>
    <m/>
    <m/>
    <m/>
    <n v="111209.16450490608"/>
    <n v="0"/>
    <n v="0"/>
    <n v="-6999.4242899999954"/>
    <n v="1956.7562400000024"/>
    <n v="0"/>
    <n v="0"/>
    <n v="-5008.5527765622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29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1.5720000000000001"/>
    <n v="-1.5720000000000001"/>
    <n v="-1.5720000000000001"/>
    <n v="-1.5720000000000001"/>
    <m/>
    <n v="522.37"/>
    <n v="144.41999999999999"/>
    <m/>
    <n v="-1048.19388"/>
    <n v="-1048.19388"/>
    <n v="-1024.5352800000001"/>
    <n v="0"/>
    <n v="-96.522333383939781"/>
    <n v="0"/>
    <n v="0"/>
    <n v="0"/>
    <n v="-160.28686324016067"/>
    <n v="-521.7581473275385"/>
    <n v="-227.03110674712397"/>
    <n v="0"/>
    <n v="0"/>
    <n v="0"/>
    <n v="0"/>
    <n v="0"/>
    <n v="-14.906891886474703"/>
    <m/>
    <n v="-2.2870323590093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5.400885809523565"/>
    <n v="0"/>
    <n v="0"/>
    <n v="0"/>
    <n v="-261.13"/>
    <n v="0"/>
    <m/>
    <m/>
    <m/>
    <m/>
    <m/>
    <n v="-122.93040000000002"/>
    <m/>
    <m/>
    <m/>
    <n v="-252.43199255664754"/>
    <m/>
    <m/>
    <m/>
    <m/>
    <m/>
    <m/>
    <m/>
    <m/>
    <m/>
    <m/>
    <m/>
    <m/>
    <n v="-900.45780000000002"/>
    <n v="21.914640000000077"/>
    <m/>
    <m/>
    <m/>
    <m/>
    <n v="32.839079999999981"/>
    <n v="-9.1804800000000064"/>
    <n v="30"/>
    <n v="0.15087860359676597"/>
    <n v="0"/>
    <n v="0"/>
    <n v="0"/>
    <n v="0"/>
    <n v="0"/>
    <n v="0"/>
    <n v="0"/>
    <n v="-6.7082218732116985"/>
    <n v="0"/>
    <n v="0"/>
    <n v="-9.1801536501905332"/>
    <n v="0"/>
    <n v="0"/>
    <n v="0"/>
    <n v="-1.0271016951085628"/>
    <n v="0"/>
    <n v="14.828833705826838"/>
    <m/>
    <n v="0"/>
    <n v="0"/>
    <n v="0"/>
    <n v="0"/>
    <n v="1.9615168049676353"/>
    <n v="0.27600531131308381"/>
    <n v="0"/>
    <n v="0"/>
    <m/>
    <m/>
    <m/>
    <n v="-521.7581473275385"/>
    <n v="0"/>
    <n v="0"/>
    <n v="32.839079999999967"/>
    <n v="-9.1804800000000171"/>
    <n v="0"/>
    <n v="0"/>
    <n v="23.49854195133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0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.4790000000000001"/>
    <n v="1.4790000000000001"/>
    <n v="1.4790000000000001"/>
    <n v="1.4790000000000001"/>
    <m/>
    <n v="522.37"/>
    <n v="144.41999999999999"/>
    <m/>
    <n v="986.18241"/>
    <n v="986.18241"/>
    <n v="963.92346000000009"/>
    <n v="0"/>
    <n v="90.812042668477702"/>
    <n v="0"/>
    <n v="0"/>
    <n v="0"/>
    <n v="150.8042434683191"/>
    <n v="490.89077601617646"/>
    <n v="213.5998771494888"/>
    <n v="0"/>
    <n v="0"/>
    <n v="0"/>
    <n v="0"/>
    <n v="0"/>
    <n v="14.024995610748146"/>
    <m/>
    <n v="2.1517308263198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898161649036485"/>
    <n v="0"/>
    <n v="0"/>
    <n v="0"/>
    <n v="411.14"/>
    <n v="6"/>
    <m/>
    <m/>
    <m/>
    <m/>
    <m/>
    <n v="115.65780000000002"/>
    <m/>
    <m/>
    <m/>
    <n v="237.4980387985253"/>
    <m/>
    <m/>
    <m/>
    <m/>
    <m/>
    <m/>
    <m/>
    <m/>
    <m/>
    <m/>
    <m/>
    <m/>
    <n v="848.83919999999989"/>
    <n v="-19.023630000000139"/>
    <m/>
    <m/>
    <m/>
    <m/>
    <n v="-30.896309999999982"/>
    <n v="8.6373600000000064"/>
    <n v="30"/>
    <n v="-0.14195257933823768"/>
    <n v="0"/>
    <n v="0"/>
    <n v="0"/>
    <n v="0"/>
    <n v="0"/>
    <n v="0"/>
    <n v="0"/>
    <n v="6.3113614188804945"/>
    <n v="0"/>
    <n v="0"/>
    <n v="8.6370529571448742"/>
    <n v="0"/>
    <n v="0"/>
    <n v="0"/>
    <n v="0.96633804520710243"/>
    <n v="0"/>
    <n v="-13.951555375901975"/>
    <m/>
    <n v="0"/>
    <n v="0"/>
    <n v="0"/>
    <n v="0"/>
    <n v="-1.8454728718493207"/>
    <n v="-0.25967675281937108"/>
    <n v="0"/>
    <n v="0"/>
    <m/>
    <m/>
    <m/>
    <n v="490.89077601617646"/>
    <n v="0"/>
    <n v="0"/>
    <n v="-30.896309999999971"/>
    <n v="8.637360000000001"/>
    <n v="0"/>
    <n v="0"/>
    <n v="-22.108361034365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1"/>
    <s v="Regular"/>
    <s v="Verde"/>
    <s v="A4"/>
    <s v="Rural"/>
    <s v="Não se aplica"/>
    <s v="Não se aplica"/>
    <s v="Não se aplica"/>
    <s v="Ponta"/>
    <s v="CATIVO"/>
    <x v="2"/>
    <n v="0"/>
    <n v="0"/>
    <n v="0.65900000000000003"/>
    <n v="0.63263999999999998"/>
    <n v="0.65900000000000003"/>
    <n v="0.63263999999999998"/>
    <m/>
    <n v="2740.31"/>
    <n v="144.41999999999999"/>
    <m/>
    <n v="1901.0370700000001"/>
    <n v="1901.0370700000001"/>
    <n v="1862.61078"/>
    <n v="0"/>
    <n v="35.203021246192243"/>
    <n v="0"/>
    <n v="0"/>
    <n v="0"/>
    <n v="496.00479393000762"/>
    <n v="1263.9669859910939"/>
    <n v="95.173981772490265"/>
    <n v="0"/>
    <n v="0"/>
    <n v="0"/>
    <n v="0"/>
    <n v="0"/>
    <n v="6.249135975309688"/>
    <m/>
    <n v="0.327974549073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112389785243613"/>
    <n v="0"/>
    <n v="0"/>
    <n v="0"/>
    <n v="0"/>
    <n v="0"/>
    <m/>
    <m/>
    <m/>
    <m/>
    <m/>
    <n v="74.504431200000141"/>
    <m/>
    <m/>
    <m/>
    <n v="99.28522075101462"/>
    <m/>
    <m/>
    <m/>
    <m/>
    <m/>
    <m/>
    <m/>
    <m/>
    <m/>
    <m/>
    <m/>
    <m/>
    <n v="1780.6445999999999"/>
    <n v="-44.380987200000163"/>
    <m/>
    <m/>
    <m/>
    <m/>
    <n v="-42.274850000000065"/>
    <n v="3.8485600000000026"/>
    <n v="30"/>
    <n v="18.502984827803857"/>
    <n v="0"/>
    <n v="0"/>
    <n v="0"/>
    <n v="0"/>
    <n v="0"/>
    <n v="0"/>
    <n v="0"/>
    <n v="20.758471034980289"/>
    <n v="0"/>
    <n v="0"/>
    <n v="3.8484231905060824"/>
    <n v="0"/>
    <n v="0"/>
    <n v="0"/>
    <n v="0.16624067977406565"/>
    <n v="0"/>
    <n v="-5.4082794074819738"/>
    <m/>
    <n v="0"/>
    <n v="0"/>
    <n v="0"/>
    <n v="0"/>
    <n v="-0.82228980564482956"/>
    <n v="-3.9580864329813614E-2"/>
    <n v="0"/>
    <n v="0"/>
    <m/>
    <m/>
    <m/>
    <n v="1263.9669859910939"/>
    <n v="0"/>
    <n v="0"/>
    <n v="-42.274850000000015"/>
    <n v="3.848559999999992"/>
    <n v="0"/>
    <n v="0"/>
    <n v="-56.92557250432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2"/>
    <s v="Regular"/>
    <s v="Verde"/>
    <s v="A4"/>
    <s v="Rural"/>
    <s v="Não se aplica"/>
    <s v="Não se aplica"/>
    <s v="Não se aplica"/>
    <s v="Fora ponta"/>
    <s v="CATIVO"/>
    <x v="2"/>
    <n v="0"/>
    <n v="0"/>
    <n v="37.720999999999997"/>
    <n v="36.212159999999997"/>
    <n v="37.720999999999997"/>
    <n v="36.212159999999997"/>
    <m/>
    <n v="69.64"/>
    <n v="144.41999999999999"/>
    <m/>
    <n v="8074.5572599999996"/>
    <n v="8074.5572599999996"/>
    <n v="7945.5514399999993"/>
    <n v="0"/>
    <n v="2015.0123891162632"/>
    <n v="0"/>
    <n v="0"/>
    <n v="0"/>
    <n v="0"/>
    <n v="0"/>
    <n v="5447.7356091655611"/>
    <n v="0"/>
    <n v="0"/>
    <n v="0"/>
    <n v="0"/>
    <n v="0"/>
    <n v="357.699025985822"/>
    <m/>
    <n v="18.773183559342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.32632095435116"/>
    <n v="0"/>
    <n v="0"/>
    <n v="0"/>
    <n v="0"/>
    <n v="0"/>
    <m/>
    <m/>
    <m/>
    <m/>
    <m/>
    <n v="317.82205759999982"/>
    <m/>
    <m/>
    <m/>
    <n v="5683.0619301199122"/>
    <m/>
    <m/>
    <m/>
    <m/>
    <m/>
    <m/>
    <m/>
    <m/>
    <m/>
    <m/>
    <m/>
    <m/>
    <n v="7627.2744000000002"/>
    <n v="-124.33056959999885"/>
    <m/>
    <m/>
    <m/>
    <m/>
    <n v="-349.29645999999991"/>
    <n v="220.29064000000011"/>
    <n v="30"/>
    <n v="-129.10348288452769"/>
    <n v="0"/>
    <n v="0"/>
    <n v="0"/>
    <n v="0"/>
    <n v="0"/>
    <n v="0"/>
    <n v="0"/>
    <n v="0"/>
    <n v="0"/>
    <n v="0"/>
    <n v="220.28280905778411"/>
    <n v="0"/>
    <n v="0"/>
    <n v="0"/>
    <n v="9.5155761483422054"/>
    <n v="0"/>
    <n v="-309.56860019670353"/>
    <m/>
    <n v="0"/>
    <n v="0"/>
    <n v="0"/>
    <n v="0"/>
    <n v="-47.067668829633703"/>
    <n v="-2.2655990643169943"/>
    <n v="0"/>
    <n v="0"/>
    <m/>
    <m/>
    <m/>
    <n v="0"/>
    <n v="0"/>
    <n v="0"/>
    <n v="-349.29645999999957"/>
    <n v="220.29063999999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3"/>
    <s v="Regular"/>
    <s v="Verde"/>
    <s v="A4"/>
    <s v="Rural"/>
    <s v="Não se aplica"/>
    <s v="Não se aplica"/>
    <s v="Não se aplica"/>
    <s v="Não se aplica"/>
    <s v="CATIVO"/>
    <x v="2"/>
    <n v="153"/>
    <n v="146.88"/>
    <n v="0"/>
    <n v="0"/>
    <n v="0"/>
    <n v="0"/>
    <n v="34.950000000000003"/>
    <m/>
    <m/>
    <n v="5347.35"/>
    <m/>
    <n v="5347.35"/>
    <n v="5275.44"/>
    <n v="0"/>
    <n v="0"/>
    <n v="0"/>
    <n v="0"/>
    <n v="0"/>
    <n v="1938.4762652498609"/>
    <n v="3409.57562286677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169.95"/>
    <n v="1"/>
    <m/>
    <m/>
    <m/>
    <m/>
    <m/>
    <n v="211.01760000000013"/>
    <m/>
    <m/>
    <m/>
    <n v="0"/>
    <m/>
    <m/>
    <m/>
    <m/>
    <m/>
    <m/>
    <m/>
    <m/>
    <m/>
    <m/>
    <m/>
    <m/>
    <n v="5064.4223999999995"/>
    <n v="-69.063600000001315"/>
    <m/>
    <m/>
    <m/>
    <m/>
    <n v="-71.910000000000906"/>
    <n v="0"/>
    <n v="30"/>
    <n v="81.127851780122"/>
    <n v="0"/>
    <n v="0"/>
    <n v="0"/>
    <n v="0"/>
    <m/>
    <m/>
    <m/>
    <n v="81.1278517801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09.5756228667751"/>
    <m/>
    <n v="0"/>
    <n v="0"/>
    <n v="-71.910000000000764"/>
    <m/>
    <n v="0"/>
    <m/>
    <n v="-153.55784326618368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3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77.125"/>
    <n v="77.125"/>
    <n v="77.125"/>
    <n v="77.125"/>
    <m/>
    <n v="522.37"/>
    <n v="144.41999999999999"/>
    <m/>
    <n v="51426.178749999999"/>
    <n v="51426.178749999999"/>
    <n v="50265.447500000002"/>
    <n v="0"/>
    <n v="4735.5502304302518"/>
    <n v="0"/>
    <n v="0"/>
    <n v="0"/>
    <n v="7863.9467731535569"/>
    <n v="25598.34421923435"/>
    <n v="11138.533147501232"/>
    <n v="0"/>
    <n v="0"/>
    <n v="0"/>
    <n v="0"/>
    <n v="0"/>
    <n v="731.35752973559886"/>
    <m/>
    <n v="112.20570654490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210762124367"/>
    <n v="0"/>
    <n v="375.88"/>
    <n v="1738.25"/>
    <n v="15828.8"/>
    <n v="125"/>
    <m/>
    <m/>
    <m/>
    <m/>
    <m/>
    <m/>
    <m/>
    <m/>
    <m/>
    <n v="12384.743909625598"/>
    <m/>
    <m/>
    <m/>
    <m/>
    <m/>
    <m/>
    <m/>
    <m/>
    <m/>
    <m/>
    <m/>
    <m/>
    <n v="50268.706200000001"/>
    <n v="-1157.5025500000047"/>
    <m/>
    <m/>
    <m/>
    <m/>
    <n v="-1611.141249999999"/>
    <n v="450.41000000000025"/>
    <n v="30"/>
    <n v="-7.4023615155274456"/>
    <n v="0"/>
    <n v="0"/>
    <n v="0"/>
    <n v="0"/>
    <n v="0"/>
    <n v="0"/>
    <n v="0"/>
    <n v="329.11680150855682"/>
    <n v="0"/>
    <n v="0"/>
    <n v="450.39398872197489"/>
    <n v="0"/>
    <n v="0"/>
    <n v="0"/>
    <n v="50.391360200539339"/>
    <n v="0"/>
    <n v="-727.5278623167269"/>
    <m/>
    <n v="0"/>
    <n v="0"/>
    <n v="0"/>
    <n v="0"/>
    <n v="-96.235358513440701"/>
    <n v="-13.541291116425953"/>
    <n v="0"/>
    <n v="0"/>
    <m/>
    <m/>
    <m/>
    <n v="25598.34421923435"/>
    <n v="0"/>
    <n v="0"/>
    <n v="-1611.1412499999933"/>
    <n v="450.40999999999985"/>
    <n v="0"/>
    <n v="0"/>
    <n v="-1152.878529259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5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1.577"/>
    <n v="1.577"/>
    <n v="1.577"/>
    <n v="1.577"/>
    <m/>
    <n v="522.37"/>
    <n v="144.41999999999999"/>
    <m/>
    <n v="1051.52783"/>
    <n v="1051.52783"/>
    <n v="1027.7939799999999"/>
    <n v="0"/>
    <n v="96.829338261115169"/>
    <n v="0"/>
    <n v="0"/>
    <n v="0"/>
    <n v="160.79668150746397"/>
    <n v="523.41768341954707"/>
    <n v="227.75321586527639"/>
    <n v="0"/>
    <n v="0"/>
    <n v="0"/>
    <n v="0"/>
    <n v="0"/>
    <n v="14.954305664739572"/>
    <m/>
    <n v="2.2943066349603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81677431055129"/>
    <n v="0"/>
    <n v="5.85"/>
    <n v="27.05"/>
    <n v="423.82"/>
    <n v="2"/>
    <m/>
    <m/>
    <m/>
    <m/>
    <m/>
    <m/>
    <m/>
    <m/>
    <m/>
    <n v="253.23489329633151"/>
    <m/>
    <m/>
    <m/>
    <m/>
    <m/>
    <m/>
    <m/>
    <m/>
    <m/>
    <m/>
    <m/>
    <m/>
    <n v="1029.7492000000002"/>
    <n v="-21.808629999999766"/>
    <m/>
    <m/>
    <m/>
    <m/>
    <n v="-32.943529999999974"/>
    <n v="9.2096800000000059"/>
    <n v="30"/>
    <n v="-0.15135849737407625"/>
    <n v="0"/>
    <n v="0"/>
    <n v="0"/>
    <n v="0"/>
    <n v="0"/>
    <n v="0"/>
    <n v="0"/>
    <n v="6.7295584567779088"/>
    <n v="0"/>
    <n v="0"/>
    <n v="9.2093526121822151"/>
    <n v="0"/>
    <n v="0"/>
    <n v="0"/>
    <n v="1.0303685580064901"/>
    <n v="0"/>
    <n v="-14.875999207435711"/>
    <m/>
    <n v="0"/>
    <n v="0"/>
    <n v="0"/>
    <n v="0"/>
    <n v="-1.9677557261030287"/>
    <n v="-0.27688319080199353"/>
    <n v="0"/>
    <n v="0"/>
    <m/>
    <m/>
    <m/>
    <n v="523.41768341954707"/>
    <n v="0"/>
    <n v="0"/>
    <n v="-32.943529999999896"/>
    <n v="9.2096800000000201"/>
    <n v="0"/>
    <n v="0"/>
    <n v="-23.57328286084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6"/>
    <s v="Regular"/>
    <s v="Verde"/>
    <s v="A4"/>
    <s v="Poder público"/>
    <s v="Não se aplica"/>
    <s v="Não se aplica"/>
    <s v="Não se aplica"/>
    <s v="Ponta"/>
    <s v="CATIVO"/>
    <x v="2"/>
    <n v="0"/>
    <n v="0"/>
    <n v="9.5000000000000001E-2"/>
    <n v="9.5000000000000001E-2"/>
    <n v="9.5000000000000001E-2"/>
    <n v="9.5000000000000001E-2"/>
    <m/>
    <n v="2740.31"/>
    <n v="144.41999999999999"/>
    <m/>
    <n v="274.04935"/>
    <n v="274.04935"/>
    <n v="268.50990000000002"/>
    <n v="0"/>
    <n v="5.0747906197090487"/>
    <n v="0"/>
    <n v="0"/>
    <n v="0"/>
    <n v="71.502967258498813"/>
    <n v="182.21071876958106"/>
    <n v="13.720073244896168"/>
    <n v="0"/>
    <n v="0"/>
    <n v="0"/>
    <n v="0"/>
    <n v="0"/>
    <n v="0.9008617870325043"/>
    <m/>
    <n v="4.728009432776349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926672275566226"/>
    <n v="0"/>
    <n v="0"/>
    <n v="0"/>
    <n v="0"/>
    <n v="0"/>
    <m/>
    <m/>
    <m/>
    <m/>
    <m/>
    <m/>
    <m/>
    <m/>
    <m/>
    <n v="14.312740472452791"/>
    <m/>
    <m/>
    <m/>
    <m/>
    <m/>
    <m/>
    <m/>
    <m/>
    <m/>
    <m/>
    <m/>
    <m/>
    <n v="282.642"/>
    <n v="8.5626500000000192"/>
    <m/>
    <m/>
    <m/>
    <m/>
    <n v="-6.0942500000000086"/>
    <n v="0.55480000000000029"/>
    <n v="30"/>
    <n v="2.6673498613677538"/>
    <n v="0"/>
    <n v="0"/>
    <n v="0"/>
    <n v="0"/>
    <n v="0"/>
    <n v="0"/>
    <n v="0"/>
    <n v="2.9924958244660473"/>
    <n v="0"/>
    <n v="0"/>
    <n v="0.55478027784230299"/>
    <n v="0"/>
    <n v="0"/>
    <n v="0"/>
    <n v="2.3964893138901711E-2"/>
    <n v="0"/>
    <n v="-0.7796457415945186"/>
    <m/>
    <n v="0"/>
    <n v="0"/>
    <n v="0"/>
    <n v="0"/>
    <n v="-0.11853950157247162"/>
    <n v="-5.7058909124921009E-3"/>
    <n v="0"/>
    <n v="0"/>
    <m/>
    <m/>
    <m/>
    <n v="182.21071876958106"/>
    <n v="0"/>
    <n v="0"/>
    <n v="-6.0942500000000166"/>
    <n v="0.55480000000000018"/>
    <n v="0"/>
    <n v="0"/>
    <n v="-8.2062661425046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7"/>
    <s v="Regular"/>
    <s v="Verde"/>
    <s v="A4"/>
    <s v="Poder público"/>
    <s v="Não se aplica"/>
    <s v="Não se aplica"/>
    <s v="Não se aplica"/>
    <s v="Fora ponta"/>
    <s v="CATIVO"/>
    <x v="2"/>
    <n v="0"/>
    <n v="0"/>
    <n v="2.0819999999999999"/>
    <n v="2.0819999999999999"/>
    <n v="2.0819999999999999"/>
    <n v="2.0819999999999999"/>
    <m/>
    <n v="69.64"/>
    <n v="144.41999999999999"/>
    <m/>
    <n v="445.67291999999992"/>
    <n v="445.67291999999992"/>
    <n v="438.55247999999995"/>
    <n v="0"/>
    <n v="111.21804284457093"/>
    <n v="0"/>
    <n v="0"/>
    <n v="0"/>
    <n v="0"/>
    <n v="0"/>
    <n v="300.68623679867181"/>
    <n v="0"/>
    <n v="0"/>
    <n v="0"/>
    <n v="0"/>
    <n v="0"/>
    <n v="19.743097269491305"/>
    <m/>
    <n v="1.0361805935831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988770187083034"/>
    <n v="0"/>
    <n v="0"/>
    <n v="0"/>
    <n v="0"/>
    <n v="0"/>
    <m/>
    <m/>
    <m/>
    <m/>
    <m/>
    <m/>
    <m/>
    <m/>
    <m/>
    <n v="313.67500698575486"/>
    <m/>
    <m/>
    <m/>
    <m/>
    <m/>
    <m/>
    <m/>
    <m/>
    <m/>
    <m/>
    <m/>
    <m/>
    <n v="438.13120000000004"/>
    <n v="-7.571719999999857"/>
    <m/>
    <m/>
    <m/>
    <m/>
    <n v="-19.279319999999995"/>
    <n v="12.158880000000007"/>
    <n v="30"/>
    <n v="-7.1258304754801998"/>
    <n v="0"/>
    <n v="0"/>
    <n v="0"/>
    <n v="0"/>
    <n v="0"/>
    <n v="0"/>
    <n v="0"/>
    <n v="0"/>
    <n v="0"/>
    <n v="0"/>
    <n v="12.158447773343937"/>
    <n v="0"/>
    <n v="0"/>
    <n v="0"/>
    <n v="0.52520955279150883"/>
    <n v="0"/>
    <n v="-17.086551936839868"/>
    <m/>
    <n v="0"/>
    <n v="0"/>
    <n v="0"/>
    <n v="0"/>
    <n v="-2.5978867607777474"/>
    <n v="-0.12504910399798475"/>
    <n v="0"/>
    <n v="0"/>
    <m/>
    <m/>
    <m/>
    <n v="0"/>
    <n v="0"/>
    <n v="0"/>
    <n v="-19.279319999999998"/>
    <n v="12.15888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38"/>
    <s v="Regular"/>
    <s v="Verde"/>
    <s v="A4"/>
    <s v="Poder público"/>
    <s v="Não se aplica"/>
    <s v="Não se aplica"/>
    <s v="Não se aplica"/>
    <s v="Não se aplica"/>
    <s v="CATIVO"/>
    <x v="2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73"/>
    <n v="104.95"/>
    <n v="689.66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0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39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370.55399999999997"/>
    <n v="370.55399999999997"/>
    <n v="370.55399999999997"/>
    <n v="370.55399999999997"/>
    <m/>
    <n v="287.3"/>
    <n v="79.430000000000007"/>
    <m/>
    <n v="135893.26842000001"/>
    <n v="135893.26842000001"/>
    <n v="132828.78683999999"/>
    <n v="0"/>
    <n v="12513.80737825307"/>
    <n v="0"/>
    <n v="0"/>
    <n v="0"/>
    <n v="20780.671804454181"/>
    <n v="67644.251074201457"/>
    <n v="29433.846438464181"/>
    <n v="0"/>
    <n v="0"/>
    <n v="0"/>
    <n v="0"/>
    <n v="0"/>
    <n v="1932.6301710276143"/>
    <m/>
    <n v="296.50632558408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3.1424377507733"/>
    <n v="0"/>
    <n v="1183.72"/>
    <n v="5463.47"/>
    <n v="60705.15"/>
    <n v="6"/>
    <m/>
    <m/>
    <m/>
    <m/>
    <m/>
    <m/>
    <m/>
    <m/>
    <m/>
    <n v="32726.988876214953"/>
    <m/>
    <m/>
    <m/>
    <m/>
    <m/>
    <m/>
    <m/>
    <m/>
    <m/>
    <m/>
    <m/>
    <m/>
    <n v="132827.353"/>
    <n v="-3065.9454200000037"/>
    <m/>
    <m/>
    <m/>
    <m/>
    <n v="-4253.9599200000066"/>
    <n v="1189.4783399999976"/>
    <n v="30"/>
    <n v="-19.560921464901185"/>
    <n v="0"/>
    <n v="0"/>
    <n v="0"/>
    <n v="0"/>
    <n v="0"/>
    <n v="0"/>
    <n v="0"/>
    <n v="869.69920254656608"/>
    <n v="0"/>
    <n v="0"/>
    <n v="1190.1771378058147"/>
    <n v="0"/>
    <n v="0"/>
    <n v="0"/>
    <n v="133.1604025706697"/>
    <n v="0"/>
    <n v="-1922.5101811487948"/>
    <m/>
    <n v="0"/>
    <n v="0"/>
    <n v="0"/>
    <n v="0"/>
    <n v="-254.30429006449322"/>
    <n v="-35.783193174663779"/>
    <n v="0"/>
    <n v="0"/>
    <m/>
    <m/>
    <m/>
    <n v="67644.251074201457"/>
    <n v="0"/>
    <n v="0"/>
    <n v="-4253.9599200000084"/>
    <n v="1189.4783399999978"/>
    <n v="0"/>
    <n v="0"/>
    <n v="-3046.5097282626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0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8.056999999999999"/>
    <n v="16.973579999999998"/>
    <n v="18.056999999999999"/>
    <n v="16.973579999999998"/>
    <m/>
    <n v="522.37"/>
    <n v="144.41999999999999"/>
    <m/>
    <n v="12040.227029999998"/>
    <n v="12040.227029999998"/>
    <n v="11768.46918"/>
    <n v="0"/>
    <n v="1108.7174134311708"/>
    <n v="0"/>
    <n v="0"/>
    <n v="0"/>
    <n v="1841.1576905391737"/>
    <n v="5993.2486426802552"/>
    <n v="2607.8248692956854"/>
    <n v="0"/>
    <n v="0"/>
    <n v="0"/>
    <n v="0"/>
    <n v="0"/>
    <n v="171.23011882574662"/>
    <m/>
    <n v="26.270320169612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77086199908842"/>
    <n v="0"/>
    <n v="83.68"/>
    <n v="387.41"/>
    <n v="4521.3999999999996"/>
    <n v="33"/>
    <m/>
    <m/>
    <m/>
    <m/>
    <n v="706.1081508000002"/>
    <m/>
    <m/>
    <m/>
    <m/>
    <n v="2899.5957312947739"/>
    <m/>
    <m/>
    <m/>
    <m/>
    <m/>
    <m/>
    <m/>
    <m/>
    <m/>
    <m/>
    <m/>
    <m/>
    <n v="11060.0278"/>
    <n v="-257.81560819999868"/>
    <m/>
    <m/>
    <m/>
    <m/>
    <n v="-377.21072999999973"/>
    <n v="105.45288000000005"/>
    <n v="30"/>
    <n v="-1.7330883875001746"/>
    <n v="0"/>
    <n v="0"/>
    <n v="0"/>
    <n v="0"/>
    <n v="0"/>
    <n v="0"/>
    <n v="0"/>
    <n v="77.05493789095658"/>
    <n v="0"/>
    <n v="0"/>
    <n v="105.44913133682576"/>
    <n v="0"/>
    <n v="0"/>
    <n v="0"/>
    <n v="11.797948669577181"/>
    <n v="0"/>
    <n v="-170.3334925102514"/>
    <m/>
    <n v="0"/>
    <n v="0"/>
    <n v="0"/>
    <n v="0"/>
    <n v="-22.531239788359159"/>
    <n v="-3.1703739862470464"/>
    <n v="0"/>
    <n v="0"/>
    <m/>
    <m/>
    <m/>
    <n v="5993.2486426802552"/>
    <n v="0"/>
    <n v="0"/>
    <n v="-377.21072999999888"/>
    <n v="105.45287999999982"/>
    <n v="0"/>
    <n v="0"/>
    <n v="-269.9193206203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1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0.57299999999999995"/>
    <n v="0.53861999999999999"/>
    <n v="0.57299999999999995"/>
    <n v="0.53861999999999999"/>
    <m/>
    <n v="2740.31"/>
    <n v="144.41999999999999"/>
    <m/>
    <n v="1652.9502899999998"/>
    <n v="1652.9502899999998"/>
    <n v="1619.5386599999997"/>
    <n v="0"/>
    <n v="30.609000264139837"/>
    <n v="0"/>
    <n v="0"/>
    <n v="0"/>
    <n v="431.27579199073494"/>
    <n v="1099.018335315473"/>
    <n v="82.753704940268463"/>
    <n v="0"/>
    <n v="0"/>
    <n v="0"/>
    <n v="0"/>
    <n v="0"/>
    <n v="5.4336189891539464"/>
    <m/>
    <n v="0.28517362157693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747191725257341"/>
    <n v="0"/>
    <n v="0"/>
    <n v="0"/>
    <n v="0"/>
    <n v="0"/>
    <m/>
    <m/>
    <m/>
    <m/>
    <n v="97.172319599999895"/>
    <m/>
    <m/>
    <m/>
    <m/>
    <n v="86.328424112794195"/>
    <m/>
    <m/>
    <m/>
    <m/>
    <m/>
    <m/>
    <m/>
    <m/>
    <m/>
    <m/>
    <m/>
    <m/>
    <n v="1526.2668000000001"/>
    <n v="-27.536472599999797"/>
    <m/>
    <m/>
    <m/>
    <m/>
    <n v="-36.757950000000051"/>
    <n v="3.3463200000000017"/>
    <n v="30"/>
    <n v="16.088331269091782"/>
    <n v="0"/>
    <n v="0"/>
    <n v="0"/>
    <n v="0"/>
    <n v="0"/>
    <n v="0"/>
    <n v="0"/>
    <n v="18.049474814937298"/>
    <n v="0"/>
    <n v="0"/>
    <n v="3.3462010442488292"/>
    <n v="0"/>
    <n v="0"/>
    <n v="0"/>
    <n v="0.14454614493253315"/>
    <n v="0"/>
    <n v="-4.7024948414069385"/>
    <m/>
    <n v="0"/>
    <n v="0"/>
    <n v="0"/>
    <n v="0"/>
    <n v="-0.71498036211606575"/>
    <n v="-3.4415531503768138E-2"/>
    <n v="0"/>
    <n v="0"/>
    <m/>
    <m/>
    <m/>
    <n v="1099.018335315473"/>
    <n v="0"/>
    <n v="0"/>
    <n v="-36.757950000000164"/>
    <n v="3.3463199999999915"/>
    <n v="0"/>
    <n v="0"/>
    <n v="-49.496742101633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2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3.375"/>
    <n v="3.1724999999999999"/>
    <n v="3.375"/>
    <n v="3.1724999999999999"/>
    <m/>
    <n v="69.64"/>
    <n v="144.41999999999999"/>
    <m/>
    <n v="722.45249999999999"/>
    <n v="722.45249999999999"/>
    <n v="710.91"/>
    <n v="0"/>
    <n v="180.28861412124252"/>
    <n v="0"/>
    <n v="0"/>
    <n v="0"/>
    <n v="0"/>
    <n v="0"/>
    <n v="487.42365475289023"/>
    <n v="0"/>
    <n v="0"/>
    <n v="0"/>
    <n v="0"/>
    <n v="0"/>
    <n v="32.004300328786336"/>
    <m/>
    <n v="1.6796875616442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055283084248437"/>
    <n v="0"/>
    <n v="0"/>
    <n v="0"/>
    <n v="0"/>
    <n v="0"/>
    <m/>
    <m/>
    <m/>
    <m/>
    <n v="42.654600000000023"/>
    <m/>
    <m/>
    <m/>
    <m/>
    <n v="508.47893783713869"/>
    <m/>
    <m/>
    <m/>
    <m/>
    <m/>
    <m/>
    <m/>
    <m/>
    <m/>
    <m/>
    <m/>
    <m/>
    <n v="667.72879999999998"/>
    <n v="-11.406549999999925"/>
    <m/>
    <m/>
    <m/>
    <m/>
    <n v="-31.252499999999994"/>
    <n v="19.710000000000012"/>
    <n v="30"/>
    <n v="-11.55123816270202"/>
    <n v="0"/>
    <n v="0"/>
    <n v="0"/>
    <n v="0"/>
    <n v="0"/>
    <n v="0"/>
    <n v="0"/>
    <n v="0"/>
    <n v="0"/>
    <n v="0"/>
    <n v="19.70929934439755"/>
    <n v="0"/>
    <n v="0"/>
    <n v="0"/>
    <n v="0.85138436151360963"/>
    <n v="0"/>
    <n v="-27.697940819805268"/>
    <m/>
    <n v="0"/>
    <n v="0"/>
    <n v="0"/>
    <n v="0"/>
    <n v="-4.2112717663904391"/>
    <n v="-0.20270928241748254"/>
    <n v="0"/>
    <n v="0"/>
    <m/>
    <m/>
    <m/>
    <n v="0"/>
    <n v="0"/>
    <n v="0"/>
    <n v="-31.252499999999998"/>
    <n v="19.7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3"/>
    <s v="Regular"/>
    <s v="Verde"/>
    <s v="A4"/>
    <s v="Serviço público"/>
    <s v="Água, esgoto e saneamento"/>
    <s v="Não se aplica"/>
    <s v="Não se aplica"/>
    <s v="Não se aplica"/>
    <s v="CATIVO"/>
    <x v="2"/>
    <n v="30"/>
    <n v="28.2"/>
    <n v="0"/>
    <n v="0"/>
    <n v="0"/>
    <n v="0"/>
    <n v="34.950000000000003"/>
    <m/>
    <m/>
    <n v="1048.5"/>
    <m/>
    <n v="1048.5"/>
    <n v="1034.3999999999999"/>
    <n v="0"/>
    <n v="0"/>
    <n v="0"/>
    <n v="0"/>
    <n v="0"/>
    <n v="380.09338534310996"/>
    <n v="668.544239777799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66"/>
    <n v="109.24"/>
    <n v="1035.06"/>
    <n v="1"/>
    <m/>
    <m/>
    <m/>
    <m/>
    <n v="62.064000000000021"/>
    <m/>
    <m/>
    <m/>
    <m/>
    <n v="0"/>
    <m/>
    <m/>
    <m/>
    <m/>
    <m/>
    <m/>
    <m/>
    <m/>
    <m/>
    <m/>
    <m/>
    <m/>
    <n v="972.3359999999999"/>
    <n v="-13.284000000000106"/>
    <m/>
    <m/>
    <m/>
    <m/>
    <n v="-14.100000000000179"/>
    <n v="0"/>
    <n v="30"/>
    <n v="15.907421917671002"/>
    <n v="0"/>
    <n v="0"/>
    <n v="0"/>
    <n v="0"/>
    <m/>
    <m/>
    <m/>
    <n v="15.9074219176710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8.54423977779902"/>
    <m/>
    <n v="0"/>
    <n v="0"/>
    <n v="-14.100000000000136"/>
    <m/>
    <n v="0"/>
    <m/>
    <n v="-30.1093810325850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44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6.5890000000000004"/>
    <n v="6.5890000000000004"/>
    <n v="6.5890000000000004"/>
    <n v="6.5890000000000004"/>
    <m/>
    <n v="522.37"/>
    <n v="144.41999999999999"/>
    <m/>
    <n v="4393.4793100000006"/>
    <n v="4393.4793100000006"/>
    <n v="4294.3148600000004"/>
    <n v="0"/>
    <n v="404.57102714171708"/>
    <n v="0"/>
    <n v="0"/>
    <n v="0"/>
    <n v="671.83851265230192"/>
    <n v="2186.9366620490782"/>
    <n v="951.59539590127224"/>
    <n v="0"/>
    <n v="0"/>
    <n v="0"/>
    <n v="0"/>
    <n v="0"/>
    <n v="62.481876997443905"/>
    <m/>
    <n v="9.58604084829032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46719885429438"/>
    <n v="0"/>
    <n v="0"/>
    <n v="0"/>
    <n v="0"/>
    <n v="3"/>
    <m/>
    <m/>
    <m/>
    <m/>
    <m/>
    <m/>
    <m/>
    <m/>
    <m/>
    <n v="1058.0625947555666"/>
    <m/>
    <m/>
    <m/>
    <m/>
    <m/>
    <m/>
    <m/>
    <m/>
    <m/>
    <m/>
    <m/>
    <m/>
    <n v="4294.9665999999997"/>
    <n v="-98.542710000001534"/>
    <m/>
    <m/>
    <m/>
    <m/>
    <n v="-137.64420999999993"/>
    <n v="38.479760000000027"/>
    <n v="30"/>
    <n v="-0.63240401978282534"/>
    <n v="0"/>
    <n v="0"/>
    <n v="0"/>
    <n v="0"/>
    <n v="0"/>
    <n v="0"/>
    <n v="0"/>
    <n v="28.117349823531868"/>
    <n v="0"/>
    <n v="0"/>
    <n v="38.478392112662391"/>
    <n v="0"/>
    <n v="0"/>
    <n v="0"/>
    <n v="4.305071926889525"/>
    <n v="0"/>
    <n v="-62.154698020160936"/>
    <m/>
    <n v="0"/>
    <n v="0"/>
    <n v="0"/>
    <n v="0"/>
    <n v="-8.2216502722212113"/>
    <n v="-1.1568695904846749"/>
    <n v="0"/>
    <n v="0"/>
    <m/>
    <m/>
    <m/>
    <n v="2186.9366620490782"/>
    <n v="0"/>
    <n v="0"/>
    <n v="-137.64420999999993"/>
    <n v="38.479759999999942"/>
    <n v="0"/>
    <n v="0"/>
    <n v="-98.49357055810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5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36.8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46"/>
    <s v="Regular"/>
    <s v="Convencional"/>
    <s v="B2"/>
    <s v="Rural"/>
    <s v="Agropecuária rural"/>
    <s v="IRRIG./AQUIC."/>
    <s v="Não se aplica"/>
    <s v="Não se aplica"/>
    <s v="CATIVO"/>
    <x v="2"/>
    <n v="0"/>
    <n v="0"/>
    <n v="2.355"/>
    <n v="2.355"/>
    <n v="2.355"/>
    <n v="2.355"/>
    <m/>
    <n v="522.37"/>
    <n v="144.41999999999999"/>
    <m/>
    <n v="1570.29045"/>
    <n v="1570.29045"/>
    <n v="1534.8477"/>
    <n v="0"/>
    <n v="144.59929714960444"/>
    <n v="0"/>
    <n v="0"/>
    <n v="0"/>
    <n v="240.124403899859"/>
    <n v="781.64149933610236"/>
    <n v="340.11339464979449"/>
    <n v="0"/>
    <n v="0"/>
    <n v="0"/>
    <n v="0"/>
    <n v="0"/>
    <n v="22.331889562753133"/>
    <m/>
    <n v="3.426183972943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052853741366405"/>
    <n v="0"/>
    <n v="0"/>
    <n v="0"/>
    <n v="0"/>
    <n v="0"/>
    <m/>
    <m/>
    <m/>
    <m/>
    <m/>
    <n v="184.16100000000006"/>
    <m/>
    <m/>
    <m/>
    <n v="378.16624839116088"/>
    <m/>
    <m/>
    <m/>
    <m/>
    <m/>
    <m/>
    <m/>
    <m/>
    <m/>
    <m/>
    <m/>
    <m/>
    <n v="1353.5544"/>
    <n v="-28.318949999999859"/>
    <m/>
    <m/>
    <m/>
    <m/>
    <n v="-49.195949999999968"/>
    <n v="13.753200000000009"/>
    <n v="30"/>
    <n v="-0.226029969128831"/>
    <n v="0"/>
    <n v="0"/>
    <n v="0"/>
    <n v="0"/>
    <n v="0"/>
    <n v="0"/>
    <n v="0"/>
    <n v="10.049530859677844"/>
    <n v="0"/>
    <n v="0"/>
    <n v="13.752711098090742"/>
    <n v="0"/>
    <n v="0"/>
    <n v="0"/>
    <n v="1.5386924249240934"/>
    <n v="0"/>
    <n v="-22.214951257774928"/>
    <m/>
    <n v="0"/>
    <n v="0"/>
    <n v="0"/>
    <n v="0"/>
    <n v="-2.9385318547702184"/>
    <n v="-0.41348123927628055"/>
    <n v="0"/>
    <n v="0"/>
    <m/>
    <m/>
    <m/>
    <n v="781.64149933610236"/>
    <n v="0"/>
    <n v="0"/>
    <n v="-49.195950000000039"/>
    <n v="13.753199999999993"/>
    <n v="0"/>
    <n v="0"/>
    <n v="-35.20296838129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7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.7170000000000001"/>
    <n v="0.68679999999999997"/>
    <n v="1.7170000000000001"/>
    <n v="0.68679999999999997"/>
    <m/>
    <n v="522.37"/>
    <n v="144.41999999999999"/>
    <m/>
    <n v="1144.87843"/>
    <n v="1144.87843"/>
    <n v="1119.0375800000002"/>
    <n v="0"/>
    <n v="105.42547482202583"/>
    <n v="0"/>
    <n v="0"/>
    <n v="0"/>
    <n v="175.07159299195666"/>
    <n v="569.88469399579105"/>
    <n v="247.97227117354444"/>
    <n v="0"/>
    <n v="0"/>
    <n v="0"/>
    <n v="0"/>
    <n v="0"/>
    <n v="16.281891456155893"/>
    <m/>
    <n v="2.4979863615896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743842833938906"/>
    <n v="0"/>
    <n v="0"/>
    <n v="0"/>
    <n v="0"/>
    <n v="0"/>
    <m/>
    <m/>
    <m/>
    <m/>
    <m/>
    <m/>
    <n v="725.13030800000013"/>
    <m/>
    <m/>
    <n v="275.71611400748333"/>
    <m/>
    <m/>
    <m/>
    <m/>
    <m/>
    <m/>
    <m/>
    <m/>
    <m/>
    <m/>
    <m/>
    <m/>
    <n v="395.74259999999998"/>
    <n v="-7.2810359999999719"/>
    <m/>
    <m/>
    <m/>
    <m/>
    <n v="-35.868129999999979"/>
    <n v="10.027280000000006"/>
    <n v="30"/>
    <n v="-0.16479552313990098"/>
    <n v="0"/>
    <n v="0"/>
    <n v="0"/>
    <n v="0"/>
    <n v="0"/>
    <n v="0"/>
    <n v="0"/>
    <n v="7.3269827966313699"/>
    <n v="0"/>
    <n v="0"/>
    <n v="10.026923547949849"/>
    <n v="0"/>
    <n v="0"/>
    <n v="0"/>
    <n v="1.1218407191484765"/>
    <n v="0"/>
    <n v="-16.196633252483892"/>
    <m/>
    <n v="0"/>
    <n v="0"/>
    <n v="0"/>
    <n v="0"/>
    <n v="-2.1424455178940391"/>
    <n v="-0.3014638164914536"/>
    <n v="0"/>
    <n v="0"/>
    <m/>
    <m/>
    <m/>
    <n v="569.88469399579105"/>
    <n v="0"/>
    <n v="0"/>
    <n v="-35.868129999999951"/>
    <n v="10.027280000000019"/>
    <n v="0"/>
    <n v="0"/>
    <n v="-25.66602832725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8"/>
    <s v="Regular"/>
    <s v="Convencional"/>
    <s v="B1"/>
    <s v="Residencial"/>
    <s v="Residencial"/>
    <s v="Não se aplica"/>
    <s v="Não se aplica"/>
    <s v="Não se aplica"/>
    <s v="CATIVO"/>
    <x v="3"/>
    <n v="0"/>
    <n v="0"/>
    <n v="2454.1689999999999"/>
    <n v="2454.1689999999999"/>
    <n v="2454.1689999999999"/>
    <n v="2454.1689999999999"/>
    <m/>
    <n v="522.37"/>
    <n v="144.41999999999999"/>
    <m/>
    <n v="1636415.3475099998"/>
    <n v="1636415.3475099998"/>
    <n v="1599480.1040599998"/>
    <n v="0"/>
    <n v="150688.3704825255"/>
    <n v="0"/>
    <n v="0"/>
    <n v="0"/>
    <n v="250236.03744989939"/>
    <n v="814556.40627778473"/>
    <n v="354435.56247740617"/>
    <n v="0"/>
    <n v="0"/>
    <n v="0"/>
    <n v="0"/>
    <n v="0"/>
    <n v="23272.284958102882"/>
    <m/>
    <n v="3570.4605073012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655.258604499133"/>
    <n v="0"/>
    <n v="552.07000000000005"/>
    <n v="2564.64"/>
    <n v="369969.75"/>
    <n v="11985"/>
    <m/>
    <m/>
    <m/>
    <m/>
    <m/>
    <m/>
    <m/>
    <m/>
    <m/>
    <n v="394090.82108190528"/>
    <m/>
    <m/>
    <m/>
    <m/>
    <m/>
    <m/>
    <m/>
    <m/>
    <m/>
    <m/>
    <m/>
    <m/>
    <n v="1599480.7557999999"/>
    <n v="-36934.621709999861"/>
    <m/>
    <m/>
    <m/>
    <m/>
    <n v="-51267.590409999961"/>
    <n v="14332.346960000008"/>
    <m/>
    <n v="-235.54808632994536"/>
    <n v="0"/>
    <n v="0"/>
    <n v="0"/>
    <n v="0"/>
    <n v="0"/>
    <n v="0"/>
    <n v="0"/>
    <n v="10472.716390813031"/>
    <n v="0"/>
    <n v="0"/>
    <n v="14331.837470441707"/>
    <n v="0"/>
    <n v="0"/>
    <n v="0"/>
    <n v="1603.4867302690109"/>
    <n v="0"/>
    <n v="-23150.42238358481"/>
    <m/>
    <n v="0"/>
    <n v="0"/>
    <n v="0"/>
    <n v="0"/>
    <n v="-3062.2733687853797"/>
    <n v="-430.89292548340973"/>
    <n v="0"/>
    <n v="0"/>
    <m/>
    <m/>
    <m/>
    <n v="814556.40627778473"/>
    <n v="0"/>
    <n v="0"/>
    <n v="-51267.590409999946"/>
    <n v="14332.346959999995"/>
    <n v="0"/>
    <n v="0"/>
    <n v="-36685.364632418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4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5.4290000000000003"/>
    <n v="-5.4290000000000003"/>
    <n v="-5.4290000000000003"/>
    <n v="-5.4290000000000003"/>
    <m/>
    <n v="522.37"/>
    <n v="144.41999999999999"/>
    <m/>
    <n v="-3620.0029100000002"/>
    <n v="-3620.0029100000002"/>
    <n v="-3538.29646"/>
    <n v="0"/>
    <n v="-333.34589563702872"/>
    <n v="0"/>
    <n v="0"/>
    <n v="0"/>
    <n v="-553.56067463793408"/>
    <n v="-1801.9242887030573"/>
    <n v="-784.06608048990847"/>
    <n v="0"/>
    <n v="0"/>
    <n v="0"/>
    <n v="0"/>
    <n v="0"/>
    <n v="-51.481880439994377"/>
    <m/>
    <n v="-7.8984088276473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7.723542658971652"/>
    <n v="0"/>
    <n v="1.72"/>
    <n v="7.93"/>
    <n v="-1161.4100000000001"/>
    <n v="0"/>
    <m/>
    <m/>
    <m/>
    <m/>
    <m/>
    <m/>
    <m/>
    <m/>
    <m/>
    <n v="-871.78962314888008"/>
    <m/>
    <m/>
    <m/>
    <m/>
    <m/>
    <m/>
    <m/>
    <m/>
    <m/>
    <m/>
    <m/>
    <m/>
    <n v="-3538.9481999999998"/>
    <n v="81.024709999999686"/>
    <m/>
    <m/>
    <m/>
    <m/>
    <n v="113.41180999999993"/>
    <n v="-31.70536000000002"/>
    <m/>
    <n v="0.52106866343956426"/>
    <n v="0"/>
    <n v="0"/>
    <n v="0"/>
    <n v="0"/>
    <n v="0"/>
    <n v="0"/>
    <n v="0"/>
    <n v="-23.167262436174497"/>
    <n v="0"/>
    <n v="0"/>
    <n v="-31.704232930587978"/>
    <n v="0"/>
    <n v="0"/>
    <n v="0"/>
    <n v="-3.5471597345702293"/>
    <n v="0"/>
    <n v="51.212301646904564"/>
    <m/>
    <n v="0"/>
    <n v="0"/>
    <n v="0"/>
    <n v="0"/>
    <n v="6.7742205688099801"/>
    <n v="0.95320154905771748"/>
    <n v="0"/>
    <n v="0"/>
    <m/>
    <m/>
    <m/>
    <n v="-1801.9242887030573"/>
    <n v="0"/>
    <n v="0"/>
    <n v="113.41181000000006"/>
    <n v="-31.705360000000042"/>
    <n v="0"/>
    <n v="0"/>
    <n v="81.153679550757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6.2380000000000004"/>
    <n v="6.2380000000000004"/>
    <n v="6.2380000000000004"/>
    <n v="6.2380000000000004"/>
    <m/>
    <n v="522.37"/>
    <n v="144.41999999999999"/>
    <m/>
    <n v="4159.4360200000001"/>
    <n v="4159.4360200000001"/>
    <n v="4065.5541200000002"/>
    <n v="0"/>
    <n v="383.01928476400536"/>
    <n v="0"/>
    <n v="0"/>
    <n v="0"/>
    <n v="636.0492702876096"/>
    <n v="2070.4372283900666"/>
    <n v="900.90333580697165"/>
    <n v="0"/>
    <n v="0"/>
    <n v="0"/>
    <n v="0"/>
    <n v="0"/>
    <n v="59.153429763250131"/>
    <m/>
    <n v="9.075386676526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79562702277863"/>
    <n v="0"/>
    <n v="0.66"/>
    <n v="3.14"/>
    <n v="4038.05"/>
    <n v="65"/>
    <m/>
    <m/>
    <m/>
    <m/>
    <m/>
    <m/>
    <m/>
    <m/>
    <m/>
    <n v="1001.6989628297503"/>
    <m/>
    <m/>
    <m/>
    <m/>
    <m/>
    <m/>
    <m/>
    <m/>
    <m/>
    <m/>
    <m/>
    <m/>
    <n v="4066.8576000000003"/>
    <n v="-92.608420000000478"/>
    <m/>
    <m/>
    <m/>
    <m/>
    <n v="-130.31181999999993"/>
    <n v="36.429920000000024"/>
    <m/>
    <n v="-0.59871547661350633"/>
    <n v="0"/>
    <n v="0"/>
    <n v="0"/>
    <n v="0"/>
    <n v="0"/>
    <n v="0"/>
    <n v="0"/>
    <n v="26.619521657184919"/>
    <n v="0"/>
    <n v="0"/>
    <n v="36.428624980845029"/>
    <n v="0"/>
    <n v="0"/>
    <n v="0"/>
    <n v="4.0757381514549706"/>
    <n v="0"/>
    <n v="-58.843679807218734"/>
    <m/>
    <n v="0"/>
    <n v="0"/>
    <n v="0"/>
    <n v="0"/>
    <n v="-7.7836780085166097"/>
    <n v="-1.0952424503632425"/>
    <n v="0"/>
    <n v="0"/>
    <m/>
    <m/>
    <m/>
    <n v="2070.4372283900666"/>
    <n v="0"/>
    <n v="0"/>
    <n v="-130.3118199999999"/>
    <n v="36.429919999999925"/>
    <n v="0"/>
    <n v="0"/>
    <n v="-93.246758710190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1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6.2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5.587999999999999"/>
    <n v="15.587999999999999"/>
    <n v="15.587999999999999"/>
    <n v="15.587999999999999"/>
    <m/>
    <n v="451.48"/>
    <n v="144.41999999999999"/>
    <m/>
    <n v="9288.8891999999996"/>
    <n v="9288.8891999999996"/>
    <n v="9220.9255199999989"/>
    <n v="0"/>
    <n v="0"/>
    <n v="0"/>
    <n v="0"/>
    <n v="0"/>
    <n v="1589.4094301447992"/>
    <n v="5173.7697204463539"/>
    <n v="2251.2473867520157"/>
    <n v="0"/>
    <n v="0"/>
    <n v="0"/>
    <n v="0"/>
    <n v="0"/>
    <n v="0"/>
    <m/>
    <n v="22.678282704985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87595928680236"/>
    <n v="0"/>
    <n v="0.83"/>
    <n v="3.77"/>
    <n v="390.18"/>
    <n v="8"/>
    <m/>
    <m/>
    <m/>
    <m/>
    <m/>
    <m/>
    <m/>
    <n v="5993.5859999999993"/>
    <m/>
    <n v="2503.123346038818"/>
    <m/>
    <m/>
    <m/>
    <m/>
    <m/>
    <m/>
    <m/>
    <m/>
    <m/>
    <m/>
    <m/>
    <m/>
    <n v="3227.7535999999996"/>
    <n v="-23.465560000001005"/>
    <m/>
    <m/>
    <m/>
    <m/>
    <n v="-158.99760000000069"/>
    <n v="91.033920000000052"/>
    <m/>
    <n v="164.99751150725024"/>
    <n v="0"/>
    <n v="0"/>
    <n v="0"/>
    <n v="0"/>
    <n v="0"/>
    <n v="0"/>
    <n v="0"/>
    <n v="66.518932925969466"/>
    <n v="0"/>
    <n v="0"/>
    <n v="91.030683905324167"/>
    <n v="0"/>
    <n v="0"/>
    <n v="0"/>
    <n v="10.184771770580312"/>
    <n v="0"/>
    <n v="0"/>
    <m/>
    <n v="0"/>
    <n v="0"/>
    <n v="0"/>
    <n v="0"/>
    <n v="0"/>
    <n v="-2.7368770946236332"/>
    <n v="0"/>
    <n v="0"/>
    <m/>
    <m/>
    <m/>
    <n v="5173.7697204463539"/>
    <n v="0"/>
    <n v="0"/>
    <n v="-158.9976000000006"/>
    <n v="91.033919999999853"/>
    <n v="0"/>
    <n v="0"/>
    <n v="-233.0122595021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34.677"/>
    <n v="34.677"/>
    <n v="34.677"/>
    <n v="34.677"/>
    <m/>
    <n v="451.48"/>
    <n v="144.41999999999999"/>
    <m/>
    <n v="20664.024300000001"/>
    <n v="20664.024300000001"/>
    <n v="20512.832579999998"/>
    <n v="0"/>
    <n v="0"/>
    <n v="0"/>
    <n v="0"/>
    <n v="0"/>
    <n v="3535.793611055376"/>
    <n v="11509.546612517208"/>
    <n v="5008.1155780343624"/>
    <n v="0"/>
    <n v="0"/>
    <n v="0"/>
    <n v="0"/>
    <n v="0"/>
    <n v="0"/>
    <m/>
    <n v="50.450013430894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0.32221197000547"/>
    <n v="0"/>
    <n v="3.21"/>
    <n v="14.85"/>
    <n v="1490.28"/>
    <n v="50"/>
    <m/>
    <m/>
    <m/>
    <m/>
    <m/>
    <m/>
    <m/>
    <n v="8204.92497"/>
    <m/>
    <n v="5568.4377900043683"/>
    <m/>
    <m/>
    <m/>
    <m/>
    <m/>
    <m/>
    <m/>
    <m/>
    <m/>
    <m/>
    <m/>
    <m/>
    <n v="12308.972399999999"/>
    <n v="-89.472180000002481"/>
    <m/>
    <m/>
    <m/>
    <m/>
    <n v="-353.70540000000159"/>
    <n v="202.51368000000011"/>
    <m/>
    <n v="367.0527781971341"/>
    <n v="0"/>
    <n v="0"/>
    <n v="0"/>
    <n v="0"/>
    <n v="0"/>
    <n v="0"/>
    <n v="0"/>
    <n v="147.97774166498903"/>
    <n v="0"/>
    <n v="0"/>
    <n v="202.5064809972373"/>
    <n v="0"/>
    <n v="0"/>
    <n v="0"/>
    <n v="22.657000942289869"/>
    <n v="0"/>
    <n v="0"/>
    <m/>
    <n v="0"/>
    <n v="0"/>
    <n v="0"/>
    <n v="0"/>
    <n v="0"/>
    <n v="-6.0884454073815562"/>
    <n v="0"/>
    <n v="0"/>
    <m/>
    <m/>
    <m/>
    <n v="11509.546612517208"/>
    <n v="0"/>
    <n v="0"/>
    <n v="-353.70540000000256"/>
    <n v="202.51368000000002"/>
    <n v="0"/>
    <n v="0"/>
    <n v="-518.35810384630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4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.1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55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40.651000000000003"/>
    <n v="40.651000000000003"/>
    <n v="40.651000000000003"/>
    <n v="40.651000000000003"/>
    <m/>
    <n v="451.48"/>
    <n v="144.41999999999999"/>
    <m/>
    <n v="24223.930900000003"/>
    <n v="24223.930900000003"/>
    <n v="24046.692540000004"/>
    <n v="0"/>
    <n v="0"/>
    <n v="0"/>
    <n v="0"/>
    <n v="0"/>
    <n v="4144.9244768293711"/>
    <n v="13492.360335249215"/>
    <n v="5870.8915524028862"/>
    <n v="0"/>
    <n v="0"/>
    <n v="0"/>
    <n v="0"/>
    <n v="0"/>
    <n v="0"/>
    <m/>
    <n v="59.141318337205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85204137591757"/>
    <n v="0"/>
    <n v="4.91"/>
    <n v="23.09"/>
    <n v="4506.99"/>
    <n v="254"/>
    <m/>
    <m/>
    <m/>
    <m/>
    <m/>
    <m/>
    <m/>
    <n v="2404.5066499999994"/>
    <m/>
    <n v="6527.7435937788041"/>
    <m/>
    <m/>
    <m/>
    <m/>
    <m/>
    <m/>
    <m/>
    <m/>
    <m/>
    <m/>
    <m/>
    <m/>
    <n v="21641.6535"/>
    <n v="-160.32081999999355"/>
    <m/>
    <m/>
    <m/>
    <m/>
    <n v="-414.64020000000187"/>
    <n v="237.40184000000016"/>
    <m/>
    <n v="430.28700540680256"/>
    <n v="0"/>
    <n v="0"/>
    <n v="0"/>
    <n v="0"/>
    <n v="0"/>
    <n v="0"/>
    <n v="0"/>
    <n v="173.47069170987925"/>
    <n v="0"/>
    <n v="0"/>
    <n v="237.39340078492023"/>
    <n v="0"/>
    <n v="0"/>
    <n v="0"/>
    <n v="26.560248732734294"/>
    <n v="0"/>
    <n v="0"/>
    <m/>
    <n v="0"/>
    <n v="0"/>
    <n v="0"/>
    <n v="0"/>
    <n v="0"/>
    <n v="-7.1373358207303923"/>
    <n v="0"/>
    <n v="0"/>
    <m/>
    <m/>
    <m/>
    <n v="13492.360335249215"/>
    <n v="0"/>
    <n v="0"/>
    <n v="-414.64020000000164"/>
    <n v="237.40183999999954"/>
    <n v="0"/>
    <n v="0"/>
    <n v="-607.6585425341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6"/>
    <s v="Refaturamento - 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-0.12"/>
    <n v="-0.12"/>
    <n v="-0.12"/>
    <n v="-0.12"/>
    <m/>
    <n v="451.48"/>
    <n v="144.41999999999999"/>
    <m/>
    <n v="-71.507999999999996"/>
    <n v="-71.507999999999996"/>
    <n v="-70.984799999999993"/>
    <n v="0"/>
    <n v="0"/>
    <n v="0"/>
    <n v="0"/>
    <n v="0"/>
    <n v="-12.235638415279439"/>
    <n v="-39.828866208209035"/>
    <n v="-17.330618835658317"/>
    <n v="0"/>
    <n v="0"/>
    <n v="0"/>
    <n v="0"/>
    <n v="0"/>
    <n v="0"/>
    <m/>
    <n v="-0.17458262282513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9389989167575239"/>
    <n v="0"/>
    <n v="0"/>
    <n v="0"/>
    <n v="-14.26"/>
    <n v="0"/>
    <m/>
    <m/>
    <m/>
    <m/>
    <m/>
    <m/>
    <m/>
    <n v="-7.0979999999999972"/>
    <m/>
    <n v="-19.26961775241584"/>
    <m/>
    <m/>
    <m/>
    <m/>
    <m/>
    <m/>
    <m/>
    <m/>
    <m/>
    <m/>
    <m/>
    <m/>
    <n v="-63.886799999999994"/>
    <n v="0.441599999999994"/>
    <m/>
    <m/>
    <m/>
    <m/>
    <n v="1.2240000000000053"/>
    <n v="-0.70080000000000042"/>
    <m/>
    <n v="-1.2701886952059276"/>
    <n v="0"/>
    <n v="0"/>
    <n v="0"/>
    <n v="0"/>
    <n v="0"/>
    <n v="0"/>
    <n v="0"/>
    <n v="-0.51207800558868044"/>
    <n v="0"/>
    <n v="0"/>
    <n v="-0.70077508780080322"/>
    <n v="0"/>
    <n v="0"/>
    <n v="0"/>
    <n v="-7.8404709550272234E-2"/>
    <n v="0"/>
    <n v="0"/>
    <m/>
    <n v="0"/>
    <n v="0"/>
    <n v="0"/>
    <n v="0"/>
    <n v="0"/>
    <n v="2.10691077338232E-2"/>
    <n v="0"/>
    <n v="0"/>
    <m/>
    <m/>
    <m/>
    <n v="-39.828866208209035"/>
    <n v="0"/>
    <n v="0"/>
    <n v="1.2240000000000038"/>
    <n v="-0.70080000000000098"/>
    <n v="0"/>
    <n v="0"/>
    <n v="1.7937818283460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7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7.779"/>
    <n v="17.779"/>
    <n v="17.779"/>
    <n v="17.779"/>
    <m/>
    <n v="451.48"/>
    <n v="144.41999999999999"/>
    <m/>
    <n v="10594.506100000001"/>
    <n v="10594.506100000001"/>
    <n v="10516.989659999999"/>
    <n v="0"/>
    <n v="0"/>
    <n v="0"/>
    <n v="0"/>
    <n v="0"/>
    <n v="1812.8117948771098"/>
    <n v="5900.978435964571"/>
    <n v="2567.6756023264102"/>
    <n v="0"/>
    <n v="0"/>
    <n v="0"/>
    <n v="0"/>
    <n v="0"/>
    <n v="0"/>
    <m/>
    <n v="25.865870426734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2788478419335"/>
    <n v="0"/>
    <n v="1.64"/>
    <n v="7.79"/>
    <n v="3148.24"/>
    <n v="207"/>
    <m/>
    <m/>
    <m/>
    <m/>
    <m/>
    <m/>
    <m/>
    <m/>
    <m/>
    <n v="2854.9544501683436"/>
    <m/>
    <m/>
    <m/>
    <m/>
    <m/>
    <m/>
    <m/>
    <m/>
    <m/>
    <m/>
    <m/>
    <m/>
    <n v="10517.581200000001"/>
    <n v="-76.954900000000634"/>
    <m/>
    <m/>
    <m/>
    <m/>
    <n v="-181.34580000000082"/>
    <n v="103.82936000000007"/>
    <m/>
    <n v="188.18904010055303"/>
    <n v="0"/>
    <n v="0"/>
    <n v="0"/>
    <n v="0"/>
    <n v="0"/>
    <n v="0"/>
    <n v="0"/>
    <n v="75.868623844675994"/>
    <n v="0"/>
    <n v="0"/>
    <n v="103.82566905008753"/>
    <n v="0"/>
    <n v="0"/>
    <n v="0"/>
    <n v="11.616311092452349"/>
    <n v="0"/>
    <n v="0"/>
    <m/>
    <n v="0"/>
    <n v="0"/>
    <n v="0"/>
    <n v="0"/>
    <n v="0"/>
    <n v="-3.1215638866636866"/>
    <n v="0"/>
    <n v="0"/>
    <m/>
    <m/>
    <m/>
    <n v="5900.978435964571"/>
    <n v="0"/>
    <n v="0"/>
    <n v="-181.34580000000096"/>
    <n v="103.82936000000018"/>
    <n v="0"/>
    <n v="0"/>
    <n v="-265.76372605137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8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-0.245"/>
    <n v="-0.245"/>
    <n v="-0.245"/>
    <n v="-0.245"/>
    <m/>
    <n v="451.48"/>
    <n v="144.41999999999999"/>
    <m/>
    <n v="-145.99549999999999"/>
    <n v="-145.99549999999999"/>
    <n v="-144.9273"/>
    <n v="0"/>
    <n v="0"/>
    <n v="0"/>
    <n v="0"/>
    <n v="0"/>
    <n v="-24.981095097862191"/>
    <n v="-81.317268508426793"/>
    <n v="-35.383346789469066"/>
    <n v="0"/>
    <n v="0"/>
    <n v="0"/>
    <n v="0"/>
    <n v="0"/>
    <n v="0"/>
    <m/>
    <n v="-0.356439521601325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9587894550466114"/>
    <n v="0"/>
    <n v="0"/>
    <n v="0"/>
    <n v="-45.81"/>
    <n v="0"/>
    <m/>
    <m/>
    <m/>
    <m/>
    <m/>
    <m/>
    <m/>
    <m/>
    <m/>
    <n v="-39.342136244515679"/>
    <m/>
    <m/>
    <m/>
    <m/>
    <m/>
    <m/>
    <m/>
    <m/>
    <m/>
    <m/>
    <m/>
    <m/>
    <n v="-147.88499999999999"/>
    <n v="-1.9194999999999993"/>
    <m/>
    <m/>
    <m/>
    <m/>
    <n v="2.4990000000000112"/>
    <n v="-1.4308000000000007"/>
    <m/>
    <n v="-2.5933019193787885"/>
    <n v="0"/>
    <n v="0"/>
    <n v="0"/>
    <n v="0"/>
    <n v="0"/>
    <n v="0"/>
    <n v="0"/>
    <n v="-1.0454925947435534"/>
    <n v="0"/>
    <n v="0"/>
    <n v="-1.4307491375933097"/>
    <n v="0"/>
    <n v="0"/>
    <n v="0"/>
    <n v="-0.16007628199847179"/>
    <n v="0"/>
    <n v="0"/>
    <m/>
    <n v="0"/>
    <n v="0"/>
    <n v="0"/>
    <n v="0"/>
    <n v="0"/>
    <n v="4.3016094956555673E-2"/>
    <n v="0"/>
    <n v="0"/>
    <m/>
    <m/>
    <m/>
    <n v="-81.317268508426793"/>
    <n v="0"/>
    <n v="0"/>
    <n v="2.4990000000000094"/>
    <n v="-1.4307999999999979"/>
    <n v="0"/>
    <n v="0"/>
    <n v="3.6623045662065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59"/>
    <s v="Regular"/>
    <s v="Convencional"/>
    <s v="B3"/>
    <s v="Industrial"/>
    <s v="Não se aplica"/>
    <s v="Não se aplica"/>
    <s v="Não se aplica"/>
    <s v="Não se aplica"/>
    <s v="CATIVO"/>
    <x v="3"/>
    <n v="0"/>
    <n v="0"/>
    <n v="357.19900000000001"/>
    <n v="357.19900000000001"/>
    <n v="357.19900000000001"/>
    <n v="357.19900000000001"/>
    <m/>
    <n v="522.37"/>
    <n v="144.41999999999999"/>
    <m/>
    <n v="238176.72121000002"/>
    <n v="238176.72121000002"/>
    <n v="232800.87626000002"/>
    <n v="0"/>
    <n v="21932.367024433785"/>
    <n v="0"/>
    <n v="0"/>
    <n v="0"/>
    <n v="36421.315052495011"/>
    <n v="118556.92650588385"/>
    <n v="51587.330978985963"/>
    <n v="0"/>
    <n v="0"/>
    <n v="0"/>
    <n v="0"/>
    <n v="0"/>
    <n v="3387.2308364865635"/>
    <m/>
    <n v="519.6728190876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71.7372838905903"/>
    <n v="0"/>
    <n v="27.36"/>
    <n v="128.37"/>
    <n v="86230.48"/>
    <n v="559"/>
    <m/>
    <m/>
    <m/>
    <m/>
    <m/>
    <m/>
    <m/>
    <m/>
    <m/>
    <n v="57359.06826287655"/>
    <m/>
    <m/>
    <m/>
    <m/>
    <m/>
    <m/>
    <m/>
    <m/>
    <m/>
    <m/>
    <m/>
    <m/>
    <n v="232801.52799999999"/>
    <n v="-5375.2232100000547"/>
    <m/>
    <m/>
    <m/>
    <m/>
    <n v="-7461.8871099999951"/>
    <n v="2086.0421600000013"/>
    <m/>
    <n v="-34.283515474657179"/>
    <n v="0"/>
    <n v="0"/>
    <n v="0"/>
    <n v="0"/>
    <n v="0"/>
    <n v="0"/>
    <n v="0"/>
    <n v="1524.2812626522573"/>
    <n v="0"/>
    <n v="0"/>
    <n v="2085.9680048946611"/>
    <n v="0"/>
    <n v="0"/>
    <n v="0"/>
    <n v="233.38403205539635"/>
    <n v="0"/>
    <n v="-3369.4940018369234"/>
    <m/>
    <n v="0"/>
    <n v="0"/>
    <n v="0"/>
    <n v="0"/>
    <n v="-445.70727812826635"/>
    <n v="-62.715535111782572"/>
    <n v="0"/>
    <n v="0"/>
    <m/>
    <m/>
    <m/>
    <n v="118556.92650588385"/>
    <n v="0"/>
    <n v="0"/>
    <n v="-7461.8871100000106"/>
    <n v="2086.0421600000045"/>
    <n v="0"/>
    <n v="0"/>
    <n v="-5339.4756275282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0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4.8369999999999997"/>
    <n v="4.8369999999999997"/>
    <n v="4.8369999999999997"/>
    <n v="4.8369999999999997"/>
    <m/>
    <n v="522.37"/>
    <n v="144.41999999999999"/>
    <m/>
    <n v="3225.2632299999996"/>
    <n v="3225.2632299999996"/>
    <n v="3152.4663799999998"/>
    <n v="0"/>
    <n v="296.99651817946358"/>
    <n v="0"/>
    <n v="0"/>
    <n v="0"/>
    <n v="493.19819178922205"/>
    <n v="1605.435215409226"/>
    <n v="698.56836090066065"/>
    <n v="0"/>
    <n v="0"/>
    <n v="0"/>
    <n v="0"/>
    <n v="0"/>
    <n v="45.868089093433923"/>
    <m/>
    <n v="7.03713455504330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157814669634533"/>
    <n v="0"/>
    <n v="0"/>
    <n v="0"/>
    <n v="4132.5200000000004"/>
    <n v="8"/>
    <m/>
    <m/>
    <m/>
    <m/>
    <m/>
    <m/>
    <m/>
    <m/>
    <m/>
    <n v="776.72617557029514"/>
    <m/>
    <m/>
    <m/>
    <m/>
    <m/>
    <m/>
    <m/>
    <m/>
    <m/>
    <m/>
    <m/>
    <m/>
    <n v="3154.4215999999997"/>
    <n v="-70.87163000000055"/>
    <m/>
    <m/>
    <m/>
    <m/>
    <n v="-101.04492999999992"/>
    <n v="28.248080000000016"/>
    <m/>
    <n v="-0.46424924020152503"/>
    <n v="0"/>
    <n v="0"/>
    <n v="0"/>
    <n v="0"/>
    <n v="0"/>
    <n v="0"/>
    <n v="0"/>
    <n v="20.641010941937111"/>
    <n v="0"/>
    <n v="0"/>
    <n v="28.247075830770768"/>
    <n v="0"/>
    <n v="0"/>
    <n v="0"/>
    <n v="3.160363167455543"/>
    <n v="0"/>
    <n v="-45.627906256415059"/>
    <m/>
    <n v="0"/>
    <n v="0"/>
    <n v="0"/>
    <n v="0"/>
    <n v="-6.035532306379416"/>
    <n v="-0.8492606175708568"/>
    <n v="0"/>
    <n v="0"/>
    <m/>
    <m/>
    <m/>
    <n v="1605.435215409226"/>
    <n v="0"/>
    <n v="0"/>
    <n v="-101.04493000000002"/>
    <n v="28.248080000000073"/>
    <n v="0"/>
    <n v="0"/>
    <n v="-72.30435586425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1"/>
    <s v="Regular"/>
    <s v="Azul"/>
    <s v="A4"/>
    <s v="Industrial"/>
    <s v="Não se aplica"/>
    <s v="Não se aplica"/>
    <s v="Não se aplica"/>
    <s v="Ponta"/>
    <s v="CATIVO"/>
    <x v="3"/>
    <n v="1335"/>
    <n v="1335"/>
    <n v="57.280999999999999"/>
    <n v="57.280999999999999"/>
    <n v="57.280999999999999"/>
    <n v="57.280999999999999"/>
    <n v="111"/>
    <n v="69.64"/>
    <n v="144.41999999999999"/>
    <n v="148185"/>
    <n v="12261.570859999998"/>
    <n v="160446.57086000001"/>
    <n v="157193.51983999999"/>
    <n v="0"/>
    <n v="3059.885068290042"/>
    <n v="0"/>
    <n v="0"/>
    <n v="0"/>
    <n v="41712.489813400214"/>
    <n v="106467.68557061993"/>
    <n v="8272.6264793778682"/>
    <n v="0"/>
    <n v="0"/>
    <n v="0"/>
    <n v="0"/>
    <n v="0"/>
    <n v="543.18172655798821"/>
    <m/>
    <n v="28.507906138827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35338380706213"/>
    <n v="0"/>
    <n v="0"/>
    <n v="0"/>
    <n v="0"/>
    <n v="0"/>
    <m/>
    <m/>
    <m/>
    <m/>
    <m/>
    <m/>
    <m/>
    <m/>
    <m/>
    <n v="8629.9798631849299"/>
    <m/>
    <m/>
    <m/>
    <m/>
    <m/>
    <m/>
    <m/>
    <m/>
    <m/>
    <m/>
    <m/>
    <m/>
    <n v="157193.30920000002"/>
    <n v="-3253.2916600000171"/>
    <m/>
    <m/>
    <m/>
    <m/>
    <n v="-3587.5720600000082"/>
    <n v="334.5210400000002"/>
    <m/>
    <n v="1549.6747526511317"/>
    <n v="0"/>
    <n v="0"/>
    <n v="0"/>
    <n v="0"/>
    <n v="0"/>
    <n v="0"/>
    <n v="0"/>
    <n v="1745.7240780430438"/>
    <n v="0"/>
    <n v="0"/>
    <n v="334.50914836931406"/>
    <n v="0"/>
    <n v="0"/>
    <n v="0"/>
    <n v="14.449821514625512"/>
    <n v="0"/>
    <n v="-470.09355499237472"/>
    <m/>
    <n v="0"/>
    <n v="0"/>
    <n v="0"/>
    <n v="0"/>
    <n v="-71.474328311292084"/>
    <n v="-3.4404119721943154"/>
    <n v="0"/>
    <n v="0"/>
    <m/>
    <m/>
    <n v="106467.68557061993"/>
    <n v="0"/>
    <n v="0"/>
    <n v="0"/>
    <n v="-3587.5720600000059"/>
    <n v="334.52104000000145"/>
    <n v="0"/>
    <n v="0"/>
    <n v="-4795.0096968436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2"/>
    <s v="Regular"/>
    <s v="Azul"/>
    <s v="A4"/>
    <s v="Industrial"/>
    <s v="Não se aplica"/>
    <s v="Não se aplica"/>
    <s v="Não se aplica"/>
    <s v="Fora ponta"/>
    <s v="CATIVO"/>
    <x v="3"/>
    <n v="3685"/>
    <n v="3685"/>
    <n v="1325.4169999999999"/>
    <n v="1325.4169999999999"/>
    <n v="1325.4169999999999"/>
    <n v="1325.4169999999999"/>
    <n v="34.950000000000003"/>
    <n v="69.64"/>
    <n v="144.41999999999999"/>
    <n v="128790.75000000001"/>
    <n v="283718.76301999995"/>
    <n v="412509.51301999995"/>
    <n v="406244.63687999995"/>
    <n v="0"/>
    <n v="70802.250092662187"/>
    <n v="0"/>
    <n v="0"/>
    <n v="0"/>
    <n v="46688.137499645345"/>
    <n v="82119.517452706306"/>
    <n v="191419.14021084784"/>
    <n v="0"/>
    <n v="0"/>
    <n v="0"/>
    <n v="0"/>
    <n v="0"/>
    <n v="12568.605549297481"/>
    <m/>
    <n v="659.640429301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68.7496710149062"/>
    <n v="0"/>
    <n v="0"/>
    <n v="0"/>
    <n v="0"/>
    <n v="0"/>
    <m/>
    <m/>
    <m/>
    <m/>
    <m/>
    <m/>
    <m/>
    <m/>
    <m/>
    <n v="199687.88988186273"/>
    <m/>
    <m/>
    <m/>
    <m/>
    <m/>
    <m/>
    <m/>
    <m/>
    <m/>
    <m/>
    <m/>
    <m/>
    <n v="406245.26880000002"/>
    <n v="-6264.274219999963"/>
    <m/>
    <m/>
    <m/>
    <m/>
    <n v="-14005.31142000002"/>
    <n v="7740.4352800000042"/>
    <m/>
    <n v="-2582.396098711004"/>
    <n v="0"/>
    <n v="0"/>
    <n v="0"/>
    <n v="0"/>
    <n v="0"/>
    <n v="0"/>
    <n v="0"/>
    <n v="1953.9616588872523"/>
    <n v="0"/>
    <n v="0"/>
    <n v="7740.1601212306414"/>
    <n v="0"/>
    <n v="0"/>
    <n v="0"/>
    <n v="334.35238704719632"/>
    <n v="0"/>
    <n v="-10877.428630389288"/>
    <m/>
    <n v="0"/>
    <n v="0"/>
    <n v="0"/>
    <n v="0"/>
    <n v="-1653.8344269019017"/>
    <n v="-79.607208584868886"/>
    <n v="0"/>
    <n v="0"/>
    <m/>
    <m/>
    <n v="82119.517452706306"/>
    <n v="0"/>
    <n v="0"/>
    <n v="0"/>
    <n v="-14005.311420000013"/>
    <n v="7740.4352800000052"/>
    <n v="0"/>
    <n v="0"/>
    <n v="-3698.4356368358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3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0472.0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64"/>
    <s v="Regular"/>
    <s v="Verde"/>
    <s v="A4"/>
    <s v="Industrial"/>
    <s v="Não se aplica"/>
    <s v="Não se aplica"/>
    <s v="Não se aplica"/>
    <s v="Ponta"/>
    <s v="CATIVO"/>
    <x v="3"/>
    <n v="0"/>
    <n v="0"/>
    <n v="83.748999999999995"/>
    <n v="83.748999999999995"/>
    <n v="83.748999999999995"/>
    <n v="83.748999999999995"/>
    <m/>
    <n v="2740.31"/>
    <n v="144.41999999999999"/>
    <m/>
    <n v="241593.25276999996"/>
    <n v="241593.25276999996"/>
    <n v="236709.84857999996"/>
    <n v="0"/>
    <n v="4473.7751537896111"/>
    <n v="0"/>
    <n v="0"/>
    <n v="0"/>
    <n v="63034.757946652811"/>
    <n v="160631.21564456465"/>
    <n v="12095.18330722957"/>
    <n v="0"/>
    <n v="0"/>
    <n v="0"/>
    <n v="0"/>
    <n v="0"/>
    <n v="794.17130318089687"/>
    <m/>
    <n v="41.68063810374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47671200673244"/>
    <n v="0"/>
    <n v="0"/>
    <n v="0"/>
    <n v="0"/>
    <n v="0"/>
    <m/>
    <m/>
    <m/>
    <m/>
    <m/>
    <m/>
    <m/>
    <m/>
    <m/>
    <n v="12617.660019236302"/>
    <m/>
    <m/>
    <m/>
    <m/>
    <m/>
    <m/>
    <m/>
    <m/>
    <m/>
    <m/>
    <m/>
    <m/>
    <n v="236712.67499999999"/>
    <n v="-4880.6077700000023"/>
    <m/>
    <m/>
    <m/>
    <m/>
    <n v="-5372.4983500000071"/>
    <n v="489.09416000000027"/>
    <m/>
    <n v="2351.4514056809276"/>
    <n v="0"/>
    <n v="0"/>
    <n v="0"/>
    <n v="0"/>
    <n v="0"/>
    <n v="0"/>
    <n v="0"/>
    <n v="2638.0898189811269"/>
    <n v="0"/>
    <n v="0"/>
    <n v="489.07677356857857"/>
    <n v="0"/>
    <n v="0"/>
    <n v="0"/>
    <n v="21.126693005156653"/>
    <n v="0"/>
    <n v="-687.31106539788743"/>
    <m/>
    <n v="0"/>
    <n v="0"/>
    <n v="0"/>
    <n v="0"/>
    <n v="-104.50068123360984"/>
    <n v="-5.0301332424242204"/>
    <n v="0"/>
    <n v="0"/>
    <m/>
    <m/>
    <m/>
    <n v="160631.21564456465"/>
    <n v="0"/>
    <n v="0"/>
    <n v="-5372.4983500000089"/>
    <n v="489.09416000000056"/>
    <n v="0"/>
    <n v="0"/>
    <n v="-7234.3850859855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5"/>
    <s v="Regular"/>
    <s v="Verde"/>
    <s v="A4"/>
    <s v="Industrial"/>
    <s v="Não se aplica"/>
    <s v="Não se aplica"/>
    <s v="Não se aplica"/>
    <s v="Fora ponta"/>
    <s v="CATIVO"/>
    <x v="3"/>
    <n v="0"/>
    <n v="0"/>
    <n v="5565.7330000000002"/>
    <n v="5565.7330000000002"/>
    <n v="5565.7330000000002"/>
    <n v="5565.7330000000002"/>
    <m/>
    <n v="69.64"/>
    <n v="144.41999999999999"/>
    <m/>
    <n v="1191400.8059799999"/>
    <n v="1191400.8059799999"/>
    <n v="1172365.9991200001"/>
    <n v="0"/>
    <n v="297315.04863373796"/>
    <n v="0"/>
    <n v="0"/>
    <n v="0"/>
    <n v="0"/>
    <n v="0"/>
    <n v="803813.30970037566"/>
    <n v="0"/>
    <n v="0"/>
    <n v="0"/>
    <n v="0"/>
    <n v="0"/>
    <n v="52778.486068692437"/>
    <m/>
    <n v="2769.9829604541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22.395225583197"/>
    <n v="0"/>
    <n v="0"/>
    <n v="0"/>
    <n v="0"/>
    <n v="0"/>
    <m/>
    <m/>
    <m/>
    <m/>
    <m/>
    <m/>
    <m/>
    <m/>
    <m/>
    <n v="838535.70492595888"/>
    <m/>
    <m/>
    <m/>
    <m/>
    <m/>
    <m/>
    <m/>
    <m/>
    <m/>
    <m/>
    <m/>
    <m/>
    <n v="1172365.3671999997"/>
    <n v="-19035.468780000228"/>
    <m/>
    <m/>
    <m/>
    <m/>
    <n v="-51538.687579999991"/>
    <n v="32503.880720000019"/>
    <m/>
    <n v="-19049.21701718797"/>
    <n v="0"/>
    <n v="0"/>
    <n v="0"/>
    <n v="0"/>
    <n v="0"/>
    <n v="0"/>
    <n v="0"/>
    <n v="0"/>
    <n v="0"/>
    <n v="0"/>
    <n v="32502.725264590234"/>
    <n v="0"/>
    <n v="0"/>
    <n v="0"/>
    <n v="1404.0231219437774"/>
    <n v="0"/>
    <n v="-45676.842445285118"/>
    <m/>
    <n v="0"/>
    <n v="0"/>
    <n v="0"/>
    <n v="0"/>
    <n v="-6944.8338495311327"/>
    <n v="-334.28910890586712"/>
    <n v="0"/>
    <n v="0"/>
    <m/>
    <m/>
    <m/>
    <n v="0"/>
    <n v="0"/>
    <n v="0"/>
    <n v="-51538.687579999969"/>
    <n v="32503.880720000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6"/>
    <s v="Regular"/>
    <s v="Verde"/>
    <s v="A4"/>
    <s v="Industrial"/>
    <s v="Não se aplica"/>
    <s v="Não se aplica"/>
    <s v="Não se aplica"/>
    <s v="Não se aplica"/>
    <s v="CATIVO"/>
    <x v="3"/>
    <n v="21322"/>
    <n v="21322"/>
    <n v="0"/>
    <n v="0"/>
    <n v="0"/>
    <n v="0"/>
    <n v="34.950000000000003"/>
    <m/>
    <m/>
    <n v="745203.9"/>
    <m/>
    <n v="745203.9"/>
    <n v="735182.55999999994"/>
    <n v="0"/>
    <n v="0"/>
    <n v="0"/>
    <n v="0"/>
    <n v="0"/>
    <n v="270145.03874285973"/>
    <n v="475156.676018074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5.4"/>
    <n v="763.44"/>
    <n v="919604.71"/>
    <n v="69"/>
    <m/>
    <m/>
    <m/>
    <m/>
    <m/>
    <m/>
    <m/>
    <m/>
    <m/>
    <n v="0"/>
    <m/>
    <m/>
    <m/>
    <m/>
    <m/>
    <m/>
    <m/>
    <m/>
    <m/>
    <m/>
    <m/>
    <m/>
    <n v="735182.55999999994"/>
    <n v="-10021.370000000112"/>
    <m/>
    <m/>
    <m/>
    <m/>
    <n v="-10021.340000000127"/>
    <n v="0"/>
    <m/>
    <n v="11305.935004286002"/>
    <n v="0"/>
    <n v="0"/>
    <n v="0"/>
    <n v="0"/>
    <m/>
    <m/>
    <m/>
    <n v="11305.9350042860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5156.67601807433"/>
    <m/>
    <n v="0"/>
    <n v="0"/>
    <n v="-10021.340000000084"/>
    <m/>
    <n v="0"/>
    <m/>
    <n v="-21399.740745892574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67"/>
    <s v="Sistema de Compensação"/>
    <s v="Verde"/>
    <s v="A4"/>
    <s v="Industrial"/>
    <s v="Não se aplica"/>
    <s v="Não se aplica"/>
    <s v="Não se aplica"/>
    <s v="Não se aplica"/>
    <s v="CATIVO"/>
    <x v="3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97.96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m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68"/>
    <s v="Regular"/>
    <s v="Convencional"/>
    <s v="B3"/>
    <s v="Comercial"/>
    <s v="Não se aplica"/>
    <s v="Não se aplica"/>
    <s v="Não se aplica"/>
    <s v="Não se aplica"/>
    <s v="CATIVO"/>
    <x v="3"/>
    <n v="0"/>
    <n v="0"/>
    <n v="792.92499999999995"/>
    <n v="792.92499999999995"/>
    <n v="792.92499999999995"/>
    <n v="792.92499999999995"/>
    <m/>
    <n v="522.37"/>
    <n v="144.41999999999999"/>
    <m/>
    <n v="528714.46074999997"/>
    <n v="528714.46074999997"/>
    <n v="516780.93949999998"/>
    <n v="0"/>
    <n v="48686.368446857792"/>
    <n v="0"/>
    <n v="0"/>
    <n v="0"/>
    <n v="80849.529920295419"/>
    <n v="263177.53115120128"/>
    <n v="114515.6745022031"/>
    <n v="0"/>
    <n v="0"/>
    <n v="0"/>
    <n v="0"/>
    <n v="0"/>
    <n v="7519.1140261341943"/>
    <m/>
    <n v="1153.5910516968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12.339300582997"/>
    <n v="0"/>
    <n v="255.13"/>
    <n v="1179.8399999999999"/>
    <n v="190683.67"/>
    <n v="1198"/>
    <m/>
    <m/>
    <m/>
    <m/>
    <m/>
    <m/>
    <m/>
    <m/>
    <m/>
    <n v="127328.0138027861"/>
    <m/>
    <m/>
    <m/>
    <m/>
    <m/>
    <m/>
    <m/>
    <m/>
    <m/>
    <m/>
    <m/>
    <m/>
    <n v="516784.19819999998"/>
    <n v="-11930.292550000013"/>
    <m/>
    <m/>
    <m/>
    <m/>
    <n v="-16564.203249999988"/>
    <n v="4630.6820000000025"/>
    <m/>
    <n v="-76.103954680031165"/>
    <n v="0"/>
    <n v="0"/>
    <n v="0"/>
    <n v="0"/>
    <n v="0"/>
    <n v="0"/>
    <n v="0"/>
    <n v="3383.6621048450324"/>
    <n v="0"/>
    <n v="0"/>
    <n v="4630.5173874537577"/>
    <n v="0"/>
    <n v="0"/>
    <n v="0"/>
    <n v="518.07545266791203"/>
    <n v="0"/>
    <n v="-7479.7410726416929"/>
    <m/>
    <n v="0"/>
    <n v="0"/>
    <n v="0"/>
    <n v="0"/>
    <n v="-989.39930825633746"/>
    <n v="-139.21851874868128"/>
    <n v="0"/>
    <n v="0"/>
    <m/>
    <m/>
    <m/>
    <n v="263177.53115120128"/>
    <n v="0"/>
    <n v="0"/>
    <n v="-16564.20325000002"/>
    <n v="4630.6820000000007"/>
    <n v="0"/>
    <n v="0"/>
    <n v="-11852.78713534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69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10.298"/>
    <n v="-10.298"/>
    <n v="-10.298"/>
    <n v="-10.298"/>
    <m/>
    <n v="522.37"/>
    <n v="144.41999999999999"/>
    <m/>
    <n v="-6866.6034199999995"/>
    <n v="-6866.6034199999995"/>
    <n v="-6711.61852"/>
    <n v="0"/>
    <n v="-632.30724503041472"/>
    <n v="0"/>
    <n v="0"/>
    <n v="0"/>
    <n v="-1050.0217033378974"/>
    <n v="-3417.9805351011391"/>
    <n v="-1487.2559397467446"/>
    <n v="0"/>
    <n v="0"/>
    <n v="0"/>
    <n v="0"/>
    <n v="0"/>
    <n v="-97.653417714323467"/>
    <m/>
    <n v="-14.982098748777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6.39842370640818"/>
    <n v="0"/>
    <n v="0"/>
    <n v="0"/>
    <n v="-2484.65"/>
    <n v="0"/>
    <m/>
    <m/>
    <m/>
    <m/>
    <m/>
    <m/>
    <m/>
    <m/>
    <m/>
    <n v="-1653.6543634531529"/>
    <m/>
    <m/>
    <m/>
    <m/>
    <m/>
    <m/>
    <m/>
    <m/>
    <m/>
    <m/>
    <m/>
    <m/>
    <n v="-6712.9220000000005"/>
    <n v="153.65141999999832"/>
    <m/>
    <m/>
    <m/>
    <m/>
    <n v="215.12521999999987"/>
    <n v="-60.140320000000038"/>
    <m/>
    <n v="0.98838922381628436"/>
    <n v="0"/>
    <n v="0"/>
    <n v="0"/>
    <n v="0"/>
    <n v="0"/>
    <n v="0"/>
    <n v="0"/>
    <n v="-43.944827512935035"/>
    <n v="0"/>
    <n v="0"/>
    <n v="-60.13818211810576"/>
    <n v="0"/>
    <n v="0"/>
    <n v="0"/>
    <n v="-6.7284308245725128"/>
    <n v="0"/>
    <n v="97.142067113616349"/>
    <m/>
    <n v="0"/>
    <n v="0"/>
    <n v="0"/>
    <n v="0"/>
    <n v="12.849681970455919"/>
    <n v="1.8080805953575929"/>
    <n v="0"/>
    <n v="0"/>
    <m/>
    <m/>
    <m/>
    <n v="-3417.9805351011391"/>
    <n v="0"/>
    <n v="0"/>
    <n v="215.1252199999999"/>
    <n v="-60.140319999999974"/>
    <n v="0"/>
    <n v="0"/>
    <n v="153.9363772358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0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25.643999999999998"/>
    <n v="25.643999999999998"/>
    <n v="25.643999999999998"/>
    <n v="25.643999999999998"/>
    <m/>
    <n v="522.37"/>
    <n v="144.41999999999999"/>
    <m/>
    <n v="17099.162759999999"/>
    <n v="17099.162759999999"/>
    <n v="16713.220560000002"/>
    <n v="0"/>
    <n v="1574.5666140570938"/>
    <n v="0"/>
    <n v="0"/>
    <n v="0"/>
    <n v="2614.7559293452164"/>
    <n v="8511.4287086942713"/>
    <n v="3703.5532451801823"/>
    <n v="0"/>
    <n v="0"/>
    <n v="0"/>
    <n v="0"/>
    <n v="0"/>
    <n v="243.17578596485831"/>
    <m/>
    <n v="37.308306497732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4.36406851108285"/>
    <n v="0"/>
    <n v="0.48"/>
    <n v="2.2599999999999998"/>
    <n v="12011.82"/>
    <n v="38"/>
    <m/>
    <m/>
    <m/>
    <m/>
    <m/>
    <m/>
    <m/>
    <m/>
    <m/>
    <n v="4117.917313691265"/>
    <m/>
    <m/>
    <m/>
    <m/>
    <m/>
    <m/>
    <m/>
    <m/>
    <m/>
    <m/>
    <m/>
    <m/>
    <n v="16710.613600000001"/>
    <n v="-388.5791599999975"/>
    <m/>
    <m/>
    <m/>
    <m/>
    <n v="-535.70315999999957"/>
    <n v="149.76096000000007"/>
    <m/>
    <n v="-2.461279205241226"/>
    <n v="0"/>
    <n v="0"/>
    <n v="0"/>
    <n v="0"/>
    <n v="0"/>
    <n v="0"/>
    <n v="0"/>
    <n v="109.43106979430058"/>
    <n v="0"/>
    <n v="0"/>
    <n v="149.75563626303165"/>
    <n v="0"/>
    <n v="0"/>
    <n v="0"/>
    <n v="16.75508643089313"/>
    <n v="0"/>
    <n v="-241.90242465154142"/>
    <m/>
    <n v="0"/>
    <n v="0"/>
    <n v="0"/>
    <n v="0"/>
    <n v="-31.998178719204873"/>
    <n v="-4.5024683227180233"/>
    <n v="0"/>
    <n v="0"/>
    <m/>
    <m/>
    <m/>
    <n v="8511.4287086942713"/>
    <n v="0"/>
    <n v="0"/>
    <n v="-535.70315999999912"/>
    <n v="149.76096000000007"/>
    <n v="0"/>
    <n v="0"/>
    <n v="-383.33117671755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1"/>
    <s v="Regular"/>
    <s v="Verde"/>
    <s v="A4"/>
    <s v="Comercial"/>
    <s v="Não se aplica"/>
    <s v="Não se aplica"/>
    <s v="Não se aplica"/>
    <s v="Ponta"/>
    <s v="CATIVO"/>
    <x v="3"/>
    <n v="0"/>
    <n v="0"/>
    <n v="7.5380000000000003"/>
    <n v="7.5380000000000003"/>
    <n v="7.5380000000000003"/>
    <n v="7.5380000000000003"/>
    <m/>
    <n v="2740.31"/>
    <n v="144.41999999999999"/>
    <m/>
    <n v="21745.09474"/>
    <n v="21745.09474"/>
    <n v="21305.553959999997"/>
    <n v="0"/>
    <n v="402.67128096175588"/>
    <n v="0"/>
    <n v="0"/>
    <n v="0"/>
    <n v="5673.5722862585699"/>
    <n v="14457.941032474759"/>
    <n v="1088.6517065266034"/>
    <n v="0"/>
    <n v="0"/>
    <n v="0"/>
    <n v="0"/>
    <n v="0"/>
    <n v="71.481012112115977"/>
    <m/>
    <n v="3.7515510636071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26584856019177"/>
    <n v="0"/>
    <n v="0"/>
    <n v="0"/>
    <n v="0"/>
    <n v="0"/>
    <m/>
    <m/>
    <m/>
    <m/>
    <m/>
    <m/>
    <m/>
    <m/>
    <m/>
    <n v="1135.6782913826225"/>
    <m/>
    <m/>
    <m/>
    <m/>
    <m/>
    <m/>
    <m/>
    <m/>
    <m/>
    <m/>
    <m/>
    <m/>
    <n v="21311.2068"/>
    <n v="-433.91793999999572"/>
    <m/>
    <m/>
    <m/>
    <m/>
    <n v="-483.56270000000069"/>
    <n v="44.02192000000003"/>
    <m/>
    <n v="211.64719215779132"/>
    <n v="0"/>
    <n v="0"/>
    <n v="0"/>
    <n v="0"/>
    <n v="0"/>
    <n v="0"/>
    <n v="0"/>
    <n v="237.44666868236891"/>
    <n v="0"/>
    <n v="0"/>
    <n v="44.020355098687105"/>
    <n v="0"/>
    <n v="0"/>
    <n v="0"/>
    <n v="1.9015512050635834"/>
    <n v="0"/>
    <n v="-61.862837896205065"/>
    <m/>
    <n v="0"/>
    <n v="0"/>
    <n v="0"/>
    <n v="0"/>
    <n v="-9.4057975037188584"/>
    <n v="-0.45274742840384707"/>
    <n v="0"/>
    <n v="0"/>
    <m/>
    <m/>
    <m/>
    <n v="14457.941032474759"/>
    <n v="0"/>
    <n v="0"/>
    <n v="-483.56270000000222"/>
    <n v="44.021919999999909"/>
    <n v="0"/>
    <n v="0"/>
    <n v="-651.1456229705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2"/>
    <s v="Regular"/>
    <s v="Verde"/>
    <s v="A4"/>
    <s v="Comercial"/>
    <s v="Não se aplica"/>
    <s v="Não se aplica"/>
    <s v="Não se aplica"/>
    <s v="Fora ponta"/>
    <s v="CATIVO"/>
    <x v="3"/>
    <n v="0"/>
    <n v="0"/>
    <n v="416.24599999999998"/>
    <n v="416.24599999999998"/>
    <n v="416.24599999999998"/>
    <n v="416.24599999999998"/>
    <m/>
    <n v="69.64"/>
    <n v="144.41999999999999"/>
    <m/>
    <n v="89101.618759999998"/>
    <n v="89101.618759999998"/>
    <n v="87678.05743999999"/>
    <n v="0"/>
    <n v="22235.382066225397"/>
    <n v="0"/>
    <n v="0"/>
    <n v="0"/>
    <n v="0"/>
    <n v="0"/>
    <n v="60115.006398895268"/>
    <n v="0"/>
    <n v="0"/>
    <n v="0"/>
    <n v="0"/>
    <n v="0"/>
    <n v="3947.1591095277026"/>
    <m/>
    <n v="207.15947519530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.7932926477256"/>
    <n v="0"/>
    <n v="0"/>
    <n v="0"/>
    <n v="0"/>
    <n v="0"/>
    <m/>
    <m/>
    <m/>
    <m/>
    <m/>
    <m/>
    <m/>
    <m/>
    <m/>
    <n v="62711.79969154299"/>
    <m/>
    <m/>
    <m/>
    <m/>
    <m/>
    <m/>
    <m/>
    <m/>
    <m/>
    <m/>
    <m/>
    <m/>
    <n v="87678.9"/>
    <n v="-1422.7487599999877"/>
    <m/>
    <m/>
    <m/>
    <m/>
    <n v="-3854.4379599999988"/>
    <n v="2430.8766400000013"/>
    <m/>
    <n v="-1424.639016376881"/>
    <n v="0"/>
    <n v="0"/>
    <n v="0"/>
    <n v="0"/>
    <n v="0"/>
    <n v="0"/>
    <n v="0"/>
    <n v="0"/>
    <n v="0"/>
    <n v="0"/>
    <n v="2430.7902266394449"/>
    <n v="0"/>
    <n v="0"/>
    <n v="0"/>
    <n v="105.00306220521315"/>
    <n v="0"/>
    <n v="-3416.0465405868636"/>
    <m/>
    <n v="0"/>
    <n v="0"/>
    <n v="0"/>
    <n v="0"/>
    <n v="-519.385193384579"/>
    <n v="-25.000571250117758"/>
    <n v="0"/>
    <n v="0"/>
    <m/>
    <m/>
    <m/>
    <n v="0"/>
    <n v="0"/>
    <n v="0"/>
    <n v="-3854.4379599999993"/>
    <n v="2430.87663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3"/>
    <s v="Regular"/>
    <s v="Verde"/>
    <s v="A4"/>
    <s v="Comercial"/>
    <s v="Não se aplica"/>
    <s v="Não se aplica"/>
    <s v="Não se aplica"/>
    <s v="Não se aplica"/>
    <s v="CATIVO"/>
    <x v="3"/>
    <n v="1878"/>
    <n v="1878"/>
    <n v="0"/>
    <n v="0"/>
    <n v="0"/>
    <n v="0"/>
    <n v="34.950000000000003"/>
    <m/>
    <m/>
    <n v="65636.100000000006"/>
    <m/>
    <n v="65636.100000000006"/>
    <n v="64753.439999999995"/>
    <n v="0"/>
    <n v="0"/>
    <n v="0"/>
    <n v="0"/>
    <n v="0"/>
    <n v="23793.845922478686"/>
    <n v="41850.8694100902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2276.05"/>
    <n v="15"/>
    <m/>
    <m/>
    <m/>
    <m/>
    <m/>
    <m/>
    <m/>
    <m/>
    <m/>
    <n v="0"/>
    <m/>
    <m/>
    <m/>
    <m/>
    <m/>
    <m/>
    <m/>
    <m/>
    <m/>
    <m/>
    <m/>
    <m/>
    <n v="64753.439999999995"/>
    <n v="-882.68999999999505"/>
    <m/>
    <m/>
    <m/>
    <m/>
    <n v="-882.66000000001122"/>
    <n v="0"/>
    <m/>
    <n v="995.80461204620224"/>
    <n v="0"/>
    <n v="0"/>
    <n v="0"/>
    <n v="0"/>
    <m/>
    <m/>
    <m/>
    <n v="995.804612046202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850.869410090221"/>
    <m/>
    <n v="0"/>
    <n v="0"/>
    <n v="-882.66000000001077"/>
    <m/>
    <n v="0"/>
    <m/>
    <n v="-1884.847252639825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74"/>
    <s v="Regular"/>
    <s v="Branca"/>
    <s v="B3"/>
    <s v="Comercial"/>
    <s v="Não se aplica"/>
    <s v="Não se aplica"/>
    <s v="Não se aplica"/>
    <s v="Ponta"/>
    <s v="CATIVO"/>
    <x v="3"/>
    <n v="0"/>
    <n v="0"/>
    <n v="0.108"/>
    <n v="0.108"/>
    <n v="0.108"/>
    <n v="0.108"/>
    <m/>
    <n v="1585.55"/>
    <n v="144.41999999999999"/>
    <m/>
    <n v="186.83676"/>
    <n v="186.83676"/>
    <n v="182.38715999999999"/>
    <n v="0"/>
    <n v="6.6313053469882295"/>
    <n v="0"/>
    <n v="0"/>
    <n v="0"/>
    <n v="38.013431191816963"/>
    <n v="123.66854444367361"/>
    <n v="15.597556952092486"/>
    <n v="0"/>
    <n v="0"/>
    <n v="0"/>
    <n v="0"/>
    <n v="0"/>
    <n v="1.0241376105211628"/>
    <m/>
    <n v="0.15712436054262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450990250817715"/>
    <n v="0"/>
    <n v="0"/>
    <n v="0"/>
    <n v="0"/>
    <n v="0"/>
    <m/>
    <m/>
    <m/>
    <m/>
    <m/>
    <m/>
    <m/>
    <m/>
    <m/>
    <n v="17.342655977174257"/>
    <m/>
    <m/>
    <m/>
    <m/>
    <m/>
    <m/>
    <m/>
    <m/>
    <m/>
    <m/>
    <m/>
    <m/>
    <n v="185.7647"/>
    <n v="-1.1020599999999661"/>
    <m/>
    <m/>
    <m/>
    <m/>
    <n v="-5.080319999999996"/>
    <n v="0.63072000000000039"/>
    <m/>
    <n v="1.1196775643951185"/>
    <n v="0"/>
    <n v="0"/>
    <n v="0"/>
    <n v="0"/>
    <n v="0"/>
    <n v="0"/>
    <n v="0"/>
    <n v="1.5909134750155545"/>
    <n v="0"/>
    <n v="0"/>
    <n v="0.63069757902072254"/>
    <n v="0"/>
    <n v="0"/>
    <n v="0"/>
    <n v="7.0564238595244966E-2"/>
    <n v="0"/>
    <n v="-1.0187748347514622"/>
    <m/>
    <n v="0"/>
    <n v="0"/>
    <n v="0"/>
    <n v="0"/>
    <n v="-0.13476069652449407"/>
    <n v="-1.896219696044088E-2"/>
    <n v="0"/>
    <n v="0"/>
    <m/>
    <m/>
    <m/>
    <n v="123.66854444367361"/>
    <n v="0"/>
    <n v="0"/>
    <n v="-5.0803200000000004"/>
    <n v="0.63072000000000017"/>
    <n v="0"/>
    <n v="0"/>
    <n v="-5.5696887428688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5"/>
    <s v="Regular"/>
    <s v="Branca"/>
    <s v="B3"/>
    <s v="Comercial"/>
    <s v="Não se aplica"/>
    <s v="Não se aplica"/>
    <s v="Não se aplica"/>
    <s v="Fora ponta"/>
    <s v="CATIVO"/>
    <x v="3"/>
    <n v="0"/>
    <n v="0"/>
    <n v="9.1059999999999999"/>
    <n v="9.1059999999999999"/>
    <n v="9.1059999999999999"/>
    <n v="9.1059999999999999"/>
    <m/>
    <n v="387.88"/>
    <n v="144.41999999999999"/>
    <m/>
    <n v="4847.1237999999994"/>
    <n v="4847.1237999999994"/>
    <n v="4740.3104199999998"/>
    <n v="0"/>
    <n v="559.11728231180382"/>
    <n v="0"/>
    <n v="0"/>
    <n v="0"/>
    <n v="640.74364115436606"/>
    <n v="2085.4184527375955"/>
    <n v="1315.1051259792055"/>
    <n v="0"/>
    <n v="0"/>
    <n v="0"/>
    <n v="0"/>
    <n v="0"/>
    <n v="86.349972975978773"/>
    <m/>
    <n v="13.247911362047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.13770113328346"/>
    <n v="0"/>
    <n v="0"/>
    <n v="0"/>
    <n v="0"/>
    <n v="0"/>
    <m/>
    <m/>
    <m/>
    <m/>
    <m/>
    <m/>
    <m/>
    <m/>
    <m/>
    <n v="1462.2428271124888"/>
    <m/>
    <m/>
    <m/>
    <m/>
    <m/>
    <m/>
    <m/>
    <m/>
    <m/>
    <m/>
    <m/>
    <m/>
    <n v="4742.3926999999994"/>
    <n v="-104.76110000000062"/>
    <m/>
    <m/>
    <m/>
    <m/>
    <n v="-159.99241999999992"/>
    <n v="53.179040000000029"/>
    <m/>
    <n v="-12.916181115100699"/>
    <n v="0"/>
    <n v="0"/>
    <n v="0"/>
    <n v="0"/>
    <n v="0"/>
    <n v="0"/>
    <n v="0"/>
    <n v="26.815987422951821"/>
    <n v="0"/>
    <n v="0"/>
    <n v="53.177149579284105"/>
    <n v="0"/>
    <n v="0"/>
    <n v="0"/>
    <n v="5.9496107097064623"/>
    <n v="0"/>
    <n v="-85.897811530063052"/>
    <m/>
    <n v="0"/>
    <n v="0"/>
    <n v="0"/>
    <n v="0"/>
    <n v="-11.362323171778172"/>
    <n v="-1.5987941252016178"/>
    <n v="0"/>
    <n v="0"/>
    <m/>
    <m/>
    <m/>
    <n v="2085.4184527375955"/>
    <n v="0"/>
    <n v="0"/>
    <n v="-159.99242000000004"/>
    <n v="53.179040000000214"/>
    <n v="0"/>
    <n v="0"/>
    <n v="-93.921471564447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93.0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77"/>
    <s v="Regular"/>
    <s v="Branca"/>
    <s v="B3"/>
    <s v="Comercial"/>
    <s v="Não se aplica"/>
    <s v="Não se aplica"/>
    <s v="Não se aplica"/>
    <s v="Intermediário"/>
    <s v="CATIVO"/>
    <x v="3"/>
    <n v="0"/>
    <n v="0"/>
    <n v="0.26700000000000002"/>
    <n v="0.26700000000000002"/>
    <n v="0.26700000000000002"/>
    <n v="0.26700000000000002"/>
    <m/>
    <n v="986.74"/>
    <n v="144.41999999999999"/>
    <m/>
    <n v="302.01972000000001"/>
    <n v="302.01972000000001"/>
    <n v="294.95222999999999"/>
    <n v="0"/>
    <n v="16.394060441165347"/>
    <n v="0"/>
    <n v="0"/>
    <n v="0"/>
    <n v="56.389281700956424"/>
    <n v="183.44170663769125"/>
    <n v="38.56062690933976"/>
    <n v="0"/>
    <n v="0"/>
    <n v="0"/>
    <n v="0"/>
    <n v="0"/>
    <n v="2.5318957593439859"/>
    <m/>
    <n v="0.388446335785933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142725897854914"/>
    <n v="0"/>
    <n v="0"/>
    <n v="0"/>
    <n v="0"/>
    <n v="0"/>
    <m/>
    <m/>
    <m/>
    <m/>
    <m/>
    <m/>
    <m/>
    <m/>
    <m/>
    <n v="42.874899499125249"/>
    <m/>
    <m/>
    <m/>
    <m/>
    <m/>
    <m/>
    <m/>
    <m/>
    <m/>
    <m/>
    <m/>
    <m/>
    <n v="298.2663"/>
    <n v="-3.7834199999999782"/>
    <m/>
    <m/>
    <m/>
    <m/>
    <n v="-8.6267700000000165"/>
    <n v="1.5592800000000011"/>
    <m/>
    <n v="1.1949677658084283"/>
    <n v="0"/>
    <n v="0"/>
    <n v="0"/>
    <n v="0"/>
    <n v="0"/>
    <n v="0"/>
    <n v="0"/>
    <n v="2.3599676559533762"/>
    <n v="0"/>
    <n v="0"/>
    <n v="1.5592245703567897"/>
    <n v="0"/>
    <n v="0"/>
    <n v="0"/>
    <n v="0.17445047874935504"/>
    <n v="0"/>
    <n v="-2.5186377859133398"/>
    <m/>
    <n v="0"/>
    <n v="0"/>
    <n v="0"/>
    <n v="0"/>
    <n v="-0.33315838862999936"/>
    <n v="-4.6878764707756648E-2"/>
    <n v="0"/>
    <n v="0"/>
    <m/>
    <m/>
    <m/>
    <n v="183.44170663769125"/>
    <n v="0"/>
    <n v="0"/>
    <n v="-8.6267700000000218"/>
    <n v="1.5592800000000011"/>
    <n v="0"/>
    <n v="0"/>
    <n v="-8.2617064268748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8"/>
    <s v="Regular"/>
    <s v="Convencional"/>
    <s v="B2"/>
    <s v="Rural"/>
    <s v="Não se aplica"/>
    <s v="Não se aplica"/>
    <s v="Não se aplica"/>
    <s v="Não se aplica"/>
    <s v="CATIVO"/>
    <x v="3"/>
    <n v="0"/>
    <n v="0"/>
    <n v="319.11"/>
    <n v="319.11"/>
    <n v="319.11"/>
    <n v="319.11"/>
    <m/>
    <n v="522.37"/>
    <n v="144.41999999999999"/>
    <m/>
    <n v="212779.35689999998"/>
    <n v="212779.35689999998"/>
    <n v="207976.75140000001"/>
    <n v="0"/>
    <n v="19593.665271087168"/>
    <n v="0"/>
    <n v="0"/>
    <n v="0"/>
    <n v="32537.621455831853"/>
    <n v="105914.9124641799"/>
    <n v="46086.448138724387"/>
    <n v="0"/>
    <n v="0"/>
    <n v="0"/>
    <n v="0"/>
    <n v="0"/>
    <n v="3026.0421564204471"/>
    <m/>
    <n v="464.25883974775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56.2828693874462"/>
    <n v="0"/>
    <n v="5.35"/>
    <n v="24.9"/>
    <n v="48414.01"/>
    <n v="762"/>
    <m/>
    <m/>
    <m/>
    <m/>
    <m/>
    <n v="24954.402000000006"/>
    <m/>
    <m/>
    <m/>
    <n v="51242.731008111834"/>
    <m/>
    <m/>
    <m/>
    <m/>
    <m/>
    <m/>
    <m/>
    <m/>
    <m/>
    <m/>
    <m/>
    <m/>
    <n v="183022.34940000001"/>
    <n v="-4221.8553000000247"/>
    <m/>
    <m/>
    <m/>
    <m/>
    <n v="-6666.2078999999958"/>
    <n v="1863.6024000000011"/>
    <m/>
    <n v="-30.627780657610856"/>
    <n v="0"/>
    <n v="0"/>
    <n v="0"/>
    <n v="0"/>
    <n v="0"/>
    <n v="0"/>
    <n v="0"/>
    <n v="1361.7434363616994"/>
    <n v="0"/>
    <n v="0"/>
    <n v="1863.5361522342864"/>
    <n v="0"/>
    <n v="0"/>
    <n v="0"/>
    <n v="208.49772387156008"/>
    <n v="0"/>
    <n v="-3010.1966436809198"/>
    <m/>
    <n v="0"/>
    <n v="0"/>
    <n v="0"/>
    <n v="0"/>
    <n v="-398.18042470306773"/>
    <n v="-56.028024741169361"/>
    <n v="0"/>
    <n v="0"/>
    <m/>
    <m/>
    <m/>
    <n v="105914.9124641799"/>
    <n v="0"/>
    <n v="0"/>
    <n v="-6666.2078999999794"/>
    <n v="1863.6024000000034"/>
    <n v="0"/>
    <n v="0"/>
    <n v="-4770.1143270293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7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0.13400000000000001"/>
    <n v="-0.13400000000000001"/>
    <n v="-0.13400000000000001"/>
    <n v="-0.13400000000000001"/>
    <m/>
    <n v="522.37"/>
    <n v="144.41999999999999"/>
    <m/>
    <n v="-89.349860000000007"/>
    <n v="-89.349860000000007"/>
    <n v="-87.333160000000007"/>
    <n v="0"/>
    <n v="-8.2277307083002107"/>
    <n v="0"/>
    <n v="0"/>
    <n v="0"/>
    <n v="-13.66312956372871"/>
    <n v="-44.475567265833433"/>
    <n v="-19.352524366485124"/>
    <n v="0"/>
    <n v="0"/>
    <n v="0"/>
    <n v="0"/>
    <n v="0"/>
    <n v="-1.2706892574984798"/>
    <m/>
    <n v="-0.19495059548807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1652154570459019"/>
    <n v="0"/>
    <n v="0"/>
    <n v="0"/>
    <n v="-13.22"/>
    <n v="0"/>
    <m/>
    <m/>
    <m/>
    <m/>
    <m/>
    <n v="-10.478800000000003"/>
    <m/>
    <m/>
    <m/>
    <n v="-21.517739823531027"/>
    <m/>
    <m/>
    <m/>
    <m/>
    <m/>
    <m/>
    <m/>
    <m/>
    <m/>
    <m/>
    <m/>
    <m/>
    <n v="-74.560199999999995"/>
    <n v="4.036980000000014"/>
    <m/>
    <m/>
    <m/>
    <m/>
    <n v="2.7992599999999985"/>
    <n v="-0.78256000000000048"/>
    <m/>
    <n v="1.2861153232812228E-2"/>
    <n v="0"/>
    <n v="0"/>
    <n v="0"/>
    <n v="0"/>
    <n v="0"/>
    <n v="0"/>
    <n v="0"/>
    <n v="-0.57182043957402584"/>
    <n v="0"/>
    <n v="0"/>
    <n v="-0.78253218137756164"/>
    <n v="0"/>
    <n v="0"/>
    <n v="0"/>
    <n v="-8.7551925664470343E-2"/>
    <n v="0"/>
    <n v="1.2640354431175549"/>
    <m/>
    <n v="0"/>
    <n v="0"/>
    <n v="0"/>
    <n v="0"/>
    <n v="0.16720308642853898"/>
    <n v="2.352717030276924E-2"/>
    <n v="0"/>
    <n v="0"/>
    <m/>
    <m/>
    <m/>
    <n v="-44.475567265833433"/>
    <n v="0"/>
    <n v="0"/>
    <n v="2.7992599999999896"/>
    <n v="-0.78256000000000014"/>
    <n v="0"/>
    <n v="0"/>
    <n v="2.003056374986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2.0459999999999998"/>
    <n v="2.0459999999999998"/>
    <n v="2.0459999999999998"/>
    <n v="2.0459999999999998"/>
    <m/>
    <n v="522.37"/>
    <n v="144.41999999999999"/>
    <m/>
    <n v="1364.25234"/>
    <n v="1364.25234"/>
    <n v="1333.4600399999999"/>
    <n v="0"/>
    <n v="125.62639574016589"/>
    <n v="0"/>
    <n v="0"/>
    <n v="0"/>
    <n v="208.61763498051442"/>
    <n v="679.08216884996409"/>
    <n v="295.48705114797428"/>
    <n v="0"/>
    <n v="0"/>
    <n v="0"/>
    <n v="0"/>
    <n v="0"/>
    <n v="19.401718065984248"/>
    <m/>
    <n v="2.9766337191686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05993153071578"/>
    <n v="0"/>
    <n v="0"/>
    <n v="0"/>
    <n v="652.1"/>
    <n v="8"/>
    <m/>
    <m/>
    <m/>
    <m/>
    <m/>
    <n v="159.99720000000002"/>
    <m/>
    <m/>
    <m/>
    <n v="328.54698267869009"/>
    <m/>
    <m/>
    <m/>
    <m/>
    <m/>
    <m/>
    <m/>
    <m/>
    <m/>
    <m/>
    <m/>
    <m/>
    <n v="1175.7569999999998"/>
    <n v="-24.804420000000164"/>
    <m/>
    <m/>
    <m/>
    <m/>
    <n v="-42.740939999999966"/>
    <n v="11.948640000000006"/>
    <m/>
    <n v="-0.19637253368898655"/>
    <n v="0"/>
    <n v="0"/>
    <n v="0"/>
    <n v="0"/>
    <n v="0"/>
    <n v="0"/>
    <n v="0"/>
    <n v="8.7309299952869992"/>
    <n v="0"/>
    <n v="0"/>
    <n v="11.948215247003702"/>
    <n v="0"/>
    <n v="0"/>
    <n v="0"/>
    <n v="1.3368002978321414"/>
    <n v="0"/>
    <n v="-19.300123258347142"/>
    <m/>
    <n v="0"/>
    <n v="0"/>
    <n v="0"/>
    <n v="0"/>
    <n v="-2.5529665286029157"/>
    <n v="-0.35922828686168584"/>
    <n v="0"/>
    <n v="0"/>
    <m/>
    <m/>
    <m/>
    <n v="679.08216884996409"/>
    <n v="0"/>
    <n v="0"/>
    <n v="-42.74093999999991"/>
    <n v="11.948640000000012"/>
    <n v="0"/>
    <n v="0"/>
    <n v="-30.583980173300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1"/>
    <s v="Regular"/>
    <s v="Verde"/>
    <s v="A4"/>
    <s v="Rural"/>
    <s v="Não se aplica"/>
    <s v="Não se aplica"/>
    <s v="Não se aplica"/>
    <s v="Ponta"/>
    <s v="CATIVO"/>
    <x v="3"/>
    <n v="0"/>
    <n v="0"/>
    <n v="1.33"/>
    <n v="1.2767999999999999"/>
    <n v="1.33"/>
    <n v="1.2767999999999999"/>
    <m/>
    <n v="2740.31"/>
    <n v="144.41999999999999"/>
    <m/>
    <n v="3836.6909000000001"/>
    <n v="3836.6909000000001"/>
    <n v="3759.1386000000002"/>
    <n v="0"/>
    <n v="71.047068675926681"/>
    <n v="0"/>
    <n v="0"/>
    <n v="0"/>
    <n v="1001.0415416189835"/>
    <n v="2550.9500627741349"/>
    <n v="192.08102542854638"/>
    <n v="0"/>
    <n v="0"/>
    <n v="0"/>
    <n v="0"/>
    <n v="0"/>
    <n v="12.612065018455061"/>
    <m/>
    <n v="0.66192132058868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2973411857927175"/>
    <n v="0"/>
    <n v="0"/>
    <n v="0"/>
    <n v="0"/>
    <n v="0"/>
    <m/>
    <m/>
    <m/>
    <m/>
    <m/>
    <n v="150.36554400000037"/>
    <m/>
    <m/>
    <m/>
    <n v="200.37836661433909"/>
    <m/>
    <m/>
    <m/>
    <m/>
    <m/>
    <m/>
    <m/>
    <m/>
    <m/>
    <m/>
    <m/>
    <m/>
    <n v="3617.8175999999999"/>
    <n v="-65.435664000000088"/>
    <m/>
    <m/>
    <m/>
    <m/>
    <n v="-85.319500000000119"/>
    <n v="7.7672000000000052"/>
    <m/>
    <n v="37.342898059148638"/>
    <n v="0"/>
    <n v="0"/>
    <n v="0"/>
    <n v="0"/>
    <n v="0"/>
    <n v="0"/>
    <n v="0"/>
    <n v="41.894941542524521"/>
    <n v="0"/>
    <n v="0"/>
    <n v="7.7669238897922241"/>
    <n v="0"/>
    <n v="0"/>
    <n v="0"/>
    <n v="0.33550850394462373"/>
    <n v="0"/>
    <n v="-10.915040382323255"/>
    <m/>
    <n v="0"/>
    <n v="0"/>
    <n v="0"/>
    <n v="0"/>
    <n v="-1.6595530220146024"/>
    <n v="-7.9882472774889357E-2"/>
    <n v="0"/>
    <n v="0"/>
    <m/>
    <m/>
    <m/>
    <n v="2550.9500627741349"/>
    <n v="0"/>
    <n v="0"/>
    <n v="-85.319500000000062"/>
    <n v="7.7672000000000025"/>
    <n v="0"/>
    <n v="0"/>
    <n v="-114.88772599506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2"/>
    <s v="Regular"/>
    <s v="Verde"/>
    <s v="A4"/>
    <s v="Rural"/>
    <s v="Não se aplica"/>
    <s v="Não se aplica"/>
    <s v="Não se aplica"/>
    <s v="Fora ponta"/>
    <s v="CATIVO"/>
    <x v="3"/>
    <n v="0"/>
    <n v="0"/>
    <n v="39.991"/>
    <n v="38.391359999999999"/>
    <n v="39.991"/>
    <n v="38.391359999999999"/>
    <m/>
    <n v="69.64"/>
    <n v="144.41999999999999"/>
    <m/>
    <n v="8560.4734599999992"/>
    <n v="8560.4734599999992"/>
    <n v="8423.7042399999991"/>
    <n v="0"/>
    <n v="2136.2731755029954"/>
    <n v="0"/>
    <n v="0"/>
    <n v="0"/>
    <n v="0"/>
    <n v="0"/>
    <n v="5775.5731488067649"/>
    <n v="0"/>
    <n v="0"/>
    <n v="0"/>
    <n v="0"/>
    <n v="0"/>
    <n v="379.22488131807239"/>
    <m/>
    <n v="19.902928971174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48794839175679"/>
    <n v="0"/>
    <n v="0"/>
    <n v="0"/>
    <n v="0"/>
    <n v="0"/>
    <m/>
    <m/>
    <m/>
    <m/>
    <m/>
    <n v="336.9481696000002"/>
    <m/>
    <m/>
    <m/>
    <n v="6025.0610971985216"/>
    <m/>
    <m/>
    <m/>
    <m/>
    <m/>
    <m/>
    <m/>
    <m/>
    <m/>
    <m/>
    <m/>
    <m/>
    <n v="8086.4696000000004"/>
    <n v="-131.61492159999943"/>
    <m/>
    <m/>
    <m/>
    <m/>
    <n v="-370.3166599999999"/>
    <n v="233.54744000000014"/>
    <m/>
    <n v="-136.87276010803362"/>
    <n v="0"/>
    <n v="0"/>
    <n v="0"/>
    <n v="0"/>
    <n v="0"/>
    <n v="0"/>
    <n v="0"/>
    <n v="0"/>
    <n v="0"/>
    <n v="0"/>
    <n v="233.53913780201583"/>
    <n v="0"/>
    <n v="0"/>
    <n v="0"/>
    <n v="10.088210963345432"/>
    <n v="0"/>
    <n v="-328.19803002217259"/>
    <m/>
    <n v="0"/>
    <n v="0"/>
    <n v="0"/>
    <n v="0"/>
    <n v="-49.900139025102192"/>
    <n v="-2.4019398261207527"/>
    <n v="0"/>
    <n v="0"/>
    <m/>
    <m/>
    <m/>
    <n v="0"/>
    <n v="0"/>
    <n v="0"/>
    <n v="-370.3166599999995"/>
    <n v="233.5474399999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3"/>
    <s v="Regular"/>
    <s v="Verde"/>
    <s v="A4"/>
    <s v="Rural"/>
    <s v="Não se aplica"/>
    <s v="Não se aplica"/>
    <s v="Não se aplica"/>
    <s v="Não se aplica"/>
    <s v="CATIVO"/>
    <x v="3"/>
    <n v="150"/>
    <n v="144"/>
    <n v="0"/>
    <n v="0"/>
    <n v="0"/>
    <n v="0"/>
    <n v="34.950000000000003"/>
    <m/>
    <m/>
    <n v="5242.5"/>
    <m/>
    <n v="5242.5"/>
    <n v="5171.9999999999991"/>
    <n v="0"/>
    <n v="0"/>
    <n v="0"/>
    <n v="0"/>
    <n v="0"/>
    <n v="1900.46692671555"/>
    <n v="3342.72119888899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52.01"/>
    <n v="1"/>
    <m/>
    <m/>
    <m/>
    <m/>
    <m/>
    <n v="206.88"/>
    <m/>
    <m/>
    <m/>
    <n v="0"/>
    <m/>
    <m/>
    <m/>
    <m/>
    <m/>
    <m/>
    <m/>
    <m/>
    <m/>
    <m/>
    <m/>
    <m/>
    <n v="4965.12"/>
    <n v="-67.710000000000946"/>
    <m/>
    <m/>
    <m/>
    <m/>
    <n v="-70.500000000000895"/>
    <n v="0"/>
    <m/>
    <n v="79.537109588354951"/>
    <n v="0"/>
    <n v="0"/>
    <n v="0"/>
    <n v="0"/>
    <m/>
    <m/>
    <m/>
    <n v="79.5371095883549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42.7211988889949"/>
    <m/>
    <n v="0"/>
    <n v="0"/>
    <n v="-70.500000000000909"/>
    <m/>
    <n v="0"/>
    <m/>
    <n v="-150.5469051629247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84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82.063000000000002"/>
    <n v="82.063000000000002"/>
    <n v="82.063000000000002"/>
    <n v="82.063000000000002"/>
    <m/>
    <n v="522.37"/>
    <n v="144.41999999999999"/>
    <m/>
    <n v="54718.787769999995"/>
    <n v="54718.787769999995"/>
    <n v="53483.73962"/>
    <n v="0"/>
    <n v="5038.7482471286585"/>
    <n v="0"/>
    <n v="0"/>
    <n v="0"/>
    <n v="8367.4432939423059"/>
    <n v="27237.302063702155"/>
    <n v="11851.688112588572"/>
    <n v="0"/>
    <n v="0"/>
    <n v="0"/>
    <n v="0"/>
    <n v="0"/>
    <n v="778.18337714998313"/>
    <m/>
    <n v="119.38978147416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6.0005675489392"/>
    <n v="0"/>
    <n v="400.02"/>
    <n v="1849.59"/>
    <n v="16550"/>
    <n v="126"/>
    <m/>
    <m/>
    <m/>
    <m/>
    <m/>
    <m/>
    <m/>
    <m/>
    <m/>
    <n v="13177.688680137511"/>
    <m/>
    <m/>
    <m/>
    <m/>
    <m/>
    <m/>
    <m/>
    <m/>
    <m/>
    <m/>
    <m/>
    <m/>
    <n v="53481.784400000004"/>
    <n v="-1237.0333699999974"/>
    <m/>
    <m/>
    <m/>
    <m/>
    <n v="-1714.296069999999"/>
    <n v="479.24792000000031"/>
    <m/>
    <n v="-7.8763046100284555"/>
    <n v="0"/>
    <n v="0"/>
    <n v="0"/>
    <n v="0"/>
    <n v="0"/>
    <n v="0"/>
    <n v="0"/>
    <n v="350.18881143853287"/>
    <n v="0"/>
    <n v="0"/>
    <n v="479.23088358497807"/>
    <n v="0"/>
    <n v="0"/>
    <n v="0"/>
    <n v="53.617713998532963"/>
    <n v="0"/>
    <n v="-774.10851170564183"/>
    <m/>
    <n v="0"/>
    <n v="0"/>
    <n v="0"/>
    <n v="0"/>
    <n v="-102.39691702675509"/>
    <n v="-14.408284899672779"/>
    <n v="0"/>
    <n v="0"/>
    <m/>
    <m/>
    <m/>
    <n v="27237.302063702155"/>
    <n v="0"/>
    <n v="0"/>
    <n v="-1714.2960699999967"/>
    <n v="479.24791999999979"/>
    <n v="0"/>
    <n v="0"/>
    <n v="-1226.692651496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5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1.9530000000000001"/>
    <n v="1.9530000000000001"/>
    <n v="1.9530000000000001"/>
    <n v="1.9530000000000001"/>
    <m/>
    <n v="522.37"/>
    <n v="144.41999999999999"/>
    <m/>
    <n v="1302.2408700000001"/>
    <n v="1302.2408700000001"/>
    <n v="1272.8482200000001"/>
    <n v="0"/>
    <n v="119.91610502470382"/>
    <n v="0"/>
    <n v="0"/>
    <n v="0"/>
    <n v="199.13501520867288"/>
    <n v="648.21479753860217"/>
    <n v="282.05582155033915"/>
    <n v="0"/>
    <n v="0"/>
    <n v="0"/>
    <n v="0"/>
    <n v="0"/>
    <n v="18.519821790257694"/>
    <m/>
    <n v="2.8413321864791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557207370228703"/>
    <n v="0"/>
    <n v="8.69"/>
    <n v="40.14"/>
    <n v="530.91"/>
    <n v="2"/>
    <m/>
    <m/>
    <m/>
    <m/>
    <m/>
    <m/>
    <m/>
    <m/>
    <m/>
    <n v="313.61302892056784"/>
    <m/>
    <m/>
    <m/>
    <m/>
    <m/>
    <m/>
    <m/>
    <m/>
    <m/>
    <m/>
    <m/>
    <m/>
    <n v="1270.893"/>
    <n v="-31.37787000000003"/>
    <m/>
    <m/>
    <m/>
    <m/>
    <n v="-40.798169999999978"/>
    <n v="11.405520000000006"/>
    <m/>
    <n v="-0.18744650943028773"/>
    <n v="0"/>
    <n v="0"/>
    <n v="0"/>
    <n v="0"/>
    <n v="0"/>
    <n v="0"/>
    <n v="0"/>
    <n v="8.3340695409557668"/>
    <n v="0"/>
    <n v="0"/>
    <n v="11.405114553958072"/>
    <n v="0"/>
    <n v="0"/>
    <n v="0"/>
    <n v="1.2760366479306811"/>
    <n v="0"/>
    <n v="-18.422844928422279"/>
    <m/>
    <n v="0"/>
    <n v="0"/>
    <n v="0"/>
    <n v="0"/>
    <n v="-2.4369225954845994"/>
    <n v="-0.34289972836797267"/>
    <n v="0"/>
    <n v="0"/>
    <m/>
    <m/>
    <m/>
    <n v="648.21479753860217"/>
    <n v="0"/>
    <n v="0"/>
    <n v="-40.798169999999914"/>
    <n v="11.405520000000024"/>
    <n v="0"/>
    <n v="0"/>
    <n v="-29.193799256332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6"/>
    <s v="Regular"/>
    <s v="Verde"/>
    <s v="A4"/>
    <s v="Poder público"/>
    <s v="Não se aplica"/>
    <s v="Não se aplica"/>
    <s v="Não se aplica"/>
    <s v="Ponta"/>
    <s v="CATIVO"/>
    <x v="3"/>
    <n v="0"/>
    <n v="0"/>
    <n v="9.7000000000000003E-2"/>
    <n v="9.7000000000000003E-2"/>
    <n v="9.7000000000000003E-2"/>
    <n v="9.7000000000000003E-2"/>
    <m/>
    <n v="2740.31"/>
    <n v="144.41999999999999"/>
    <m/>
    <n v="279.81880999999998"/>
    <n v="279.81880999999998"/>
    <n v="274.16273999999999"/>
    <n v="0"/>
    <n v="5.1816283169660817"/>
    <n v="0"/>
    <n v="0"/>
    <n v="0"/>
    <n v="73.008292884993537"/>
    <n v="186.04673390157225"/>
    <n v="14.008916892157142"/>
    <n v="0"/>
    <n v="0"/>
    <n v="0"/>
    <n v="0"/>
    <n v="0"/>
    <n v="0.91982729833845178"/>
    <m/>
    <n v="4.82754647346637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0514443234728843"/>
    <n v="0"/>
    <n v="0"/>
    <n v="0"/>
    <n v="0"/>
    <n v="0"/>
    <m/>
    <m/>
    <m/>
    <m/>
    <m/>
    <m/>
    <m/>
    <m/>
    <m/>
    <n v="14.61406132450443"/>
    <m/>
    <m/>
    <m/>
    <m/>
    <m/>
    <m/>
    <m/>
    <m/>
    <m/>
    <m/>
    <m/>
    <m/>
    <n v="282.642"/>
    <n v="2.7931900000000383"/>
    <m/>
    <m/>
    <m/>
    <m/>
    <n v="-6.2225500000000089"/>
    <n v="0.56648000000000032"/>
    <m/>
    <n v="2.7235045952913168"/>
    <n v="0"/>
    <n v="0"/>
    <n v="0"/>
    <n v="0"/>
    <n v="0"/>
    <n v="0"/>
    <n v="0"/>
    <n v="3.0554957365600615"/>
    <n v="0"/>
    <n v="0"/>
    <n v="0.56645986263898074"/>
    <n v="0"/>
    <n v="0"/>
    <n v="0"/>
    <n v="2.4469417204983746E-2"/>
    <n v="0"/>
    <n v="-0.7960593361544035"/>
    <m/>
    <n v="0"/>
    <n v="0"/>
    <n v="0"/>
    <n v="0"/>
    <n v="-0.12103507002662894"/>
    <n v="-5.8260149317024626E-3"/>
    <n v="0"/>
    <n v="0"/>
    <m/>
    <m/>
    <m/>
    <n v="186.04673390157225"/>
    <n v="0"/>
    <n v="0"/>
    <n v="-6.2225500000000125"/>
    <n v="0.56648000000000032"/>
    <n v="0"/>
    <n v="0"/>
    <n v="-8.3790296402416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7"/>
    <s v="Regular"/>
    <s v="Verde"/>
    <s v="A4"/>
    <s v="Poder público"/>
    <s v="Não se aplica"/>
    <s v="Não se aplica"/>
    <s v="Não se aplica"/>
    <s v="Fora ponta"/>
    <s v="CATIVO"/>
    <x v="3"/>
    <n v="0"/>
    <n v="0"/>
    <n v="2.8079999999999998"/>
    <n v="2.8079999999999998"/>
    <n v="2.8079999999999998"/>
    <n v="2.8079999999999998"/>
    <m/>
    <n v="69.64"/>
    <n v="144.41999999999999"/>
    <m/>
    <n v="601.08047999999997"/>
    <n v="601.08047999999997"/>
    <n v="591.47712000000001"/>
    <n v="0"/>
    <n v="150.00012694887377"/>
    <n v="0"/>
    <n v="0"/>
    <n v="0"/>
    <n v="0"/>
    <n v="0"/>
    <n v="405.53648075440464"/>
    <n v="0"/>
    <n v="0"/>
    <n v="0"/>
    <n v="0"/>
    <n v="0"/>
    <n v="26.62757787355023"/>
    <m/>
    <n v="1.3975000512879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17995526094698"/>
    <n v="0"/>
    <n v="0"/>
    <n v="0"/>
    <n v="0"/>
    <n v="0"/>
    <m/>
    <m/>
    <m/>
    <m/>
    <m/>
    <m/>
    <m/>
    <m/>
    <m/>
    <n v="423.05447628049933"/>
    <m/>
    <m/>
    <m/>
    <m/>
    <m/>
    <m/>
    <m/>
    <m/>
    <m/>
    <m/>
    <m/>
    <m/>
    <n v="591.89840000000004"/>
    <n v="-9.2120799999999008"/>
    <m/>
    <m/>
    <m/>
    <m/>
    <n v="-26.002079999999992"/>
    <n v="16.398720000000008"/>
    <m/>
    <n v="-9.6106301513680137"/>
    <n v="0"/>
    <n v="0"/>
    <n v="0"/>
    <n v="0"/>
    <n v="0"/>
    <n v="0"/>
    <n v="0"/>
    <n v="0"/>
    <n v="0"/>
    <n v="0"/>
    <n v="16.398137054538779"/>
    <n v="0"/>
    <n v="0"/>
    <n v="0"/>
    <n v="0.70835178877932492"/>
    <n v="0"/>
    <n v="-23.044686762077987"/>
    <m/>
    <n v="0"/>
    <n v="0"/>
    <n v="0"/>
    <n v="0"/>
    <n v="-3.5037781096368441"/>
    <n v="-0.16865412297134541"/>
    <n v="0"/>
    <n v="0"/>
    <m/>
    <m/>
    <m/>
    <n v="0"/>
    <n v="0"/>
    <n v="0"/>
    <n v="-26.002079999999978"/>
    <n v="16.398720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88"/>
    <s v="Regular"/>
    <s v="Verde"/>
    <s v="A4"/>
    <s v="Poder público"/>
    <s v="Não se aplica"/>
    <s v="Não se aplica"/>
    <s v="Não se aplica"/>
    <s v="Não se aplica"/>
    <s v="CATIVO"/>
    <x v="3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43"/>
    <n v="112.77"/>
    <n v="798.73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m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89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359.423"/>
    <n v="359.423"/>
    <n v="359.423"/>
    <n v="359.423"/>
    <m/>
    <n v="287.3"/>
    <n v="79.430000000000007"/>
    <m/>
    <n v="131811.19679000002"/>
    <n v="131811.19679000002"/>
    <n v="128838.76857999999"/>
    <n v="0"/>
    <n v="12137.907536590763"/>
    <n v="0"/>
    <n v="0"/>
    <n v="0"/>
    <n v="20156.445219785335"/>
    <n v="65612.298487785083"/>
    <n v="28549.688813107165"/>
    <n v="0"/>
    <n v="0"/>
    <n v="0"/>
    <n v="0"/>
    <n v="0"/>
    <n v="1874.5762667823267"/>
    <m/>
    <n v="287.59962936686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94.2203684313117"/>
    <n v="0"/>
    <n v="1148.17"/>
    <n v="5299.34"/>
    <n v="58881.64"/>
    <n v="6"/>
    <m/>
    <m/>
    <m/>
    <m/>
    <m/>
    <m/>
    <m/>
    <m/>
    <m/>
    <n v="31743.909181538475"/>
    <m/>
    <m/>
    <m/>
    <m/>
    <m/>
    <m/>
    <m/>
    <m/>
    <m/>
    <m/>
    <m/>
    <m/>
    <n v="128837.69320000001"/>
    <n v="-2973.5335899999773"/>
    <m/>
    <m/>
    <m/>
    <m/>
    <n v="-4126.1760400000067"/>
    <n v="1153.7478299999977"/>
    <m/>
    <n v="-18.973334724985762"/>
    <n v="0"/>
    <n v="0"/>
    <n v="0"/>
    <n v="0"/>
    <n v="0"/>
    <n v="0"/>
    <n v="0"/>
    <n v="843.57447626228532"/>
    <n v="0"/>
    <n v="0"/>
    <n v="1154.4256367535636"/>
    <n v="0"/>
    <n v="0"/>
    <n v="0"/>
    <n v="129.16042296981732"/>
    <n v="0"/>
    <n v="-1864.760269323886"/>
    <m/>
    <n v="0"/>
    <n v="0"/>
    <n v="0"/>
    <n v="0"/>
    <n v="-246.66529263710663"/>
    <n v="-34.708308749648324"/>
    <n v="0"/>
    <n v="0"/>
    <m/>
    <m/>
    <m/>
    <n v="65612.298487785083"/>
    <n v="0"/>
    <n v="0"/>
    <n v="-4126.1760400000057"/>
    <n v="1153.7478299999966"/>
    <n v="0"/>
    <n v="0"/>
    <n v="-2954.9962112440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0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8.302"/>
    <n v="17.203880000000002"/>
    <n v="18.302"/>
    <n v="17.203880000000002"/>
    <m/>
    <n v="522.37"/>
    <n v="144.41999999999999"/>
    <m/>
    <n v="12203.59058"/>
    <n v="12203.59058"/>
    <n v="11928.145479999999"/>
    <n v="0"/>
    <n v="1123.7606524127646"/>
    <n v="0"/>
    <n v="0"/>
    <n v="0"/>
    <n v="1866.1387856370359"/>
    <n v="6074.5659111886816"/>
    <n v="2643.2082160851546"/>
    <n v="0"/>
    <n v="0"/>
    <n v="0"/>
    <n v="0"/>
    <n v="0"/>
    <n v="173.5533939607252"/>
    <m/>
    <n v="26.626759691214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.72965145413502"/>
    <n v="0"/>
    <n v="84.82"/>
    <n v="392.65"/>
    <n v="4582.7"/>
    <n v="35"/>
    <m/>
    <m/>
    <m/>
    <m/>
    <n v="715.68872879999867"/>
    <m/>
    <m/>
    <m/>
    <m/>
    <n v="2938.9378675392895"/>
    <m/>
    <m/>
    <m/>
    <m/>
    <m/>
    <m/>
    <m/>
    <m/>
    <m/>
    <m/>
    <m/>
    <m/>
    <n v="11209.928"/>
    <n v="-261.47714520000227"/>
    <m/>
    <m/>
    <m/>
    <m/>
    <n v="-382.32877999999977"/>
    <n v="106.88368000000006"/>
    <m/>
    <n v="-1.7566031825872415"/>
    <n v="0"/>
    <n v="0"/>
    <n v="0"/>
    <n v="0"/>
    <n v="0"/>
    <n v="0"/>
    <n v="0"/>
    <n v="78.100430485700144"/>
    <n v="0"/>
    <n v="0"/>
    <n v="106.87988047441877"/>
    <n v="0"/>
    <n v="0"/>
    <n v="0"/>
    <n v="11.95802495157568"/>
    <n v="0"/>
    <n v="-172.64460208908577"/>
    <m/>
    <n v="0"/>
    <n v="0"/>
    <n v="0"/>
    <n v="0"/>
    <n v="-22.836946923993423"/>
    <n v="-3.2133900812035989"/>
    <n v="0"/>
    <n v="0"/>
    <m/>
    <m/>
    <m/>
    <n v="6074.5659111886816"/>
    <n v="0"/>
    <n v="0"/>
    <n v="-382.32877999999982"/>
    <n v="106.88367999999991"/>
    <n v="0"/>
    <n v="0"/>
    <n v="-273.58162518658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1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0.40400000000000003"/>
    <n v="0.37975999999999999"/>
    <n v="0.40400000000000003"/>
    <n v="0.37975999999999999"/>
    <m/>
    <n v="2740.31"/>
    <n v="144.41999999999999"/>
    <m/>
    <n v="1165.43092"/>
    <n v="1165.43092"/>
    <n v="1141.8736800000001"/>
    <n v="0"/>
    <n v="21.581214845920588"/>
    <n v="0"/>
    <n v="0"/>
    <n v="0"/>
    <n v="304.07577655193182"/>
    <n v="774.87505666221841"/>
    <n v="58.346416746716343"/>
    <n v="0"/>
    <n v="0"/>
    <n v="0"/>
    <n v="0"/>
    <n v="0"/>
    <n v="3.831033283801387"/>
    <m/>
    <n v="0.201064822193857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203953677144795"/>
    <n v="0"/>
    <n v="0"/>
    <n v="0"/>
    <n v="0"/>
    <n v="0"/>
    <m/>
    <m/>
    <m/>
    <m/>
    <n v="68.5124208000001"/>
    <m/>
    <m/>
    <m/>
    <m/>
    <n v="60.866812114430822"/>
    <m/>
    <m/>
    <m/>
    <m/>
    <m/>
    <m/>
    <m/>
    <m/>
    <m/>
    <m/>
    <m/>
    <m/>
    <n v="1074.0396000000001"/>
    <n v="-21.495464799999809"/>
    <m/>
    <m/>
    <m/>
    <m/>
    <n v="-25.916600000000038"/>
    <n v="2.3593600000000015"/>
    <m/>
    <n v="11.343256252553488"/>
    <n v="0"/>
    <n v="0"/>
    <n v="0"/>
    <n v="0"/>
    <n v="0"/>
    <n v="0"/>
    <n v="0"/>
    <n v="12.725982242992472"/>
    <n v="0"/>
    <n v="0"/>
    <n v="2.3592761289293662"/>
    <n v="0"/>
    <n v="0"/>
    <n v="0"/>
    <n v="0.10191386134859259"/>
    <n v="0"/>
    <n v="-3.3155461010966896"/>
    <m/>
    <n v="0"/>
    <n v="0"/>
    <n v="0"/>
    <n v="0"/>
    <n v="-0.50410482773977394"/>
    <n v="-2.4265051880492716E-2"/>
    <n v="0"/>
    <n v="0"/>
    <m/>
    <m/>
    <m/>
    <n v="774.87505666221841"/>
    <n v="0"/>
    <n v="0"/>
    <n v="-25.916600000000017"/>
    <n v="2.3593599999999952"/>
    <n v="0"/>
    <n v="0"/>
    <n v="-34.89822654286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2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2.33"/>
    <n v="2.1901999999999999"/>
    <n v="2.33"/>
    <n v="2.1901999999999999"/>
    <m/>
    <n v="69.64"/>
    <n v="144.41999999999999"/>
    <m/>
    <n v="498.75979999999993"/>
    <n v="498.75979999999993"/>
    <n v="490.7912"/>
    <n v="0"/>
    <n v="124.46591730444298"/>
    <n v="0"/>
    <n v="0"/>
    <n v="0"/>
    <n v="0"/>
    <n v="0"/>
    <n v="336.50284905903237"/>
    <n v="0"/>
    <n v="0"/>
    <n v="0"/>
    <n v="0"/>
    <n v="0"/>
    <n v="22.094820671428788"/>
    <m/>
    <n v="1.1596065240388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35943581125586"/>
    <n v="0"/>
    <n v="0"/>
    <n v="0"/>
    <n v="0"/>
    <n v="0"/>
    <m/>
    <m/>
    <m/>
    <m/>
    <n v="29.44747200000003"/>
    <m/>
    <m/>
    <m/>
    <m/>
    <n v="351.03879264015796"/>
    <m/>
    <m/>
    <m/>
    <m/>
    <m/>
    <m/>
    <m/>
    <m/>
    <m/>
    <m/>
    <m/>
    <m/>
    <n v="461.30160000000001"/>
    <n v="-7.5626119999999446"/>
    <m/>
    <m/>
    <m/>
    <m/>
    <n v="-21.575799999999997"/>
    <n v="13.607200000000008"/>
    <m/>
    <n v="-7.9746325686210184"/>
    <n v="0"/>
    <n v="0"/>
    <n v="0"/>
    <n v="0"/>
    <n v="0"/>
    <n v="0"/>
    <n v="0"/>
    <n v="0"/>
    <n v="0"/>
    <n v="0"/>
    <n v="13.606716288132247"/>
    <n v="0"/>
    <n v="0"/>
    <n v="0"/>
    <n v="0.58777053698569404"/>
    <n v="0"/>
    <n v="-19.121837662265563"/>
    <m/>
    <n v="0"/>
    <n v="0"/>
    <n v="0"/>
    <n v="0"/>
    <n v="-2.9073372490932492"/>
    <n v="-0.13994448238006929"/>
    <n v="0"/>
    <n v="0"/>
    <m/>
    <m/>
    <m/>
    <n v="0"/>
    <n v="0"/>
    <n v="0"/>
    <n v="-21.575799999999987"/>
    <n v="13.6072000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3"/>
    <s v="Regular"/>
    <s v="Verde"/>
    <s v="A4"/>
    <s v="Serviço público"/>
    <s v="Água, esgoto e saneamento"/>
    <s v="Não se aplica"/>
    <s v="Não se aplica"/>
    <s v="Não se aplica"/>
    <s v="CATIVO"/>
    <x v="3"/>
    <n v="30"/>
    <n v="28.2"/>
    <n v="0"/>
    <n v="0"/>
    <n v="0"/>
    <n v="0"/>
    <n v="34.950000000000003"/>
    <m/>
    <m/>
    <n v="1048.5"/>
    <m/>
    <n v="1048.5"/>
    <n v="1034.3999999999999"/>
    <n v="0"/>
    <n v="0"/>
    <n v="0"/>
    <n v="0"/>
    <n v="0"/>
    <n v="380.09338534310996"/>
    <n v="668.544239777799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37"/>
    <n v="84.81"/>
    <n v="750.12"/>
    <n v="1"/>
    <m/>
    <m/>
    <m/>
    <m/>
    <n v="62.064000000000021"/>
    <m/>
    <m/>
    <m/>
    <m/>
    <n v="0"/>
    <m/>
    <m/>
    <m/>
    <m/>
    <m/>
    <m/>
    <m/>
    <m/>
    <m/>
    <m/>
    <m/>
    <m/>
    <n v="972.3359999999999"/>
    <n v="-13.284000000000106"/>
    <m/>
    <m/>
    <m/>
    <m/>
    <n v="-14.100000000000179"/>
    <n v="0"/>
    <m/>
    <n v="15.907421917671002"/>
    <n v="0"/>
    <n v="0"/>
    <n v="0"/>
    <n v="0"/>
    <m/>
    <m/>
    <m/>
    <n v="15.9074219176710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8.54423977779902"/>
    <m/>
    <n v="0"/>
    <n v="0"/>
    <n v="-14.100000000000136"/>
    <m/>
    <n v="0"/>
    <m/>
    <n v="-30.1093810325850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194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8.6780000000000008"/>
    <n v="8.6780000000000008"/>
    <n v="8.6780000000000008"/>
    <n v="8.6780000000000008"/>
    <m/>
    <n v="522.37"/>
    <n v="144.41999999999999"/>
    <m/>
    <n v="5786.40362"/>
    <n v="5786.40362"/>
    <n v="5655.7997200000009"/>
    <n v="0"/>
    <n v="532.83766482559133"/>
    <n v="0"/>
    <n v="0"/>
    <n v="0"/>
    <n v="884.84058473162497"/>
    <n v="2880.2908412903175"/>
    <n v="1253.2925854653574"/>
    <n v="0"/>
    <n v="0"/>
    <n v="0"/>
    <n v="0"/>
    <n v="0"/>
    <n v="82.291353556506024"/>
    <m/>
    <n v="12.625233340637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22193833018162"/>
    <n v="0"/>
    <n v="0"/>
    <n v="0"/>
    <n v="0"/>
    <n v="3"/>
    <m/>
    <m/>
    <m/>
    <m/>
    <m/>
    <m/>
    <m/>
    <m/>
    <m/>
    <n v="1393.5145237955389"/>
    <m/>
    <m/>
    <m/>
    <m/>
    <m/>
    <m/>
    <m/>
    <m/>
    <m/>
    <m/>
    <m/>
    <m/>
    <n v="5657.1032000000005"/>
    <n v="-129.33042000000023"/>
    <m/>
    <m/>
    <m/>
    <m/>
    <n v="-181.28341999999989"/>
    <n v="50.679520000000032"/>
    <m/>
    <n v="-0.83290363995729422"/>
    <n v="0"/>
    <n v="0"/>
    <n v="0"/>
    <n v="0"/>
    <n v="0"/>
    <n v="0"/>
    <n v="0"/>
    <n v="37.031774437488025"/>
    <n v="0"/>
    <n v="0"/>
    <n v="50.677718432794791"/>
    <n v="0"/>
    <n v="0"/>
    <n v="0"/>
    <n v="5.6699672456438464"/>
    <n v="0"/>
    <n v="-81.860444592344379"/>
    <m/>
    <n v="0"/>
    <n v="0"/>
    <n v="0"/>
    <n v="0"/>
    <n v="-10.828271522588508"/>
    <n v="-1.5236476409509816"/>
    <n v="0"/>
    <n v="0"/>
    <m/>
    <m/>
    <m/>
    <n v="2880.2908412903175"/>
    <n v="0"/>
    <n v="0"/>
    <n v="-181.28341999999975"/>
    <n v="50.679520000000139"/>
    <n v="0"/>
    <n v="0"/>
    <n v="-129.72032255322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5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09.2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196"/>
    <s v="Regular"/>
    <s v="Convencional"/>
    <s v="B2"/>
    <s v="Rural"/>
    <s v="Agropecuária rural"/>
    <s v="IRRIG./AQUIC."/>
    <s v="Não se aplica"/>
    <s v="Não se aplica"/>
    <s v="CATIVO"/>
    <x v="3"/>
    <n v="0"/>
    <n v="0"/>
    <n v="3.3730000000000002"/>
    <n v="3.3730000000000002"/>
    <n v="3.3730000000000002"/>
    <n v="3.3730000000000002"/>
    <m/>
    <n v="522.37"/>
    <n v="144.41999999999999"/>
    <m/>
    <n v="2249.0826700000002"/>
    <n v="2249.0826700000002"/>
    <n v="2198.3190199999999"/>
    <n v="0"/>
    <n v="207.10549014251202"/>
    <n v="0"/>
    <n v="0"/>
    <n v="0"/>
    <n v="343.92340312281294"/>
    <n v="1119.5230476690758"/>
    <n v="487.1348111056293"/>
    <n v="0"/>
    <n v="0"/>
    <n v="0"/>
    <n v="0"/>
    <n v="0"/>
    <n v="31.985334817480393"/>
    <m/>
    <n v="4.9072265565766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502027885192739"/>
    <n v="0"/>
    <n v="0"/>
    <n v="0"/>
    <n v="0"/>
    <n v="0"/>
    <m/>
    <m/>
    <m/>
    <m/>
    <m/>
    <n v="263.76860000000011"/>
    <m/>
    <m/>
    <m/>
    <n v="541.63683899082207"/>
    <m/>
    <m/>
    <m/>
    <m/>
    <m/>
    <m/>
    <m/>
    <m/>
    <m/>
    <m/>
    <m/>
    <m/>
    <n v="1932.8298"/>
    <n v="-46.375410000000329"/>
    <m/>
    <m/>
    <m/>
    <m/>
    <n v="-70.461969999999965"/>
    <n v="19.698320000000013"/>
    <m/>
    <n v="-0.32373634219607084"/>
    <n v="0"/>
    <n v="0"/>
    <n v="0"/>
    <n v="0"/>
    <n v="0"/>
    <n v="0"/>
    <n v="0"/>
    <n v="14.393659273755134"/>
    <n v="0"/>
    <n v="0"/>
    <n v="19.697619759600855"/>
    <n v="0"/>
    <n v="0"/>
    <n v="0"/>
    <n v="2.2038257109422332"/>
    <n v="0"/>
    <n v="-31.817847385339633"/>
    <m/>
    <n v="0"/>
    <n v="0"/>
    <n v="0"/>
    <n v="0"/>
    <n v="-4.2087761979362845"/>
    <n v="-0.59221750321821442"/>
    <n v="0"/>
    <n v="0"/>
    <m/>
    <m/>
    <m/>
    <n v="1119.5230476690758"/>
    <n v="0"/>
    <n v="0"/>
    <n v="-70.461970000000065"/>
    <n v="19.698320000000024"/>
    <n v="0"/>
    <n v="0"/>
    <n v="-50.420217558427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7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2.23"/>
    <n v="0.89200000000000002"/>
    <n v="2.23"/>
    <n v="0.89200000000000002"/>
    <m/>
    <n v="522.37"/>
    <n v="144.41999999999999"/>
    <m/>
    <n v="1486.9416999999999"/>
    <n v="1486.9416999999999"/>
    <n v="1453.3802000000001"/>
    <n v="0"/>
    <n v="136.92417522021992"/>
    <n v="0"/>
    <n v="0"/>
    <n v="0"/>
    <n v="227.37894721727625"/>
    <n v="740.15309703588468"/>
    <n v="322.06066669598374"/>
    <n v="0"/>
    <n v="0"/>
    <n v="0"/>
    <n v="0"/>
    <n v="0"/>
    <n v="21.146545106131416"/>
    <m/>
    <n v="3.2443270741671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033063203077319"/>
    <n v="0"/>
    <n v="0"/>
    <n v="0"/>
    <n v="0"/>
    <n v="0"/>
    <m/>
    <m/>
    <m/>
    <m/>
    <m/>
    <m/>
    <n v="941.78252000000009"/>
    <m/>
    <m/>
    <n v="358.09372989906103"/>
    <m/>
    <m/>
    <m/>
    <m/>
    <m/>
    <m/>
    <m/>
    <m/>
    <m/>
    <m/>
    <m/>
    <m/>
    <n v="510.45060000000001"/>
    <n v="-12.978240000000028"/>
    <m/>
    <m/>
    <m/>
    <m/>
    <n v="-46.58469999999997"/>
    <n v="13.023200000000008"/>
    <m/>
    <n v="-0.21403262469493711"/>
    <n v="0"/>
    <n v="0"/>
    <n v="0"/>
    <n v="0"/>
    <n v="0"/>
    <n v="0"/>
    <n v="0"/>
    <n v="9.5161162705229856"/>
    <n v="0"/>
    <n v="0"/>
    <n v="13.022737048298268"/>
    <n v="0"/>
    <n v="0"/>
    <n v="0"/>
    <n v="1.4570208524758925"/>
    <n v="0"/>
    <n v="-21.035813717553339"/>
    <m/>
    <n v="0"/>
    <n v="0"/>
    <n v="0"/>
    <n v="0"/>
    <n v="-2.7825588263853867"/>
    <n v="-0.39153425205354742"/>
    <n v="0"/>
    <n v="0"/>
    <m/>
    <m/>
    <m/>
    <n v="740.15309703588468"/>
    <n v="0"/>
    <n v="0"/>
    <n v="-46.584699999999884"/>
    <n v="13.023200000000031"/>
    <n v="0"/>
    <n v="0"/>
    <n v="-33.33444564343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8"/>
    <s v="Regular"/>
    <s v="Convencional"/>
    <s v="B1"/>
    <s v="Residencial"/>
    <s v="Residencial"/>
    <s v="Não se aplica"/>
    <s v="Não se aplica"/>
    <s v="Não se aplica"/>
    <s v="CATIVO"/>
    <x v="4"/>
    <n v="0"/>
    <n v="0"/>
    <n v="2980.8110000000001"/>
    <n v="2980.8110000000001"/>
    <n v="2980.8110000000001"/>
    <n v="2980.8110000000001"/>
    <m/>
    <n v="522.37"/>
    <n v="144.41999999999999"/>
    <m/>
    <n v="1987574.9666900001"/>
    <n v="1987574.9666900001"/>
    <n v="1942713.7611400001"/>
    <n v="0"/>
    <n v="183024.70298760492"/>
    <n v="0"/>
    <n v="0"/>
    <n v="0"/>
    <n v="303934.37983572937"/>
    <n v="989352.68759131501"/>
    <n v="430494.16051781259"/>
    <n v="0"/>
    <n v="0"/>
    <n v="0"/>
    <n v="0"/>
    <n v="0"/>
    <n v="28266.302360696278"/>
    <m/>
    <n v="4336.6483543835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164.910833824266"/>
    <n v="0"/>
    <n v="580.51"/>
    <n v="2695.06"/>
    <n v="414036.01"/>
    <n v="11989"/>
    <m/>
    <m/>
    <m/>
    <m/>
    <m/>
    <m/>
    <m/>
    <m/>
    <m/>
    <n v="478659.07135163684"/>
    <m/>
    <m/>
    <m/>
    <m/>
    <m/>
    <m/>
    <m/>
    <m/>
    <m/>
    <m/>
    <m/>
    <m/>
    <n v="1942713.1094"/>
    <n v="-44861.887290000217"/>
    <m/>
    <m/>
    <m/>
    <m/>
    <n v="-62269.141789999965"/>
    <n v="17407.93624000001"/>
    <n v="31"/>
    <n v="-286.09453006740659"/>
    <n v="0"/>
    <n v="0"/>
    <n v="0"/>
    <n v="0"/>
    <n v="0"/>
    <n v="0"/>
    <n v="0"/>
    <n v="12720.064599306672"/>
    <n v="0"/>
    <n v="0"/>
    <n v="17407.317418688326"/>
    <n v="0"/>
    <n v="0"/>
    <n v="0"/>
    <n v="1947.5801723271361"/>
    <n v="0"/>
    <n v="-28118.289203243883"/>
    <m/>
    <n v="0"/>
    <n v="0"/>
    <n v="0"/>
    <n v="0"/>
    <n v="-3719.4089497025343"/>
    <n v="-523.35856744304419"/>
    <n v="0"/>
    <n v="0"/>
    <m/>
    <m/>
    <m/>
    <n v="989352.68759131501"/>
    <n v="0"/>
    <n v="0"/>
    <n v="-62269.141790000023"/>
    <n v="17407.93624000001"/>
    <n v="0"/>
    <n v="0"/>
    <n v="-44557.705046117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199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3.6970000000000001"/>
    <n v="-3.6970000000000001"/>
    <n v="-3.6970000000000001"/>
    <n v="-3.6970000000000001"/>
    <m/>
    <n v="522.37"/>
    <n v="144.41999999999999"/>
    <m/>
    <n v="-2465.1226299999998"/>
    <n v="-2465.1226299999998"/>
    <n v="-2409.4827800000003"/>
    <n v="0"/>
    <n v="-226.99940618347671"/>
    <n v="0"/>
    <n v="0"/>
    <n v="0"/>
    <n v="-376.95962684406743"/>
    <n v="-1227.0609864312403"/>
    <n v="-533.92748196190666"/>
    <n v="0"/>
    <n v="0"/>
    <n v="0"/>
    <n v="0"/>
    <n v="0"/>
    <n v="-35.057747649043876"/>
    <m/>
    <n v="-5.3785996382044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9.737324960438052"/>
    <n v="0"/>
    <n v="0"/>
    <n v="0"/>
    <n v="-579.08000000000004"/>
    <n v="0"/>
    <m/>
    <m/>
    <m/>
    <m/>
    <m/>
    <m/>
    <m/>
    <m/>
    <m/>
    <n v="-593.66480692234472"/>
    <m/>
    <m/>
    <m/>
    <m/>
    <m/>
    <m/>
    <m/>
    <m/>
    <m/>
    <m/>
    <m/>
    <m/>
    <n v="-2411.4380000000001"/>
    <n v="53.654629999999543"/>
    <m/>
    <m/>
    <m/>
    <m/>
    <n v="77.230329999999952"/>
    <n v="-21.590480000000014"/>
    <n v="31"/>
    <n v="0.35483345896750507"/>
    <n v="0"/>
    <n v="0"/>
    <n v="0"/>
    <n v="0"/>
    <n v="0"/>
    <n v="0"/>
    <n v="0"/>
    <n v="-15.776269888844581"/>
    <n v="0"/>
    <n v="0"/>
    <n v="-21.589712496663083"/>
    <n v="0"/>
    <n v="0"/>
    <n v="0"/>
    <n v="-2.4155184267279637"/>
    <n v="0"/>
    <n v="34.874171889594038"/>
    <m/>
    <n v="0"/>
    <n v="0"/>
    <n v="0"/>
    <n v="0"/>
    <n v="4.6130582875097623"/>
    <n v="0.64910409409953651"/>
    <n v="0"/>
    <n v="0"/>
    <m/>
    <m/>
    <m/>
    <n v="-1227.0609864312403"/>
    <n v="0"/>
    <n v="0"/>
    <n v="77.230329999999867"/>
    <n v="-21.590480000000071"/>
    <n v="0"/>
    <n v="0"/>
    <n v="55.263428494962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0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6.7140000000000004"/>
    <n v="6.7140000000000004"/>
    <n v="6.7140000000000004"/>
    <n v="6.7140000000000004"/>
    <m/>
    <n v="522.37"/>
    <n v="144.41999999999999"/>
    <m/>
    <n v="4476.8280600000007"/>
    <n v="4476.8280600000007"/>
    <n v="4375.7823600000002"/>
    <n v="0"/>
    <n v="412.24614907110163"/>
    <n v="0"/>
    <n v="0"/>
    <n v="0"/>
    <n v="684.58396933488473"/>
    <n v="2228.425064349296"/>
    <n v="969.64812385508299"/>
    <n v="0"/>
    <n v="0"/>
    <n v="0"/>
    <n v="0"/>
    <n v="0"/>
    <n v="63.667221454065626"/>
    <m/>
    <n v="9.7678977470665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48698939258347"/>
    <n v="0"/>
    <n v="1.86"/>
    <n v="8.61"/>
    <n v="5012.92"/>
    <n v="70"/>
    <m/>
    <m/>
    <m/>
    <m/>
    <m/>
    <m/>
    <m/>
    <m/>
    <m/>
    <n v="1078.1351132476664"/>
    <m/>
    <m/>
    <m/>
    <m/>
    <m/>
    <m/>
    <m/>
    <m/>
    <m/>
    <m/>
    <m/>
    <m/>
    <n v="4373.1754000000001"/>
    <n v="-103.68266000000131"/>
    <m/>
    <m/>
    <m/>
    <m/>
    <n v="-140.25545999999991"/>
    <n v="39.209760000000024"/>
    <n v="31"/>
    <n v="-0.64440136421671923"/>
    <n v="0"/>
    <n v="0"/>
    <n v="0"/>
    <n v="0"/>
    <n v="0"/>
    <n v="0"/>
    <n v="0"/>
    <n v="28.650764412686613"/>
    <n v="0"/>
    <n v="0"/>
    <n v="39.208366162454922"/>
    <n v="0"/>
    <n v="0"/>
    <n v="0"/>
    <n v="4.3867434993377259"/>
    <n v="0"/>
    <n v="-63.333835560382568"/>
    <m/>
    <n v="0"/>
    <n v="0"/>
    <n v="0"/>
    <n v="0"/>
    <n v="-8.3776233006060465"/>
    <n v="-1.1788165777074084"/>
    <n v="0"/>
    <n v="0"/>
    <m/>
    <m/>
    <m/>
    <n v="2228.425064349296"/>
    <n v="0"/>
    <n v="0"/>
    <n v="-140.25546000000031"/>
    <n v="39.209760000000074"/>
    <n v="0"/>
    <n v="0"/>
    <n v="-100.3620932959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1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15.54"/>
    <n v="15.54"/>
    <n v="15.54"/>
    <n v="15.54"/>
    <m/>
    <n v="451.48"/>
    <n v="144.41999999999999"/>
    <m/>
    <n v="9260.2860000000001"/>
    <n v="9260.2860000000001"/>
    <n v="9192.5315999999984"/>
    <n v="0"/>
    <n v="0"/>
    <n v="0"/>
    <n v="0"/>
    <n v="0"/>
    <n v="1584.5151747786874"/>
    <n v="5157.8381739630704"/>
    <n v="2244.3151392177519"/>
    <n v="0"/>
    <n v="0"/>
    <n v="0"/>
    <n v="0"/>
    <n v="0"/>
    <n v="0"/>
    <m/>
    <n v="22.608449655855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1.10035972009933"/>
    <n v="0"/>
    <n v="0.94"/>
    <n v="4.0599999999999996"/>
    <n v="389"/>
    <n v="7"/>
    <m/>
    <m/>
    <m/>
    <m/>
    <m/>
    <m/>
    <m/>
    <n v="5975.1299999999992"/>
    <m/>
    <n v="2495.4154989378512"/>
    <m/>
    <m/>
    <m/>
    <m/>
    <m/>
    <m/>
    <m/>
    <m/>
    <m/>
    <m/>
    <m/>
    <m/>
    <n v="3217.4015999999997"/>
    <n v="-23.806200000000899"/>
    <m/>
    <m/>
    <m/>
    <m/>
    <n v="-158.50800000000069"/>
    <n v="90.753600000000048"/>
    <n v="31"/>
    <n v="164.48943602916825"/>
    <n v="0"/>
    <n v="0"/>
    <n v="0"/>
    <n v="0"/>
    <n v="0"/>
    <n v="0"/>
    <n v="0"/>
    <n v="66.314101723733984"/>
    <n v="0"/>
    <n v="0"/>
    <n v="90.75037387020393"/>
    <n v="0"/>
    <n v="0"/>
    <n v="0"/>
    <n v="10.153409886760244"/>
    <n v="0"/>
    <n v="0"/>
    <m/>
    <n v="0"/>
    <n v="0"/>
    <n v="0"/>
    <n v="0"/>
    <n v="0"/>
    <n v="-2.7284494515301034"/>
    <n v="0"/>
    <n v="0"/>
    <m/>
    <m/>
    <m/>
    <n v="5157.8381739630704"/>
    <n v="0"/>
    <n v="0"/>
    <n v="-158.50800000000072"/>
    <n v="90.753600000000006"/>
    <n v="0"/>
    <n v="0"/>
    <n v="-232.29474677081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2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35.03"/>
    <n v="35.03"/>
    <n v="35.03"/>
    <n v="35.03"/>
    <m/>
    <n v="451.48"/>
    <n v="144.41999999999999"/>
    <m/>
    <n v="20874.377"/>
    <n v="20874.377"/>
    <n v="20721.646199999999"/>
    <n v="0"/>
    <n v="0"/>
    <n v="0"/>
    <n v="0"/>
    <n v="0"/>
    <n v="3571.7867807269899"/>
    <n v="11626.709860613022"/>
    <n v="5059.0964817759241"/>
    <n v="0"/>
    <n v="0"/>
    <n v="0"/>
    <n v="0"/>
    <n v="0"/>
    <n v="0"/>
    <m/>
    <n v="50.9635773130384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6.02610045013387"/>
    <n v="0"/>
    <n v="3.52"/>
    <n v="16.309999999999999"/>
    <n v="1504.4"/>
    <n v="38"/>
    <m/>
    <m/>
    <m/>
    <m/>
    <m/>
    <m/>
    <m/>
    <n v="8288.4483"/>
    <m/>
    <n v="5625.1225822260576"/>
    <m/>
    <m/>
    <m/>
    <m/>
    <m/>
    <m/>
    <m/>
    <m/>
    <m/>
    <m/>
    <m/>
    <m/>
    <n v="12433.197899999999"/>
    <n v="-91.458300000002055"/>
    <m/>
    <m/>
    <m/>
    <m/>
    <n v="-357.30600000000163"/>
    <n v="204.57520000000014"/>
    <n v="31"/>
    <n v="370.78924994220142"/>
    <n v="0"/>
    <n v="0"/>
    <n v="0"/>
    <n v="0"/>
    <n v="0"/>
    <n v="0"/>
    <n v="0"/>
    <n v="149.48410446476237"/>
    <n v="0"/>
    <n v="0"/>
    <n v="204.56792771385153"/>
    <n v="0"/>
    <n v="0"/>
    <n v="0"/>
    <n v="22.887641462883607"/>
    <n v="0"/>
    <n v="0"/>
    <m/>
    <n v="0"/>
    <n v="0"/>
    <n v="0"/>
    <n v="0"/>
    <n v="0"/>
    <n v="-6.1504236992985568"/>
    <n v="0"/>
    <n v="0"/>
    <m/>
    <m/>
    <m/>
    <n v="11626.709860613022"/>
    <n v="0"/>
    <n v="0"/>
    <n v="-357.30600000000231"/>
    <n v="204.57520000000022"/>
    <n v="0"/>
    <n v="0"/>
    <n v="-523.634812058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3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46.091999999999999"/>
    <n v="46.091999999999999"/>
    <n v="46.091999999999999"/>
    <n v="46.091999999999999"/>
    <m/>
    <n v="451.48"/>
    <n v="144.41999999999999"/>
    <m/>
    <n v="27466.2228"/>
    <n v="27466.2228"/>
    <n v="27265.261679999996"/>
    <n v="0"/>
    <n v="0"/>
    <n v="0"/>
    <n v="0"/>
    <n v="0"/>
    <n v="4699.7087153088332"/>
    <n v="15298.267510573092"/>
    <n v="6656.69069477636"/>
    <n v="0"/>
    <n v="0"/>
    <n v="0"/>
    <n v="0"/>
    <n v="0"/>
    <n v="0"/>
    <m/>
    <n v="67.0571854271358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4.76948392656493"/>
    <n v="0"/>
    <n v="5.71"/>
    <n v="26.91"/>
    <n v="5212.18"/>
    <n v="201"/>
    <m/>
    <m/>
    <m/>
    <m/>
    <m/>
    <m/>
    <m/>
    <n v="2726.3417999999992"/>
    <m/>
    <n v="7401.4601787029251"/>
    <m/>
    <m/>
    <m/>
    <m/>
    <m/>
    <m/>
    <m/>
    <m/>
    <m/>
    <m/>
    <m/>
    <m/>
    <n v="24537.855100000001"/>
    <n v="-182.2363399999922"/>
    <m/>
    <m/>
    <m/>
    <m/>
    <n v="-470.13840000000209"/>
    <n v="269.17728000000017"/>
    <n v="31"/>
    <n v="487.87947782859555"/>
    <n v="0"/>
    <n v="0"/>
    <n v="0"/>
    <n v="0"/>
    <n v="0"/>
    <n v="0"/>
    <n v="0"/>
    <n v="196.68916194661142"/>
    <n v="0"/>
    <n v="0"/>
    <n v="269.16771122428872"/>
    <n v="0"/>
    <n v="0"/>
    <n v="0"/>
    <n v="30.115248938259469"/>
    <n v="0"/>
    <n v="0"/>
    <m/>
    <n v="0"/>
    <n v="0"/>
    <n v="0"/>
    <n v="0"/>
    <n v="0"/>
    <n v="-8.0926442805614869"/>
    <n v="0"/>
    <n v="0"/>
    <m/>
    <m/>
    <m/>
    <n v="15298.267510573092"/>
    <n v="0"/>
    <n v="0"/>
    <n v="-470.13840000000346"/>
    <n v="269.17727999999988"/>
    <n v="0"/>
    <n v="0"/>
    <n v="-688.99160026773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4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30.530999999999999"/>
    <n v="30.530999999999999"/>
    <n v="30.530999999999999"/>
    <n v="30.530999999999999"/>
    <m/>
    <n v="451.48"/>
    <n v="144.41999999999999"/>
    <m/>
    <n v="18193.422899999998"/>
    <n v="18193.422899999998"/>
    <n v="18060.307739999997"/>
    <n v="0"/>
    <n v="0"/>
    <n v="0"/>
    <n v="0"/>
    <n v="0"/>
    <n v="3113.0523038074716"/>
    <n v="10133.459285023584"/>
    <n v="4409.3426972623674"/>
    <n v="0"/>
    <n v="0"/>
    <n v="0"/>
    <n v="0"/>
    <n v="0"/>
    <n v="0"/>
    <m/>
    <n v="44.418183812285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32979939603302"/>
    <n v="0"/>
    <n v="3.16"/>
    <n v="14.81"/>
    <n v="5354.88"/>
    <n v="273"/>
    <m/>
    <m/>
    <m/>
    <m/>
    <m/>
    <m/>
    <m/>
    <m/>
    <m/>
    <n v="4902.6724966584006"/>
    <m/>
    <m/>
    <m/>
    <m/>
    <m/>
    <m/>
    <m/>
    <m/>
    <m/>
    <m/>
    <m/>
    <m/>
    <n v="18059.716199999999"/>
    <n v="-133.73670000000129"/>
    <m/>
    <m/>
    <m/>
    <m/>
    <n v="-311.41620000000137"/>
    <n v="178.30104000000009"/>
    <n v="31"/>
    <n v="323.16775877776854"/>
    <n v="0"/>
    <n v="0"/>
    <n v="0"/>
    <n v="0"/>
    <n v="0"/>
    <n v="0"/>
    <n v="0"/>
    <n v="130.28544657189968"/>
    <n v="0"/>
    <n v="0"/>
    <n v="178.29470171371941"/>
    <n v="0"/>
    <n v="0"/>
    <n v="0"/>
    <n v="19.948118227327939"/>
    <n v="0"/>
    <n v="0"/>
    <m/>
    <n v="0"/>
    <n v="0"/>
    <n v="0"/>
    <n v="0"/>
    <n v="0"/>
    <n v="-5.3605077351779684"/>
    <n v="0"/>
    <n v="0"/>
    <m/>
    <m/>
    <m/>
    <n v="10133.459285023584"/>
    <n v="0"/>
    <n v="0"/>
    <n v="-311.41620000000148"/>
    <n v="178.30103999999938"/>
    <n v="0"/>
    <n v="0"/>
    <n v="-456.382941676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5"/>
    <s v="Regular"/>
    <s v="Convencional"/>
    <s v="B3"/>
    <s v="Industrial"/>
    <s v="Não se aplica"/>
    <s v="Não se aplica"/>
    <s v="Não se aplica"/>
    <s v="Não se aplica"/>
    <s v="CATIVO"/>
    <x v="4"/>
    <n v="0"/>
    <n v="0"/>
    <n v="375.02499999999998"/>
    <n v="375.02499999999998"/>
    <n v="375.02499999999998"/>
    <n v="375.02499999999998"/>
    <m/>
    <n v="522.37"/>
    <n v="144.41999999999999"/>
    <m/>
    <n v="250062.91975"/>
    <n v="250062.91975"/>
    <n v="244418.79349999997"/>
    <n v="0"/>
    <n v="23026.90081253945"/>
    <n v="0"/>
    <n v="0"/>
    <n v="0"/>
    <n v="38238.919139084763"/>
    <n v="124473.50458111329"/>
    <n v="54161.794407023008"/>
    <n v="0"/>
    <n v="0"/>
    <n v="0"/>
    <n v="0"/>
    <n v="0"/>
    <n v="3556.2704387564727"/>
    <m/>
    <n v="545.60706770831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59.7755729749197"/>
    <n v="0"/>
    <n v="28.26"/>
    <n v="131.72"/>
    <n v="76611"/>
    <n v="559"/>
    <m/>
    <m/>
    <m/>
    <m/>
    <m/>
    <m/>
    <m/>
    <m/>
    <m/>
    <n v="60221.569979997927"/>
    <m/>
    <m/>
    <m/>
    <m/>
    <m/>
    <m/>
    <m/>
    <m/>
    <m/>
    <m/>
    <m/>
    <m/>
    <n v="244422.05219999998"/>
    <n v="-5640.8975500000524"/>
    <m/>
    <m/>
    <m/>
    <m/>
    <n v="-7834.2722499999945"/>
    <n v="2190.1460000000011"/>
    <n v="31"/>
    <n v="-35.994432769628474"/>
    <n v="0"/>
    <n v="0"/>
    <n v="0"/>
    <n v="0"/>
    <n v="0"/>
    <n v="0"/>
    <n v="0"/>
    <n v="1600.3504503824588"/>
    <n v="0"/>
    <n v="0"/>
    <n v="2190.0681441874622"/>
    <n v="0"/>
    <n v="0"/>
    <n v="0"/>
    <n v="245.03105165908983"/>
    <n v="0"/>
    <n v="-3537.6484481728439"/>
    <m/>
    <n v="0"/>
    <n v="0"/>
    <n v="0"/>
    <n v="0"/>
    <n v="-467.95027976017036"/>
    <n v="-65.845351065642035"/>
    <n v="0"/>
    <n v="0"/>
    <m/>
    <m/>
    <m/>
    <n v="124473.50458111329"/>
    <n v="0"/>
    <n v="0"/>
    <n v="-7834.2722500000091"/>
    <n v="2190.1460000000006"/>
    <n v="0"/>
    <n v="0"/>
    <n v="-5605.9419181290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6"/>
    <s v="Refaturamento - Regular"/>
    <s v="Convencional"/>
    <s v="B3"/>
    <s v="Industrial"/>
    <s v="Não se aplica"/>
    <s v="Não se aplica"/>
    <s v="Não se aplica"/>
    <s v="Não se aplica"/>
    <s v="CATIVO"/>
    <x v="4"/>
    <n v="0"/>
    <n v="0"/>
    <n v="-0.56399999999999995"/>
    <n v="-0.56399999999999995"/>
    <n v="-0.56399999999999995"/>
    <n v="-0.56399999999999995"/>
    <m/>
    <n v="522.37"/>
    <n v="144.41999999999999"/>
    <m/>
    <n v="-376.06955999999997"/>
    <n v="-376.06955999999997"/>
    <n v="-367.58136000000002"/>
    <n v="0"/>
    <n v="-34.63015014538297"/>
    <n v="0"/>
    <n v="0"/>
    <n v="0"/>
    <n v="-57.507500551813365"/>
    <n v="-187.19567117858247"/>
    <n v="-81.453908527594095"/>
    <n v="0"/>
    <n v="0"/>
    <n v="0"/>
    <n v="0"/>
    <n v="0"/>
    <n v="-5.3482741882771831"/>
    <m/>
    <n v="-0.82053832727815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1132949087603627"/>
    <n v="0"/>
    <n v="0"/>
    <n v="0"/>
    <n v="-124.3"/>
    <n v="0"/>
    <m/>
    <m/>
    <m/>
    <m/>
    <m/>
    <m/>
    <m/>
    <m/>
    <m/>
    <n v="-90.567203436354461"/>
    <m/>
    <m/>
    <m/>
    <m/>
    <m/>
    <m/>
    <m/>
    <m/>
    <m/>
    <m/>
    <m/>
    <m/>
    <n v="-364.97440000000006"/>
    <n v="11.065159999999935"/>
    <m/>
    <m/>
    <m/>
    <m/>
    <n v="11.781959999999991"/>
    <n v="-3.2937600000000016"/>
    <n v="31"/>
    <n v="5.4132018084288802E-2"/>
    <n v="0"/>
    <n v="0"/>
    <n v="0"/>
    <n v="0"/>
    <n v="0"/>
    <n v="0"/>
    <n v="0"/>
    <n v="-2.4067666262667942"/>
    <n v="0"/>
    <n v="0"/>
    <n v="-3.2936429126637705"/>
    <n v="0"/>
    <n v="0"/>
    <n v="0"/>
    <n v="-0.36850213488627759"/>
    <n v="0"/>
    <n v="5.3202685814798549"/>
    <m/>
    <n v="0"/>
    <n v="0"/>
    <n v="0"/>
    <n v="0"/>
    <n v="0.70375030407235784"/>
    <n v="9.9024806348969041E-2"/>
    <n v="0"/>
    <n v="0"/>
    <m/>
    <m/>
    <m/>
    <n v="-187.19567117858247"/>
    <n v="0"/>
    <n v="0"/>
    <n v="11.78195999999997"/>
    <n v="-3.293760000000006"/>
    <n v="0"/>
    <n v="0"/>
    <n v="8.4307745932265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9"/>
    <n v="0.9"/>
    <n v="0.9"/>
    <n v="0.9"/>
    <m/>
    <n v="522.37"/>
    <n v="144.41999999999999"/>
    <m/>
    <n v="600.11099999999999"/>
    <n v="600.11099999999999"/>
    <n v="586.56600000000003"/>
    <n v="0"/>
    <n v="55.260877891568576"/>
    <n v="0"/>
    <n v="0"/>
    <n v="0"/>
    <n v="91.7672881145958"/>
    <n v="298.71649656156779"/>
    <n v="129.97964126743739"/>
    <n v="0"/>
    <n v="0"/>
    <n v="0"/>
    <n v="0"/>
    <n v="0"/>
    <n v="8.5344800876763571"/>
    <m/>
    <n v="1.309369671188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4249187568143"/>
    <n v="0"/>
    <n v="0"/>
    <n v="0"/>
    <n v="2430.6"/>
    <n v="9"/>
    <m/>
    <m/>
    <m/>
    <m/>
    <m/>
    <m/>
    <m/>
    <m/>
    <m/>
    <n v="144.52213314311882"/>
    <m/>
    <m/>
    <m/>
    <m/>
    <m/>
    <m/>
    <m/>
    <m/>
    <m/>
    <m/>
    <m/>
    <m/>
    <n v="586.56600000000003"/>
    <n v="-13.574999999999932"/>
    <m/>
    <m/>
    <m/>
    <m/>
    <n v="-18.800999999999988"/>
    <n v="5.2560000000000029"/>
    <n v="31"/>
    <n v="-8.638087992187593E-2"/>
    <n v="0"/>
    <n v="0"/>
    <n v="0"/>
    <n v="0"/>
    <n v="0"/>
    <n v="0"/>
    <n v="0"/>
    <n v="3.8405850419151051"/>
    <n v="0"/>
    <n v="0"/>
    <n v="5.2558131585060153"/>
    <n v="0"/>
    <n v="0"/>
    <n v="0"/>
    <n v="0.58803532162704109"/>
    <n v="0"/>
    <n v="-8.4897902895955184"/>
    <m/>
    <n v="0"/>
    <n v="0"/>
    <n v="0"/>
    <n v="0"/>
    <n v="-1.1230058043707842"/>
    <n v="-0.15801830800367389"/>
    <n v="0"/>
    <n v="0"/>
    <m/>
    <m/>
    <m/>
    <n v="298.71649656156779"/>
    <n v="0"/>
    <n v="0"/>
    <n v="-18.800999999999988"/>
    <n v="5.2560000000000286"/>
    <n v="0"/>
    <n v="0"/>
    <n v="-13.45336371259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8"/>
    <s v="Regular"/>
    <s v="Azul"/>
    <s v="A4"/>
    <s v="Industrial"/>
    <s v="Não se aplica"/>
    <s v="Não se aplica"/>
    <s v="Não se aplica"/>
    <s v="Ponta"/>
    <s v="CATIVO"/>
    <x v="4"/>
    <n v="965"/>
    <n v="965"/>
    <n v="52.65"/>
    <n v="52.65"/>
    <n v="52.65"/>
    <n v="52.65"/>
    <n v="111"/>
    <n v="69.64"/>
    <n v="144.41999999999999"/>
    <n v="107115"/>
    <n v="11270.258999999998"/>
    <n v="118385.25900000001"/>
    <n v="115995.34599999999"/>
    <n v="0"/>
    <n v="2812.5023802913834"/>
    <n v="0"/>
    <n v="0"/>
    <n v="0"/>
    <n v="30151.724846390414"/>
    <n v="76959.787697114778"/>
    <n v="7603.8090141450875"/>
    <n v="0"/>
    <n v="0"/>
    <n v="0"/>
    <n v="0"/>
    <n v="0"/>
    <n v="499.26708512906686"/>
    <m/>
    <n v="26.2031259616499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.46241611427558"/>
    <n v="0"/>
    <n v="0"/>
    <n v="0"/>
    <n v="0"/>
    <n v="0"/>
    <m/>
    <m/>
    <m/>
    <m/>
    <m/>
    <m/>
    <m/>
    <m/>
    <m/>
    <n v="7932.2714302593631"/>
    <m/>
    <m/>
    <m/>
    <m/>
    <m/>
    <m/>
    <m/>
    <m/>
    <m/>
    <m/>
    <m/>
    <m/>
    <n v="115995.34599999999"/>
    <n v="-2389.9429999999993"/>
    <m/>
    <m/>
    <m/>
    <m/>
    <n v="-2697.3890000000056"/>
    <n v="307.47600000000017"/>
    <n v="31"/>
    <n v="1081.6911230974656"/>
    <n v="0"/>
    <n v="0"/>
    <n v="0"/>
    <n v="0"/>
    <n v="0"/>
    <n v="0"/>
    <n v="0"/>
    <n v="1261.8904384356101"/>
    <n v="0"/>
    <n v="0"/>
    <n v="307.46506977260196"/>
    <n v="0"/>
    <n v="0"/>
    <n v="0"/>
    <n v="13.281596039612339"/>
    <n v="0"/>
    <n v="-432.08787678896215"/>
    <m/>
    <n v="0"/>
    <n v="0"/>
    <n v="0"/>
    <n v="0"/>
    <n v="-65.695839555690839"/>
    <n v="-3.1622648057127236"/>
    <n v="0"/>
    <n v="0"/>
    <m/>
    <m/>
    <n v="76959.787697114778"/>
    <n v="0"/>
    <n v="0"/>
    <n v="0"/>
    <n v="-2697.3890000000101"/>
    <n v="307.47600000000057"/>
    <n v="0"/>
    <n v="0"/>
    <n v="-3466.0556984675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09"/>
    <s v="Regular"/>
    <s v="Azul"/>
    <s v="A4"/>
    <s v="Industrial"/>
    <s v="Não se aplica"/>
    <s v="Não se aplica"/>
    <s v="Não se aplica"/>
    <s v="Fora ponta"/>
    <s v="CATIVO"/>
    <x v="4"/>
    <n v="3450"/>
    <n v="3450"/>
    <n v="1291.193"/>
    <n v="1291.193"/>
    <n v="1291.193"/>
    <n v="1291.193"/>
    <n v="34.950000000000003"/>
    <n v="69.64"/>
    <n v="144.41999999999999"/>
    <n v="120577.50000000001"/>
    <n v="276392.77357999998"/>
    <n v="396970.27357999998"/>
    <n v="390932.89351999993"/>
    <n v="0"/>
    <n v="68974.04341719985"/>
    <n v="0"/>
    <n v="0"/>
    <n v="0"/>
    <n v="43710.739314457649"/>
    <n v="76882.587574446894"/>
    <n v="186476.44771891809"/>
    <n v="0"/>
    <n v="0"/>
    <n v="0"/>
    <n v="0"/>
    <n v="0"/>
    <n v="12244.067719830109"/>
    <m/>
    <n v="642.60765089839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55.2397426370344"/>
    <n v="0"/>
    <n v="0"/>
    <n v="0"/>
    <n v="0"/>
    <n v="0"/>
    <m/>
    <m/>
    <m/>
    <m/>
    <m/>
    <m/>
    <m/>
    <m/>
    <m/>
    <n v="194531.68746155512"/>
    <m/>
    <m/>
    <m/>
    <m/>
    <m/>
    <m/>
    <m/>
    <m/>
    <m/>
    <m/>
    <m/>
    <m/>
    <n v="390932.26159999997"/>
    <n v="-6038.0419800000382"/>
    <m/>
    <m/>
    <m/>
    <m/>
    <n v="-13577.947180000017"/>
    <n v="7540.5671200000043"/>
    <n v="31"/>
    <n v="-2589.8695482125622"/>
    <n v="0"/>
    <n v="0"/>
    <n v="0"/>
    <n v="0"/>
    <n v="0"/>
    <n v="0"/>
    <n v="0"/>
    <n v="1829.3535205321605"/>
    <n v="0"/>
    <n v="0"/>
    <n v="7540.2990661898511"/>
    <n v="0"/>
    <n v="0"/>
    <n v="0"/>
    <n v="325.71897122839891"/>
    <n v="0"/>
    <n v="-10596.559200280542"/>
    <m/>
    <n v="0"/>
    <n v="0"/>
    <n v="0"/>
    <n v="0"/>
    <n v="-1611.1302595143625"/>
    <n v="-77.551646368141178"/>
    <n v="0"/>
    <n v="0"/>
    <m/>
    <m/>
    <n v="76882.587574446894"/>
    <n v="0"/>
    <n v="0"/>
    <n v="0"/>
    <n v="-13577.947180000017"/>
    <n v="7540.5671199999924"/>
    <n v="0"/>
    <n v="0"/>
    <n v="-3462.578818747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0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1059.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11"/>
    <s v="Regular"/>
    <s v="Verde"/>
    <s v="A4"/>
    <s v="Industrial"/>
    <s v="Não se aplica"/>
    <s v="Não se aplica"/>
    <s v="Não se aplica"/>
    <s v="Ponta"/>
    <s v="CATIVO"/>
    <x v="4"/>
    <n v="0"/>
    <n v="0"/>
    <n v="70.064999999999998"/>
    <n v="70.064999999999998"/>
    <n v="70.064999999999998"/>
    <n v="70.064999999999998"/>
    <m/>
    <n v="2740.31"/>
    <n v="144.41999999999999"/>
    <m/>
    <n v="202118.60744999998"/>
    <n v="202118.60744999998"/>
    <n v="198033.11729999998"/>
    <n v="0"/>
    <n v="3742.7916291569945"/>
    <n v="0"/>
    <n v="0"/>
    <n v="0"/>
    <n v="52735.320010175994"/>
    <n v="134385.20011148101"/>
    <n v="10118.915072670001"/>
    <n v="0"/>
    <n v="0"/>
    <n v="0"/>
    <n v="0"/>
    <n v="0"/>
    <n v="664.40927482560437"/>
    <m/>
    <n v="34.870313779734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.10767682899751"/>
    <n v="0"/>
    <n v="0"/>
    <n v="0"/>
    <n v="0"/>
    <n v="0"/>
    <m/>
    <m/>
    <m/>
    <m/>
    <m/>
    <m/>
    <m/>
    <m/>
    <m/>
    <n v="10556.022749498998"/>
    <m/>
    <m/>
    <m/>
    <m/>
    <m/>
    <m/>
    <m/>
    <m/>
    <m/>
    <m/>
    <m/>
    <m/>
    <n v="198047.24939999997"/>
    <n v="-4071.3880500000378"/>
    <m/>
    <m/>
    <m/>
    <m/>
    <n v="-4494.6697500000064"/>
    <n v="409.17960000000022"/>
    <n v="31"/>
    <n v="1967.2407161761512"/>
    <n v="0"/>
    <n v="0"/>
    <n v="0"/>
    <n v="0"/>
    <n v="0"/>
    <n v="0"/>
    <n v="0"/>
    <n v="2207.0444204338273"/>
    <n v="0"/>
    <n v="0"/>
    <n v="409.16505438969398"/>
    <n v="0"/>
    <n v="0"/>
    <n v="0"/>
    <n v="17.674739345022601"/>
    <n v="0"/>
    <n v="-575.00925141915741"/>
    <m/>
    <n v="0"/>
    <n v="0"/>
    <n v="0"/>
    <n v="0"/>
    <n v="-87.426001870265509"/>
    <n v="-4.208244702986935"/>
    <n v="0"/>
    <n v="0"/>
    <m/>
    <m/>
    <m/>
    <n v="134385.20011148101"/>
    <n v="0"/>
    <n v="0"/>
    <n v="-4494.6697500000009"/>
    <n v="409.1796000000013"/>
    <n v="0"/>
    <n v="0"/>
    <n v="-6052.3372344693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2"/>
    <s v="Sistema de Compensação"/>
    <s v="Verde"/>
    <s v="A4"/>
    <s v="Industrial"/>
    <s v="Não se aplica"/>
    <s v="Não se aplica"/>
    <s v="Não se aplica"/>
    <s v="Ponta"/>
    <s v="CATIVO"/>
    <x v="4"/>
    <n v="0"/>
    <n v="0"/>
    <n v="0.83"/>
    <n v="0.83"/>
    <n v="0.83"/>
    <n v="0.83"/>
    <m/>
    <n v="2740.31"/>
    <n v="144.41999999999999"/>
    <m/>
    <n v="2394.3258999999998"/>
    <n v="2394.3258999999998"/>
    <n v="2345.9285999999997"/>
    <n v="0"/>
    <n v="44.337644361668531"/>
    <n v="0"/>
    <n v="0"/>
    <n v="0"/>
    <n v="624.71013499530545"/>
    <n v="1591.9462797763397"/>
    <n v="119.87011361330336"/>
    <n v="0"/>
    <n v="0"/>
    <n v="0"/>
    <n v="0"/>
    <n v="0"/>
    <n v="7.8706871919681953"/>
    <m/>
    <n v="0.41307871886361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780399881262813"/>
    <n v="0"/>
    <n v="0"/>
    <n v="0"/>
    <n v="0"/>
    <n v="0"/>
    <m/>
    <m/>
    <m/>
    <m/>
    <m/>
    <m/>
    <m/>
    <m/>
    <m/>
    <n v="125.04815360142965"/>
    <m/>
    <m/>
    <m/>
    <m/>
    <m/>
    <m/>
    <m/>
    <m/>
    <m/>
    <m/>
    <m/>
    <m/>
    <n v="2345.9285999999997"/>
    <n v="-48.427300000000741"/>
    <m/>
    <m/>
    <m/>
    <m/>
    <n v="-53.244500000000073"/>
    <n v="4.8472000000000026"/>
    <n v="31"/>
    <n v="23.304214578265714"/>
    <n v="0"/>
    <n v="0"/>
    <n v="0"/>
    <n v="0"/>
    <n v="0"/>
    <n v="0"/>
    <n v="0"/>
    <n v="26.144963519019143"/>
    <n v="0"/>
    <n v="0"/>
    <n v="4.8470276906222267"/>
    <n v="0"/>
    <n v="0"/>
    <n v="0"/>
    <n v="0.20937748742408857"/>
    <n v="0"/>
    <n v="-6.8116417423521156"/>
    <m/>
    <n v="0"/>
    <n v="0"/>
    <n v="0"/>
    <n v="0"/>
    <n v="-1.035660908475279"/>
    <n v="-4.985146797229939E-2"/>
    <n v="0"/>
    <n v="0"/>
    <m/>
    <m/>
    <m/>
    <n v="1591.9462797763397"/>
    <n v="0"/>
    <n v="0"/>
    <n v="-53.244500000000244"/>
    <n v="4.8472000000000008"/>
    <n v="0"/>
    <n v="0"/>
    <n v="-71.696851560830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3"/>
    <s v="Regular"/>
    <s v="Verde"/>
    <s v="A4"/>
    <s v="Industrial"/>
    <s v="Não se aplica"/>
    <s v="Não se aplica"/>
    <s v="Não se aplica"/>
    <s v="Fora ponta"/>
    <s v="CATIVO"/>
    <x v="4"/>
    <n v="0"/>
    <n v="0"/>
    <n v="4959.33"/>
    <n v="4959.33"/>
    <n v="4959.33"/>
    <n v="4959.33"/>
    <m/>
    <n v="69.64"/>
    <n v="144.41999999999999"/>
    <m/>
    <n v="1061594.1797999998"/>
    <n v="1061594.1797999998"/>
    <n v="1044633.2712"/>
    <n v="0"/>
    <n v="264921.69856885972"/>
    <n v="0"/>
    <n v="0"/>
    <n v="0"/>
    <n v="0"/>
    <n v="0"/>
    <n v="716235.48258537811"/>
    <n v="0"/>
    <n v="0"/>
    <n v="0"/>
    <n v="0"/>
    <n v="0"/>
    <n v="47028.114592462203"/>
    <m/>
    <n v="2468.1851600263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39.288017246159"/>
    <n v="0"/>
    <n v="0"/>
    <n v="0"/>
    <n v="0"/>
    <n v="0"/>
    <m/>
    <m/>
    <m/>
    <m/>
    <m/>
    <m/>
    <m/>
    <m/>
    <m/>
    <n v="747174.77060262428"/>
    <m/>
    <m/>
    <m/>
    <m/>
    <m/>
    <m/>
    <m/>
    <m/>
    <m/>
    <m/>
    <m/>
    <m/>
    <n v="1044633.2712"/>
    <n v="-16960.938599999878"/>
    <m/>
    <m/>
    <m/>
    <m/>
    <n v="-45923.395799999991"/>
    <n v="28962.487200000018"/>
    <n v="31"/>
    <n v="-16973.748728128383"/>
    <n v="0"/>
    <n v="0"/>
    <n v="0"/>
    <n v="0"/>
    <n v="0"/>
    <n v="0"/>
    <n v="0"/>
    <n v="0"/>
    <n v="0"/>
    <n v="0"/>
    <n v="28961.457634859602"/>
    <n v="0"/>
    <n v="0"/>
    <n v="0"/>
    <n v="1251.0506683215717"/>
    <n v="0"/>
    <n v="-40700.215954336221"/>
    <m/>
    <n v="0"/>
    <n v="0"/>
    <n v="0"/>
    <n v="0"/>
    <n v="-6188.1737508779552"/>
    <n v="-297.86732609525734"/>
    <n v="0"/>
    <n v="0"/>
    <m/>
    <m/>
    <m/>
    <n v="0"/>
    <n v="0"/>
    <n v="0"/>
    <n v="-45923.395799999998"/>
    <n v="28962.487200000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4"/>
    <s v="Regular"/>
    <s v="Verde"/>
    <s v="A4"/>
    <s v="Industrial"/>
    <s v="Não se aplica"/>
    <s v="Não se aplica"/>
    <s v="Não se aplica"/>
    <s v="Não se aplica"/>
    <s v="CATIVO"/>
    <x v="4"/>
    <n v="21350"/>
    <n v="21350"/>
    <n v="0"/>
    <n v="0"/>
    <n v="0"/>
    <n v="0"/>
    <n v="34.950000000000003"/>
    <m/>
    <m/>
    <n v="746182.50000000012"/>
    <m/>
    <n v="746182.50000000012"/>
    <n v="736147.99999999988"/>
    <n v="0"/>
    <n v="0"/>
    <n v="0"/>
    <n v="0"/>
    <n v="0"/>
    <n v="270499.79256917996"/>
    <n v="475780.650641866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9.72"/>
    <n v="829.52"/>
    <n v="840164.77"/>
    <n v="70"/>
    <m/>
    <m/>
    <m/>
    <m/>
    <m/>
    <m/>
    <m/>
    <m/>
    <m/>
    <n v="0"/>
    <m/>
    <m/>
    <m/>
    <m/>
    <m/>
    <m/>
    <m/>
    <m/>
    <m/>
    <m/>
    <m/>
    <m/>
    <n v="736147.99999999988"/>
    <n v="-10034.530000000261"/>
    <m/>
    <m/>
    <m/>
    <m/>
    <n v="-10034.500000000127"/>
    <n v="0"/>
    <n v="31"/>
    <n v="11320.781931409147"/>
    <n v="0"/>
    <n v="0"/>
    <n v="0"/>
    <n v="0"/>
    <m/>
    <m/>
    <m/>
    <n v="11320.7819314091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5780.65064186696"/>
    <m/>
    <n v="0"/>
    <n v="0"/>
    <n v="-10034.500000000233"/>
    <m/>
    <n v="0"/>
    <m/>
    <n v="-21427.84283485630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15"/>
    <s v="Sistema de Compensação"/>
    <s v="Verde"/>
    <s v="A4"/>
    <s v="Industrial"/>
    <s v="Não se aplica"/>
    <s v="Não se aplica"/>
    <s v="Não se aplica"/>
    <s v="Não se aplica"/>
    <s v="CATIVO"/>
    <x v="4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430.62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1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16"/>
    <s v="Regular"/>
    <s v="Convencional"/>
    <s v="B3"/>
    <s v="Comercial"/>
    <s v="Não se aplica"/>
    <s v="Não se aplica"/>
    <s v="Não se aplica"/>
    <s v="Não se aplica"/>
    <s v="CATIVO"/>
    <x v="4"/>
    <n v="0"/>
    <n v="0"/>
    <n v="847.41600000000005"/>
    <n v="847.41600000000005"/>
    <n v="847.41600000000005"/>
    <n v="847.41600000000005"/>
    <m/>
    <n v="522.37"/>
    <n v="144.41999999999999"/>
    <m/>
    <n v="565048.51464000007"/>
    <n v="565048.51464000007"/>
    <n v="552294.90384000004"/>
    <n v="0"/>
    <n v="52032.168999290538"/>
    <n v="0"/>
    <n v="0"/>
    <n v="0"/>
    <n v="86405.631361020351"/>
    <n v="281263.48738913063"/>
    <n v="122385.36409365192"/>
    <n v="0"/>
    <n v="0"/>
    <n v="0"/>
    <n v="0"/>
    <n v="0"/>
    <n v="8035.838864420386"/>
    <m/>
    <n v="1232.867565866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92.822550358283"/>
    <n v="0"/>
    <n v="256.02"/>
    <n v="1183.54"/>
    <n v="173407.4"/>
    <n v="1215"/>
    <m/>
    <m/>
    <m/>
    <m/>
    <m/>
    <m/>
    <m/>
    <m/>
    <m/>
    <n v="136078.18664401022"/>
    <m/>
    <m/>
    <m/>
    <m/>
    <m/>
    <m/>
    <m/>
    <m/>
    <m/>
    <m/>
    <m/>
    <m/>
    <n v="552297.51080000005"/>
    <n v="-12751.033840000047"/>
    <m/>
    <m/>
    <m/>
    <m/>
    <n v="-17702.520239999991"/>
    <n v="4948.9094400000031"/>
    <n v="31"/>
    <n v="-81.333933044224977"/>
    <n v="0"/>
    <n v="0"/>
    <n v="0"/>
    <n v="0"/>
    <n v="0"/>
    <n v="0"/>
    <n v="0"/>
    <n v="3616.1924598661426"/>
    <n v="0"/>
    <n v="0"/>
    <n v="4948.7335150317085"/>
    <n v="0"/>
    <n v="0"/>
    <n v="0"/>
    <n v="553.67837790211161"/>
    <n v="0"/>
    <n v="-7993.7601422754233"/>
    <m/>
    <n v="0"/>
    <n v="0"/>
    <n v="0"/>
    <n v="0"/>
    <n v="-1057.3923185740796"/>
    <n v="-148.78582499471258"/>
    <n v="0"/>
    <n v="0"/>
    <m/>
    <m/>
    <m/>
    <n v="281263.48738913063"/>
    <n v="0"/>
    <n v="0"/>
    <n v="-17702.520239999983"/>
    <n v="4948.9094400000031"/>
    <n v="0"/>
    <n v="0"/>
    <n v="-12667.3285154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7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0.60499999999999998"/>
    <n v="-0.60499999999999998"/>
    <n v="-0.60499999999999998"/>
    <n v="-0.60499999999999998"/>
    <m/>
    <n v="522.37"/>
    <n v="144.41999999999999"/>
    <m/>
    <n v="-403.40794999999997"/>
    <n v="-403.40794999999997"/>
    <n v="-394.30269999999996"/>
    <n v="0"/>
    <n v="-37.147590138221098"/>
    <n v="0"/>
    <n v="0"/>
    <n v="0"/>
    <n v="-61.688010343700512"/>
    <n v="-200.8038671330539"/>
    <n v="-87.375203296444028"/>
    <n v="0"/>
    <n v="0"/>
    <n v="0"/>
    <n v="0"/>
    <n v="0"/>
    <n v="-5.737067170049106"/>
    <m/>
    <n v="-0.8801873900767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775786205319184"/>
    <n v="0"/>
    <n v="0"/>
    <n v="0"/>
    <n v="-144.13999999999999"/>
    <n v="0"/>
    <m/>
    <m/>
    <m/>
    <m/>
    <m/>
    <m/>
    <m/>
    <m/>
    <m/>
    <n v="-97.150989501763206"/>
    <m/>
    <m/>
    <m/>
    <m/>
    <m/>
    <m/>
    <m/>
    <m/>
    <m/>
    <m/>
    <m/>
    <m/>
    <n v="-397.56139999999999"/>
    <n v="5.8165500000000065"/>
    <m/>
    <m/>
    <m/>
    <m/>
    <n v="12.638449999999992"/>
    <n v="-3.5332000000000021"/>
    <n v="31"/>
    <n v="5.8067147058579849E-2"/>
    <n v="0"/>
    <n v="0"/>
    <n v="0"/>
    <n v="0"/>
    <n v="0"/>
    <n v="0"/>
    <n v="0"/>
    <n v="-2.5817266115095947"/>
    <n v="0"/>
    <n v="0"/>
    <n v="-3.5330744009957016"/>
    <n v="0"/>
    <n v="0"/>
    <n v="0"/>
    <n v="-0.39529041064928805"/>
    <n v="0"/>
    <n v="5.7070256946725415"/>
    <m/>
    <n v="0"/>
    <n v="0"/>
    <n v="0"/>
    <n v="0"/>
    <n v="0.75490945738258208"/>
    <n v="0.10622341815802527"/>
    <n v="0"/>
    <n v="0"/>
    <m/>
    <m/>
    <m/>
    <n v="-200.8038671330539"/>
    <n v="0"/>
    <n v="0"/>
    <n v="12.638449999999978"/>
    <n v="-3.5332000000000079"/>
    <n v="0"/>
    <n v="0"/>
    <n v="9.0436500512448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8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24.210999999999999"/>
    <n v="24.210999999999999"/>
    <n v="24.210999999999999"/>
    <n v="24.210999999999999"/>
    <m/>
    <n v="522.37"/>
    <n v="144.41999999999999"/>
    <m/>
    <n v="16143.652689999999"/>
    <n v="16143.652689999999"/>
    <n v="15779.27714"/>
    <n v="0"/>
    <n v="1486.5790162586297"/>
    <n v="0"/>
    <n v="0"/>
    <n v="0"/>
    <n v="2468.6420139360876"/>
    <n v="8035.8056647245749"/>
    <n v="3496.5967719176961"/>
    <n v="0"/>
    <n v="0"/>
    <n v="0"/>
    <n v="0"/>
    <n v="0"/>
    <n v="229.58699711414695"/>
    <m/>
    <n v="35.2234990101619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1.20918978013674"/>
    <n v="0"/>
    <n v="0.42"/>
    <n v="1.99"/>
    <n v="11830.03"/>
    <n v="41"/>
    <m/>
    <m/>
    <m/>
    <m/>
    <m/>
    <m/>
    <m/>
    <m/>
    <m/>
    <n v="3887.8059616978326"/>
    <m/>
    <m/>
    <m/>
    <m/>
    <m/>
    <m/>
    <m/>
    <m/>
    <m/>
    <m/>
    <m/>
    <m/>
    <n v="15778.625400000001"/>
    <n v="-365.05728999999883"/>
    <m/>
    <m/>
    <m/>
    <m/>
    <n v="-505.76778999999965"/>
    <n v="141.39224000000007"/>
    <n v="31"/>
    <n v="-2.3237416486517759"/>
    <n v="0"/>
    <n v="0"/>
    <n v="0"/>
    <n v="0"/>
    <n v="0"/>
    <n v="0"/>
    <n v="0"/>
    <n v="103.31600494422946"/>
    <n v="0"/>
    <n v="0"/>
    <n v="141.38721375621026"/>
    <n v="0"/>
    <n v="0"/>
    <n v="0"/>
    <n v="15.818803524347004"/>
    <n v="0"/>
    <n v="-228.38479189044119"/>
    <m/>
    <n v="0"/>
    <n v="0"/>
    <n v="0"/>
    <n v="0"/>
    <n v="-30.210103921801164"/>
    <n v="-4.2508680611966128"/>
    <n v="0"/>
    <n v="0"/>
    <m/>
    <m/>
    <m/>
    <n v="8035.8056647245749"/>
    <n v="0"/>
    <n v="0"/>
    <n v="-505.76778999999806"/>
    <n v="141.39224000000013"/>
    <n v="0"/>
    <n v="0"/>
    <n v="-361.91043205072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19"/>
    <s v="Regular"/>
    <s v="Verde"/>
    <s v="A4"/>
    <s v="Comercial"/>
    <s v="Não se aplica"/>
    <s v="Não se aplica"/>
    <s v="Não se aplica"/>
    <s v="Ponta"/>
    <s v="CATIVO"/>
    <x v="4"/>
    <n v="0"/>
    <n v="0"/>
    <n v="9.1140000000000008"/>
    <n v="9.1140000000000008"/>
    <n v="9.1140000000000008"/>
    <n v="9.1140000000000008"/>
    <m/>
    <n v="2740.31"/>
    <n v="144.41999999999999"/>
    <m/>
    <n v="26291.429219999998"/>
    <n v="26291.429219999998"/>
    <n v="25759.991880000001"/>
    <n v="0"/>
    <n v="486.85938640029758"/>
    <n v="0"/>
    <n v="0"/>
    <n v="0"/>
    <n v="6859.7688799364032"/>
    <n v="17480.720956483809"/>
    <n v="1316.2605005682494"/>
    <n v="0"/>
    <n v="0"/>
    <n v="0"/>
    <n v="0"/>
    <n v="0"/>
    <n v="86.425835021202573"/>
    <m/>
    <n v="4.5359029442445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858622231063777"/>
    <n v="0"/>
    <n v="0"/>
    <n v="0"/>
    <n v="0"/>
    <n v="0"/>
    <m/>
    <m/>
    <m/>
    <m/>
    <m/>
    <m/>
    <m/>
    <m/>
    <m/>
    <n v="1373.1191227993131"/>
    <m/>
    <m/>
    <m/>
    <m/>
    <m/>
    <m/>
    <m/>
    <m/>
    <m/>
    <m/>
    <m/>
    <m/>
    <n v="25748.686199999996"/>
    <n v="-542.7730199999969"/>
    <m/>
    <m/>
    <m/>
    <m/>
    <n v="-584.6631000000009"/>
    <n v="53.225760000000037"/>
    <n v="31"/>
    <n v="255.89712248953583"/>
    <n v="0"/>
    <n v="0"/>
    <n v="0"/>
    <n v="0"/>
    <n v="0"/>
    <n v="0"/>
    <n v="0"/>
    <n v="287.09059941245778"/>
    <n v="0"/>
    <n v="0"/>
    <n v="53.223867918470887"/>
    <n v="0"/>
    <n v="0"/>
    <n v="0"/>
    <n v="2.2991161691363189"/>
    <n v="0"/>
    <n v="-74.796750409394122"/>
    <m/>
    <n v="0"/>
    <n v="0"/>
    <n v="0"/>
    <n v="0"/>
    <n v="-11.372305445594804"/>
    <n v="-0.54740515554161062"/>
    <n v="0"/>
    <n v="0"/>
    <m/>
    <m/>
    <m/>
    <n v="17480.720956483809"/>
    <n v="0"/>
    <n v="0"/>
    <n v="-584.66309999999794"/>
    <n v="53.225760000000037"/>
    <n v="0"/>
    <n v="0"/>
    <n v="-787.28325918723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0"/>
    <s v="Regular"/>
    <s v="Verde"/>
    <s v="A4"/>
    <s v="Comercial"/>
    <s v="Não se aplica"/>
    <s v="Não se aplica"/>
    <s v="Não se aplica"/>
    <s v="Fora ponta"/>
    <s v="CATIVO"/>
    <x v="4"/>
    <n v="0"/>
    <n v="0"/>
    <n v="399.072"/>
    <n v="399.072"/>
    <n v="399.072"/>
    <n v="399.072"/>
    <m/>
    <n v="69.64"/>
    <n v="144.41999999999999"/>
    <m/>
    <n v="85425.352320000005"/>
    <n v="85425.352320000005"/>
    <n v="84060.526079999996"/>
    <n v="0"/>
    <n v="21317.966759879258"/>
    <n v="0"/>
    <n v="0"/>
    <n v="0"/>
    <n v="0"/>
    <n v="0"/>
    <n v="57634.705999865306"/>
    <n v="0"/>
    <n v="0"/>
    <n v="0"/>
    <n v="0"/>
    <n v="0"/>
    <n v="3784.3022639435321"/>
    <m/>
    <n v="198.61222951125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9.6515351102789"/>
    <n v="0"/>
    <n v="0"/>
    <n v="0"/>
    <n v="0"/>
    <n v="0"/>
    <m/>
    <m/>
    <m/>
    <m/>
    <m/>
    <m/>
    <m/>
    <m/>
    <m/>
    <n v="60124.357534975585"/>
    <m/>
    <m/>
    <m/>
    <m/>
    <m/>
    <m/>
    <m/>
    <m/>
    <m/>
    <m/>
    <m/>
    <m/>
    <n v="84060.104800000001"/>
    <n v="-1365.2775199999887"/>
    <m/>
    <m/>
    <m/>
    <m/>
    <n v="-3695.406719999999"/>
    <n v="2330.5804800000014"/>
    <n v="31"/>
    <n v="-1365.8594714269129"/>
    <n v="0"/>
    <n v="0"/>
    <n v="0"/>
    <n v="0"/>
    <n v="0"/>
    <n v="0"/>
    <n v="0"/>
    <n v="0"/>
    <n v="0"/>
    <n v="0"/>
    <n v="2330.4976319903508"/>
    <n v="0"/>
    <n v="0"/>
    <n v="0"/>
    <n v="100.67071404976605"/>
    <n v="0"/>
    <n v="-3275.1030041011363"/>
    <m/>
    <n v="0"/>
    <n v="0"/>
    <n v="0"/>
    <n v="0"/>
    <n v="-497.95574706873049"/>
    <n v="-23.969066297158378"/>
    <n v="0"/>
    <n v="0"/>
    <m/>
    <m/>
    <m/>
    <n v="0"/>
    <n v="0"/>
    <n v="0"/>
    <n v="-3695.406719999999"/>
    <n v="2330.58047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1"/>
    <s v="Regular"/>
    <s v="Verde"/>
    <s v="A4"/>
    <s v="Comercial"/>
    <s v="Não se aplica"/>
    <s v="Não se aplica"/>
    <s v="Não se aplica"/>
    <s v="Não se aplica"/>
    <s v="CATIVO"/>
    <x v="4"/>
    <n v="1831"/>
    <n v="1831"/>
    <n v="0"/>
    <n v="0"/>
    <n v="0"/>
    <n v="0"/>
    <n v="34.950000000000003"/>
    <m/>
    <m/>
    <n v="63993.450000000004"/>
    <m/>
    <n v="63993.450000000004"/>
    <n v="63132.88"/>
    <n v="0"/>
    <n v="0"/>
    <n v="0"/>
    <n v="0"/>
    <n v="0"/>
    <n v="23198.366285441145"/>
    <n v="40803.4834344383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1725.399999999994"/>
    <n v="14"/>
    <m/>
    <m/>
    <m/>
    <m/>
    <m/>
    <m/>
    <m/>
    <m/>
    <m/>
    <n v="0"/>
    <m/>
    <m/>
    <m/>
    <m/>
    <m/>
    <m/>
    <m/>
    <m/>
    <m/>
    <m/>
    <m/>
    <m/>
    <n v="63132.88"/>
    <n v="-860.6000000000131"/>
    <m/>
    <m/>
    <m/>
    <m/>
    <n v="-860.57000000001096"/>
    <n v="0"/>
    <n v="31"/>
    <n v="970.88298437518824"/>
    <n v="0"/>
    <n v="0"/>
    <n v="0"/>
    <n v="0"/>
    <m/>
    <m/>
    <m/>
    <n v="970.8829843751882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803.483434438334"/>
    <m/>
    <n v="0"/>
    <n v="0"/>
    <n v="-860.57000000000698"/>
    <m/>
    <n v="0"/>
    <m/>
    <n v="-1837.675889022102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22"/>
    <s v="Regular"/>
    <s v="Branca"/>
    <s v="B3"/>
    <s v="Comercial"/>
    <s v="Não se aplica"/>
    <s v="Não se aplica"/>
    <s v="Não se aplica"/>
    <s v="Ponta"/>
    <s v="CATIVO"/>
    <x v="4"/>
    <n v="0"/>
    <n v="0"/>
    <n v="0.126"/>
    <n v="0.126"/>
    <n v="0.126"/>
    <n v="0.126"/>
    <m/>
    <n v="1585.55"/>
    <n v="144.41999999999999"/>
    <m/>
    <n v="217.97622000000001"/>
    <n v="217.97622000000001"/>
    <n v="212.78502"/>
    <n v="0"/>
    <n v="7.7365229048196014"/>
    <n v="0"/>
    <n v="0"/>
    <n v="0"/>
    <n v="44.349003057119795"/>
    <n v="144.27996851761921"/>
    <n v="18.197149777441236"/>
    <n v="0"/>
    <n v="0"/>
    <n v="0"/>
    <n v="0"/>
    <n v="0"/>
    <n v="1.1948272122746899"/>
    <m/>
    <n v="0.18331175396639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359488625954003"/>
    <n v="0"/>
    <n v="0"/>
    <n v="0"/>
    <n v="0"/>
    <n v="0"/>
    <m/>
    <m/>
    <m/>
    <m/>
    <m/>
    <m/>
    <m/>
    <m/>
    <m/>
    <n v="20.233098640036637"/>
    <m/>
    <m/>
    <m/>
    <m/>
    <m/>
    <m/>
    <m/>
    <m/>
    <m/>
    <m/>
    <m/>
    <m/>
    <n v="219.5401"/>
    <n v="1.5338800000000106"/>
    <m/>
    <m/>
    <m/>
    <m/>
    <n v="-5.9270399999999954"/>
    <n v="0.73584000000000038"/>
    <n v="31"/>
    <n v="1.3062904917942859"/>
    <n v="0"/>
    <n v="0"/>
    <n v="0"/>
    <n v="0"/>
    <n v="0"/>
    <n v="0"/>
    <n v="0"/>
    <n v="1.8560657208514755"/>
    <n v="0"/>
    <n v="0"/>
    <n v="0.73581384219084001"/>
    <n v="0"/>
    <n v="0"/>
    <n v="0"/>
    <n v="8.2324945027785645E-2"/>
    <n v="0"/>
    <n v="-1.1885706405433734"/>
    <m/>
    <n v="0"/>
    <n v="0"/>
    <n v="0"/>
    <n v="0"/>
    <n v="-0.15722081261190968"/>
    <n v="-2.212256312051436E-2"/>
    <n v="0"/>
    <n v="0"/>
    <m/>
    <m/>
    <m/>
    <n v="144.27996851761921"/>
    <n v="0"/>
    <n v="0"/>
    <n v="-5.9270400000000052"/>
    <n v="0.73583999999999961"/>
    <n v="0"/>
    <n v="0"/>
    <n v="-6.497970200013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3"/>
    <s v="Regular"/>
    <s v="Branca"/>
    <s v="B3"/>
    <s v="Comercial"/>
    <s v="Não se aplica"/>
    <s v="Não se aplica"/>
    <s v="Não se aplica"/>
    <s v="Fora ponta"/>
    <s v="CATIVO"/>
    <x v="4"/>
    <n v="0"/>
    <n v="0"/>
    <n v="8.2840000000000007"/>
    <n v="8.2840000000000007"/>
    <n v="8.2840000000000007"/>
    <n v="8.2840000000000007"/>
    <m/>
    <n v="387.88"/>
    <n v="144.41999999999999"/>
    <m/>
    <n v="4409.5731999999998"/>
    <n v="4409.5731999999998"/>
    <n v="4312.4018800000003"/>
    <n v="0"/>
    <n v="508.64568050417125"/>
    <n v="0"/>
    <n v="0"/>
    <n v="0"/>
    <n v="582.90361556366895"/>
    <n v="1897.1674129670814"/>
    <n v="1196.3903869549461"/>
    <n v="0"/>
    <n v="0"/>
    <n v="0"/>
    <n v="0"/>
    <n v="0"/>
    <n v="78.555147829234386"/>
    <m/>
    <n v="12.0520203956954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.8555585534944"/>
    <n v="0"/>
    <n v="0"/>
    <n v="0"/>
    <n v="0"/>
    <n v="0"/>
    <m/>
    <m/>
    <m/>
    <m/>
    <m/>
    <m/>
    <m/>
    <m/>
    <m/>
    <n v="1330.2459455084404"/>
    <m/>
    <m/>
    <m/>
    <m/>
    <m/>
    <m/>
    <m/>
    <m/>
    <m/>
    <m/>
    <m/>
    <m/>
    <n v="4310.3195999999998"/>
    <n v="-99.283600000000661"/>
    <m/>
    <m/>
    <m/>
    <m/>
    <n v="-145.54987999999994"/>
    <n v="48.378560000000036"/>
    <n v="31"/>
    <n v="-11.750235488413182"/>
    <n v="0"/>
    <n v="0"/>
    <n v="0"/>
    <n v="0"/>
    <n v="0"/>
    <n v="0"/>
    <n v="0"/>
    <n v="24.395304174361172"/>
    <n v="0"/>
    <n v="0"/>
    <n v="48.376840227848788"/>
    <n v="0"/>
    <n v="0"/>
    <n v="0"/>
    <n v="5.4125384492871262"/>
    <n v="0"/>
    <n v="-78.143803065565862"/>
    <m/>
    <n v="0"/>
    <n v="0"/>
    <n v="0"/>
    <n v="0"/>
    <n v="-10.336644537119525"/>
    <n v="-1.4544707372249288"/>
    <n v="0"/>
    <n v="0"/>
    <m/>
    <m/>
    <m/>
    <n v="1897.1674129670814"/>
    <n v="0"/>
    <n v="0"/>
    <n v="-145.54987999999958"/>
    <n v="48.378560000000107"/>
    <n v="0"/>
    <n v="0"/>
    <n v="-85.44316609267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4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99.8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25"/>
    <s v="Regular"/>
    <s v="Branca"/>
    <s v="B3"/>
    <s v="Comercial"/>
    <s v="Não se aplica"/>
    <s v="Não se aplica"/>
    <s v="Não se aplica"/>
    <s v="Intermediário"/>
    <s v="CATIVO"/>
    <x v="4"/>
    <n v="0"/>
    <n v="0"/>
    <n v="0.26400000000000001"/>
    <n v="0.26400000000000001"/>
    <n v="0.26400000000000001"/>
    <n v="0.26400000000000001"/>
    <m/>
    <n v="986.74"/>
    <n v="144.41999999999999"/>
    <m/>
    <n v="298.62624000000005"/>
    <n v="298.62624000000005"/>
    <n v="291.63815999999997"/>
    <n v="0"/>
    <n v="16.209857514860118"/>
    <n v="0"/>
    <n v="0"/>
    <n v="0"/>
    <n v="55.755694266114212"/>
    <n v="181.38056386648122"/>
    <n v="38.127361438448304"/>
    <n v="0"/>
    <n v="0"/>
    <n v="0"/>
    <n v="0"/>
    <n v="0"/>
    <n v="2.5034474923850647"/>
    <m/>
    <n v="0.38408177021530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657976168665526"/>
    <n v="0"/>
    <n v="0"/>
    <n v="0"/>
    <n v="0"/>
    <n v="0"/>
    <m/>
    <m/>
    <m/>
    <m/>
    <m/>
    <m/>
    <m/>
    <m/>
    <m/>
    <n v="42.393159055314854"/>
    <m/>
    <m/>
    <m/>
    <m/>
    <m/>
    <m/>
    <m/>
    <m/>
    <m/>
    <m/>
    <m/>
    <m/>
    <n v="287.21940000000001"/>
    <n v="-11.436840000000018"/>
    <m/>
    <m/>
    <m/>
    <m/>
    <n v="-8.5298400000000161"/>
    <n v="1.5417600000000009"/>
    <n v="31"/>
    <n v="1.1815411616982203"/>
    <n v="0"/>
    <n v="0"/>
    <n v="0"/>
    <n v="0"/>
    <n v="0"/>
    <n v="0"/>
    <n v="0"/>
    <n v="2.3334511654370473"/>
    <n v="0"/>
    <n v="0"/>
    <n v="1.5417051931617678"/>
    <n v="0"/>
    <n v="0"/>
    <n v="0"/>
    <n v="0.172490361010599"/>
    <n v="0"/>
    <n v="-2.4903384849480208"/>
    <m/>
    <n v="0"/>
    <n v="0"/>
    <n v="0"/>
    <n v="0"/>
    <n v="-0.32941503594876309"/>
    <n v="-4.6352037014411041E-2"/>
    <n v="0"/>
    <n v="0"/>
    <m/>
    <m/>
    <m/>
    <n v="181.38056386648122"/>
    <n v="0"/>
    <n v="0"/>
    <n v="-8.5298400000000356"/>
    <n v="1.5417599999999965"/>
    <n v="0"/>
    <n v="0"/>
    <n v="-8.1688782647751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6"/>
    <s v="Regular"/>
    <s v="Convencional"/>
    <s v="B2"/>
    <s v="Rural"/>
    <s v="Não se aplica"/>
    <s v="Não se aplica"/>
    <s v="Não se aplica"/>
    <s v="Não se aplica"/>
    <s v="CATIVO"/>
    <x v="4"/>
    <n v="0"/>
    <n v="0"/>
    <n v="318.49099999999999"/>
    <n v="318.49099999999999"/>
    <n v="318.49099999999999"/>
    <n v="318.49099999999999"/>
    <m/>
    <n v="522.37"/>
    <n v="144.41999999999999"/>
    <m/>
    <n v="212366.61388999998"/>
    <n v="212366.61388999998"/>
    <n v="207573.32433999999"/>
    <n v="0"/>
    <n v="19555.658067292854"/>
    <n v="0"/>
    <n v="0"/>
    <n v="0"/>
    <n v="32474.5059543397"/>
    <n v="105709.46189598921"/>
    <n v="45997.051029897113"/>
    <n v="0"/>
    <n v="0"/>
    <n v="0"/>
    <n v="0"/>
    <n v="0"/>
    <n v="3020.1723306712561"/>
    <m/>
    <n v="463.35828438501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2808666418377"/>
    <n v="0"/>
    <n v="6.17"/>
    <n v="28.63"/>
    <n v="37848.980000000003"/>
    <n v="759"/>
    <m/>
    <m/>
    <m/>
    <m/>
    <m/>
    <n v="24905.996200000005"/>
    <m/>
    <m/>
    <m/>
    <n v="51143.331896538948"/>
    <m/>
    <m/>
    <m/>
    <m/>
    <m/>
    <m/>
    <m/>
    <m/>
    <m/>
    <m/>
    <m/>
    <m/>
    <n v="182666.75460000001"/>
    <n v="-4214.2394700000004"/>
    <m/>
    <m/>
    <m/>
    <m/>
    <n v="-6653.2769899999957"/>
    <n v="1859.987440000001"/>
    <n v="31"/>
    <n v="-30.568369807981071"/>
    <n v="0"/>
    <n v="0"/>
    <n v="0"/>
    <n v="0"/>
    <n v="0"/>
    <n v="0"/>
    <n v="0"/>
    <n v="1359.1019673162009"/>
    <n v="0"/>
    <n v="0"/>
    <n v="1859.9213207397115"/>
    <n v="0"/>
    <n v="0"/>
    <n v="0"/>
    <n v="208.09328624479713"/>
    <n v="0"/>
    <n v="-3004.3575545817403"/>
    <m/>
    <n v="0"/>
    <n v="0"/>
    <n v="0"/>
    <n v="0"/>
    <n v="-397.40804626650606"/>
    <n v="-55.919343260442361"/>
    <n v="0"/>
    <n v="0"/>
    <m/>
    <m/>
    <m/>
    <n v="105709.46189598921"/>
    <n v="0"/>
    <n v="0"/>
    <n v="-6653.2769899999839"/>
    <n v="1859.9874399999972"/>
    <n v="0"/>
    <n v="0"/>
    <n v="-4760.8614024314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7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3.1779999999999999"/>
    <n v="3.1779999999999999"/>
    <n v="3.1779999999999999"/>
    <n v="3.1779999999999999"/>
    <m/>
    <n v="522.37"/>
    <n v="144.41999999999999"/>
    <m/>
    <n v="2119.0586199999998"/>
    <n v="2119.0586199999998"/>
    <n v="2071.2297199999998"/>
    <n v="0"/>
    <n v="195.13229993267214"/>
    <n v="0"/>
    <n v="0"/>
    <n v="0"/>
    <n v="324.04049069798384"/>
    <n v="1054.8011400807361"/>
    <n v="458.97255549768448"/>
    <n v="0"/>
    <n v="0"/>
    <n v="0"/>
    <n v="0"/>
    <n v="0"/>
    <n v="30.136197465150513"/>
    <m/>
    <n v="4.62352979448575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351154645461762"/>
    <n v="0"/>
    <n v="0"/>
    <n v="0"/>
    <n v="1301.27"/>
    <n v="10"/>
    <m/>
    <m/>
    <m/>
    <m/>
    <m/>
    <n v="248.51960000000005"/>
    <m/>
    <m/>
    <m/>
    <n v="510.32371014314623"/>
    <m/>
    <m/>
    <m/>
    <m/>
    <m/>
    <m/>
    <m/>
    <m/>
    <m/>
    <m/>
    <m/>
    <m/>
    <n v="1823.8571999999999"/>
    <n v="-40.92786000000001"/>
    <m/>
    <m/>
    <m/>
    <m/>
    <n v="-66.388419999999954"/>
    <n v="18.55952000000001"/>
    <n v="31"/>
    <n v="-0.30502048487937827"/>
    <n v="0"/>
    <n v="0"/>
    <n v="0"/>
    <n v="0"/>
    <n v="0"/>
    <n v="0"/>
    <n v="0"/>
    <n v="13.561532514673502"/>
    <n v="0"/>
    <n v="0"/>
    <n v="18.558860241924549"/>
    <n v="0"/>
    <n v="0"/>
    <n v="0"/>
    <n v="2.0764180579230356"/>
    <n v="0"/>
    <n v="-29.978392822593946"/>
    <m/>
    <n v="0"/>
    <n v="0"/>
    <n v="0"/>
    <n v="0"/>
    <n v="-3.9654582736559476"/>
    <n v="-0.55798020315075103"/>
    <n v="0"/>
    <n v="0"/>
    <m/>
    <m/>
    <m/>
    <n v="1054.8011400807361"/>
    <n v="0"/>
    <n v="0"/>
    <n v="-66.388419999999996"/>
    <n v="18.55952000000002"/>
    <n v="0"/>
    <n v="0"/>
    <n v="-47.50532208736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8"/>
    <s v="Regular"/>
    <s v="Verde"/>
    <s v="A4"/>
    <s v="Rural"/>
    <s v="Não se aplica"/>
    <s v="Não se aplica"/>
    <s v="Não se aplica"/>
    <s v="Ponta"/>
    <s v="CATIVO"/>
    <x v="4"/>
    <n v="0"/>
    <n v="0"/>
    <n v="1.4119999999999999"/>
    <n v="1.3555199999999998"/>
    <n v="1.4119999999999999"/>
    <n v="1.3555199999999998"/>
    <m/>
    <n v="2740.31"/>
    <n v="144.41999999999999"/>
    <m/>
    <n v="4073.2387599999997"/>
    <n v="4073.2387599999997"/>
    <n v="3990.9050399999996"/>
    <n v="0"/>
    <n v="75.42741426346501"/>
    <n v="0"/>
    <n v="0"/>
    <n v="0"/>
    <n v="1062.7598923052667"/>
    <n v="2708.2266831857733"/>
    <n v="203.92361496624619"/>
    <n v="0"/>
    <n v="0"/>
    <n v="0"/>
    <n v="0"/>
    <n v="0"/>
    <n v="13.389650981998905"/>
    <m/>
    <n v="0.7027315072716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8089065822100121"/>
    <n v="0"/>
    <n v="0"/>
    <n v="0"/>
    <n v="0"/>
    <n v="0"/>
    <m/>
    <m/>
    <m/>
    <m/>
    <m/>
    <n v="159.63620160000022"/>
    <m/>
    <m/>
    <m/>
    <n v="212.73252154845619"/>
    <m/>
    <m/>
    <m/>
    <m/>
    <m/>
    <m/>
    <m/>
    <m/>
    <m/>
    <m/>
    <m/>
    <m/>
    <n v="3843.9312"/>
    <n v="-66.408009600000241"/>
    <m/>
    <m/>
    <m/>
    <m/>
    <n v="-90.57980000000012"/>
    <n v="8.2460800000000045"/>
    <n v="31"/>
    <n v="39.645242150013246"/>
    <n v="0"/>
    <n v="0"/>
    <n v="0"/>
    <n v="0"/>
    <n v="0"/>
    <n v="0"/>
    <n v="0"/>
    <n v="44.477937938379455"/>
    <n v="0"/>
    <n v="0"/>
    <n v="8.2457868664561147"/>
    <n v="0"/>
    <n v="0"/>
    <n v="0"/>
    <n v="0.35619399065399016"/>
    <n v="0"/>
    <n v="-11.587997759278522"/>
    <m/>
    <n v="0"/>
    <n v="0"/>
    <n v="0"/>
    <n v="0"/>
    <n v="-1.7618713286350509"/>
    <n v="-8.4807557562514124E-2"/>
    <n v="0"/>
    <n v="0"/>
    <m/>
    <m/>
    <m/>
    <n v="2708.2266831857733"/>
    <n v="0"/>
    <n v="0"/>
    <n v="-90.579799999999977"/>
    <n v="8.2460800000000063"/>
    <n v="0"/>
    <n v="0"/>
    <n v="-121.97102940228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29"/>
    <s v="Regular"/>
    <s v="Verde"/>
    <s v="A4"/>
    <s v="Rural"/>
    <s v="Não se aplica"/>
    <s v="Não se aplica"/>
    <s v="Não se aplica"/>
    <s v="Fora ponta"/>
    <s v="CATIVO"/>
    <x v="4"/>
    <n v="0"/>
    <n v="0"/>
    <n v="40.545999999999999"/>
    <n v="38.924160000000001"/>
    <n v="40.545999999999999"/>
    <n v="38.924160000000001"/>
    <m/>
    <n v="69.64"/>
    <n v="144.41999999999999"/>
    <m/>
    <n v="8679.2767599999988"/>
    <n v="8679.2767599999988"/>
    <n v="8540.6094400000002"/>
    <n v="0"/>
    <n v="2165.9206364918218"/>
    <n v="0"/>
    <n v="0"/>
    <n v="0"/>
    <n v="0"/>
    <n v="0"/>
    <n v="5855.7272609216852"/>
    <n v="0"/>
    <n v="0"/>
    <n v="0"/>
    <n v="0"/>
    <n v="0"/>
    <n v="384.48781070547284"/>
    <m/>
    <n v="20.17914425908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.95037272116653"/>
    <n v="0"/>
    <n v="0"/>
    <n v="0"/>
    <n v="0"/>
    <n v="0"/>
    <m/>
    <m/>
    <m/>
    <m/>
    <m/>
    <n v="341.62437759999972"/>
    <m/>
    <m/>
    <m/>
    <n v="6108.677633642852"/>
    <m/>
    <m/>
    <m/>
    <m/>
    <m/>
    <m/>
    <m/>
    <m/>
    <m/>
    <m/>
    <m/>
    <m/>
    <n v="8198.1088"/>
    <n v="-134.0268896000016"/>
    <m/>
    <m/>
    <m/>
    <m/>
    <n v="-375.45595999999989"/>
    <n v="236.78864000000013"/>
    <n v="31"/>
    <n v="-138.7722970503437"/>
    <n v="0"/>
    <n v="0"/>
    <n v="0"/>
    <n v="0"/>
    <n v="0"/>
    <n v="0"/>
    <n v="0"/>
    <n v="0"/>
    <n v="0"/>
    <n v="0"/>
    <n v="236.78022258309375"/>
    <n v="0"/>
    <n v="0"/>
    <n v="0"/>
    <n v="10.228216391683219"/>
    <n v="0"/>
    <n v="-332.75280251254048"/>
    <m/>
    <n v="0"/>
    <n v="0"/>
    <n v="0"/>
    <n v="0"/>
    <n v="-50.592659271130913"/>
    <n v="-2.43527424145163"/>
    <n v="0"/>
    <n v="0"/>
    <m/>
    <m/>
    <m/>
    <n v="0"/>
    <n v="0"/>
    <n v="0"/>
    <n v="-375.45595999999978"/>
    <n v="236.78863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0"/>
    <s v="Regular"/>
    <s v="Verde"/>
    <s v="A4"/>
    <s v="Rural"/>
    <s v="Não se aplica"/>
    <s v="Não se aplica"/>
    <s v="Não se aplica"/>
    <s v="Não se aplica"/>
    <s v="CATIVO"/>
    <x v="4"/>
    <n v="167"/>
    <n v="160.32"/>
    <n v="0"/>
    <n v="0"/>
    <n v="0"/>
    <n v="0"/>
    <n v="34.950000000000003"/>
    <m/>
    <m/>
    <n v="5836.6500000000005"/>
    <m/>
    <n v="5836.6500000000005"/>
    <n v="5758.16"/>
    <n v="0"/>
    <n v="0"/>
    <n v="0"/>
    <n v="0"/>
    <n v="0"/>
    <n v="2115.8531784099791"/>
    <n v="3721.56293476308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635.0400000000009"/>
    <n v="1"/>
    <m/>
    <m/>
    <m/>
    <m/>
    <m/>
    <n v="230.32640000000021"/>
    <m/>
    <m/>
    <m/>
    <n v="0"/>
    <m/>
    <m/>
    <m/>
    <m/>
    <m/>
    <m/>
    <m/>
    <m/>
    <m/>
    <m/>
    <m/>
    <m/>
    <n v="5527.833599999999"/>
    <n v="-75.380400000001828"/>
    <m/>
    <m/>
    <m/>
    <m/>
    <n v="-78.490000000001004"/>
    <n v="0"/>
    <n v="31"/>
    <n v="88.551315341701411"/>
    <n v="0"/>
    <n v="0"/>
    <n v="0"/>
    <n v="0"/>
    <m/>
    <m/>
    <m/>
    <n v="88.5513153417014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21.5629347630811"/>
    <m/>
    <n v="0"/>
    <n v="0"/>
    <n v="-78.490000000000691"/>
    <m/>
    <n v="0"/>
    <m/>
    <n v="-167.6088877480565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31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72.534000000000006"/>
    <n v="72.534000000000006"/>
    <n v="72.534000000000006"/>
    <n v="72.534000000000006"/>
    <m/>
    <n v="522.37"/>
    <n v="144.41999999999999"/>
    <m/>
    <n v="48364.945860000007"/>
    <n v="48364.945860000007"/>
    <n v="47273.309160000004"/>
    <n v="0"/>
    <n v="4453.6583522078172"/>
    <n v="0"/>
    <n v="0"/>
    <n v="0"/>
    <n v="7395.831640115658"/>
    <n v="24074.558179551957"/>
    <n v="10475.492555213672"/>
    <n v="0"/>
    <n v="0"/>
    <n v="0"/>
    <n v="0"/>
    <n v="0"/>
    <n v="687.82219853279651"/>
    <m/>
    <n v="105.52646636665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2.0278952340855"/>
    <n v="0"/>
    <n v="299.14"/>
    <n v="1383.38"/>
    <n v="13658.39"/>
    <n v="125"/>
    <m/>
    <m/>
    <m/>
    <m/>
    <m/>
    <m/>
    <m/>
    <m/>
    <m/>
    <n v="11647.520450447757"/>
    <m/>
    <m/>
    <m/>
    <m/>
    <m/>
    <m/>
    <m/>
    <m/>
    <m/>
    <m/>
    <m/>
    <m/>
    <n v="47270.7022"/>
    <n v="-1094.2736600000135"/>
    <m/>
    <m/>
    <m/>
    <m/>
    <n v="-1515.2352599999992"/>
    <n v="423.5985600000003"/>
    <n v="31"/>
    <n v="-6.9617230491712689"/>
    <n v="0"/>
    <n v="0"/>
    <n v="0"/>
    <n v="0"/>
    <n v="0"/>
    <n v="0"/>
    <n v="0"/>
    <n v="309.525550478078"/>
    <n v="0"/>
    <n v="0"/>
    <n v="423.58350182119466"/>
    <n v="0"/>
    <n v="0"/>
    <n v="0"/>
    <n v="47.391726687661958"/>
    <n v="0"/>
    <n v="-684.22049873946798"/>
    <m/>
    <n v="0"/>
    <n v="0"/>
    <n v="0"/>
    <n v="0"/>
    <n v="-90.506781126922647"/>
    <n v="-12.735222169709445"/>
    <n v="0"/>
    <n v="0"/>
    <m/>
    <m/>
    <m/>
    <n v="24074.558179551957"/>
    <n v="0"/>
    <n v="0"/>
    <n v="-1515.2352600000013"/>
    <n v="423.59856000000036"/>
    <n v="0"/>
    <n v="0"/>
    <n v="-1084.25142614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2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0.2"/>
    <n v="0.2"/>
    <n v="0.2"/>
    <n v="0.2"/>
    <m/>
    <n v="522.37"/>
    <n v="144.41999999999999"/>
    <m/>
    <n v="133.358"/>
    <n v="133.358"/>
    <n v="130.34800000000001"/>
    <n v="0"/>
    <n v="12.28019508701524"/>
    <n v="0"/>
    <n v="0"/>
    <n v="0"/>
    <n v="20.392730692132403"/>
    <n v="66.381443680348397"/>
    <n v="28.8843647260972"/>
    <n v="0"/>
    <n v="0"/>
    <n v="0"/>
    <n v="0"/>
    <n v="0"/>
    <n v="1.896551130594746"/>
    <m/>
    <n v="0.290971038041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316648612625403"/>
    <n v="0"/>
    <n v="0.44"/>
    <n v="2.0499999999999998"/>
    <n v="136.30000000000001"/>
    <n v="2"/>
    <m/>
    <m/>
    <m/>
    <m/>
    <m/>
    <m/>
    <m/>
    <m/>
    <m/>
    <n v="32.116029587359741"/>
    <m/>
    <m/>
    <m/>
    <m/>
    <m/>
    <m/>
    <m/>
    <m/>
    <m/>
    <m/>
    <m/>
    <m/>
    <n v="130.34800000000001"/>
    <n v="-3.039999999999992"/>
    <m/>
    <m/>
    <m/>
    <m/>
    <n v="-4.1779999999999973"/>
    <n v="1.1680000000000008"/>
    <n v="31"/>
    <n v="-1.9195751093718627E-2"/>
    <n v="0"/>
    <n v="0"/>
    <n v="0"/>
    <n v="0"/>
    <n v="0"/>
    <n v="0"/>
    <n v="0"/>
    <n v="0.85346334264779955"/>
    <n v="0"/>
    <n v="0"/>
    <n v="1.1679584796680054"/>
    <n v="0"/>
    <n v="0"/>
    <n v="0"/>
    <n v="0.13067451591712009"/>
    <n v="0"/>
    <n v="-1.8866200643545596"/>
    <m/>
    <n v="0"/>
    <n v="0"/>
    <n v="0"/>
    <n v="0"/>
    <n v="-0.24955684541572976"/>
    <n v="-3.5115179556372E-2"/>
    <n v="0"/>
    <n v="0"/>
    <m/>
    <m/>
    <m/>
    <n v="66.381443680348397"/>
    <n v="0"/>
    <n v="0"/>
    <n v="-4.1779999999999973"/>
    <n v="1.1679999999999993"/>
    <n v="0"/>
    <n v="0"/>
    <n v="-2.989636380576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3"/>
    <s v="Regular"/>
    <s v="Verde"/>
    <s v="A4"/>
    <s v="Poder público"/>
    <s v="Não se aplica"/>
    <s v="Não se aplica"/>
    <s v="Não se aplica"/>
    <s v="Ponta"/>
    <s v="CATIVO"/>
    <x v="4"/>
    <n v="0"/>
    <n v="0"/>
    <n v="9.4E-2"/>
    <n v="9.4E-2"/>
    <n v="9.4E-2"/>
    <n v="9.4E-2"/>
    <m/>
    <n v="2740.31"/>
    <n v="144.41999999999999"/>
    <m/>
    <n v="271.16462000000001"/>
    <n v="271.16462000000001"/>
    <n v="265.68347999999997"/>
    <n v="0"/>
    <n v="5.0213717710805321"/>
    <n v="0"/>
    <n v="0"/>
    <n v="0"/>
    <n v="70.750304445251459"/>
    <n v="180.29271120358547"/>
    <n v="13.575651421265682"/>
    <n v="0"/>
    <n v="0"/>
    <n v="0"/>
    <n v="0"/>
    <n v="0"/>
    <n v="0.89137903137953056"/>
    <m/>
    <n v="4.67824091243133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64286251612898"/>
    <n v="0"/>
    <n v="0"/>
    <n v="0"/>
    <n v="0"/>
    <n v="0"/>
    <m/>
    <m/>
    <m/>
    <m/>
    <m/>
    <m/>
    <m/>
    <m/>
    <m/>
    <n v="14.162080046426972"/>
    <m/>
    <m/>
    <m/>
    <m/>
    <m/>
    <m/>
    <m/>
    <m/>
    <m/>
    <m/>
    <m/>
    <m/>
    <n v="254.37779999999998"/>
    <n v="-16.816820000000007"/>
    <m/>
    <m/>
    <m/>
    <m/>
    <n v="-6.0301000000000089"/>
    <n v="0.54896000000000034"/>
    <n v="31"/>
    <n v="2.6392724944060006"/>
    <n v="0"/>
    <n v="0"/>
    <n v="0"/>
    <n v="0"/>
    <n v="0"/>
    <n v="0"/>
    <n v="0"/>
    <n v="2.9609958684190332"/>
    <n v="0"/>
    <n v="0"/>
    <n v="0.54894048544396234"/>
    <n v="0"/>
    <n v="0"/>
    <n v="0"/>
    <n v="2.3712631105860527E-2"/>
    <n v="0"/>
    <n v="-0.77143894431457571"/>
    <m/>
    <n v="0"/>
    <n v="0"/>
    <n v="0"/>
    <n v="0"/>
    <n v="-0.11729171734539301"/>
    <n v="-5.6458289028869166E-3"/>
    <n v="0"/>
    <n v="0"/>
    <m/>
    <m/>
    <m/>
    <n v="180.29271120358547"/>
    <n v="0"/>
    <n v="0"/>
    <n v="-6.0301000000000045"/>
    <n v="0.548960000000001"/>
    <n v="0"/>
    <n v="0"/>
    <n v="-8.119884393636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4"/>
    <s v="Regular"/>
    <s v="Verde"/>
    <s v="A4"/>
    <s v="Poder público"/>
    <s v="Não se aplica"/>
    <s v="Não se aplica"/>
    <s v="Não se aplica"/>
    <s v="Fora ponta"/>
    <s v="CATIVO"/>
    <x v="4"/>
    <n v="0"/>
    <n v="0"/>
    <n v="1.3180000000000001"/>
    <n v="1.3180000000000001"/>
    <n v="1.3180000000000001"/>
    <n v="1.3180000000000001"/>
    <m/>
    <n v="69.64"/>
    <n v="144.41999999999999"/>
    <m/>
    <n v="282.13108"/>
    <n v="282.13108"/>
    <n v="277.62351999999998"/>
    <n v="0"/>
    <n v="70.406042492384486"/>
    <n v="0"/>
    <n v="0"/>
    <n v="0"/>
    <n v="0"/>
    <n v="0"/>
    <n v="190.34796354498053"/>
    <n v="0"/>
    <n v="0"/>
    <n v="0"/>
    <n v="0"/>
    <n v="0"/>
    <n v="12.498271950619376"/>
    <m/>
    <n v="0.65594909814728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2224779570487225"/>
    <n v="0"/>
    <n v="0"/>
    <n v="0"/>
    <n v="0"/>
    <n v="0"/>
    <m/>
    <m/>
    <m/>
    <m/>
    <m/>
    <m/>
    <m/>
    <m/>
    <m/>
    <n v="198.57044150202924"/>
    <m/>
    <m/>
    <m/>
    <m/>
    <m/>
    <m/>
    <m/>
    <m/>
    <m/>
    <m/>
    <m/>
    <m/>
    <n v="278.04480000000001"/>
    <n v="-4.1162800000000175"/>
    <m/>
    <m/>
    <m/>
    <m/>
    <n v="-12.204679999999998"/>
    <n v="7.6971200000000053"/>
    <n v="31"/>
    <n v="-4.5109724143529206"/>
    <n v="0"/>
    <n v="0"/>
    <n v="0"/>
    <n v="0"/>
    <n v="0"/>
    <n v="0"/>
    <n v="0"/>
    <n v="0"/>
    <n v="0"/>
    <n v="0"/>
    <n v="7.6968463810121648"/>
    <n v="0"/>
    <n v="0"/>
    <n v="0"/>
    <n v="0.33248135954813129"/>
    <n v="0"/>
    <n v="-10.816558814963948"/>
    <m/>
    <n v="0"/>
    <n v="0"/>
    <n v="0"/>
    <n v="0"/>
    <n v="-1.6445796112896591"/>
    <n v="-7.9161728659627228E-2"/>
    <n v="0"/>
    <n v="0"/>
    <m/>
    <m/>
    <m/>
    <n v="0"/>
    <n v="0"/>
    <n v="0"/>
    <n v="-12.204679999999996"/>
    <n v="7.697119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5"/>
    <s v="Regular"/>
    <s v="Verde"/>
    <s v="A4"/>
    <s v="Poder público"/>
    <s v="Não se aplica"/>
    <s v="Não se aplica"/>
    <s v="Não se aplica"/>
    <s v="Não se aplica"/>
    <s v="CATIVO"/>
    <x v="4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97"/>
    <n v="96.81"/>
    <n v="577.09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1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36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364.65699999999998"/>
    <n v="364.65699999999998"/>
    <n v="364.65699999999998"/>
    <n v="364.65699999999998"/>
    <m/>
    <n v="287.3"/>
    <n v="79.430000000000007"/>
    <m/>
    <n v="133730.66161000001"/>
    <n v="133730.66161000001"/>
    <n v="130714.94821999999"/>
    <n v="0"/>
    <n v="12314.662524575715"/>
    <n v="0"/>
    <n v="0"/>
    <n v="0"/>
    <n v="20449.967989002544"/>
    <n v="66567.759797398176"/>
    <n v="28965.435916792241"/>
    <n v="0"/>
    <n v="0"/>
    <n v="0"/>
    <n v="0"/>
    <n v="0"/>
    <n v="1901.8742754805421"/>
    <m/>
    <n v="291.78772100292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0.7353366118941"/>
    <n v="0"/>
    <n v="846.37"/>
    <n v="3906.5"/>
    <n v="43405.48"/>
    <n v="6"/>
    <m/>
    <m/>
    <m/>
    <m/>
    <m/>
    <m/>
    <m/>
    <m/>
    <m/>
    <n v="32206.171253404136"/>
    <m/>
    <m/>
    <m/>
    <m/>
    <m/>
    <m/>
    <m/>
    <m/>
    <m/>
    <m/>
    <m/>
    <m/>
    <n v="130716.0236"/>
    <n v="-3014.6680099999794"/>
    <m/>
    <m/>
    <m/>
    <m/>
    <n v="-4186.2623600000061"/>
    <n v="1170.5489699999976"/>
    <n v="31"/>
    <n v="-19.249628768346156"/>
    <n v="0"/>
    <n v="0"/>
    <n v="0"/>
    <n v="0"/>
    <n v="0"/>
    <n v="0"/>
    <n v="0"/>
    <n v="855.85880088468184"/>
    <n v="0"/>
    <n v="0"/>
    <n v="1171.2366471306668"/>
    <n v="0"/>
    <n v="0"/>
    <n v="0"/>
    <n v="131.0412866146703"/>
    <n v="0"/>
    <n v="-1891.915335220172"/>
    <m/>
    <n v="0"/>
    <n v="0"/>
    <n v="0"/>
    <n v="0"/>
    <n v="-250.25728909159784"/>
    <n v="-35.213739086592966"/>
    <n v="0"/>
    <n v="0"/>
    <m/>
    <m/>
    <m/>
    <n v="66567.759797398176"/>
    <n v="0"/>
    <n v="0"/>
    <n v="-4186.2623600000079"/>
    <n v="1170.5489699999998"/>
    <n v="0"/>
    <n v="0"/>
    <n v="-2998.0275424879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7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1.271999999999998"/>
    <n v="19.99568"/>
    <n v="21.271999999999998"/>
    <n v="19.99568"/>
    <m/>
    <n v="522.37"/>
    <n v="144.41999999999999"/>
    <m/>
    <n v="14183.95688"/>
    <n v="14183.95688"/>
    <n v="13863.81328"/>
    <n v="0"/>
    <n v="1306.1215494549408"/>
    <n v="0"/>
    <n v="0"/>
    <n v="0"/>
    <n v="2168.970836415202"/>
    <n v="7060.3303498418554"/>
    <n v="3072.1410322676979"/>
    <n v="0"/>
    <n v="0"/>
    <n v="0"/>
    <n v="0"/>
    <n v="0"/>
    <n v="201.71717825005715"/>
    <m/>
    <n v="30.947679606136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.71987464388371"/>
    <n v="0"/>
    <n v="84.05"/>
    <n v="388.62"/>
    <n v="4574.96"/>
    <n v="35"/>
    <m/>
    <m/>
    <m/>
    <m/>
    <n v="831.82879679999894"/>
    <m/>
    <m/>
    <m/>
    <m/>
    <n v="3415.8609069115819"/>
    <m/>
    <m/>
    <m/>
    <m/>
    <m/>
    <m/>
    <m/>
    <m/>
    <m/>
    <m/>
    <m/>
    <m/>
    <n v="13034.8"/>
    <n v="-298.1494672000008"/>
    <m/>
    <m/>
    <m/>
    <m/>
    <n v="-444.3720799999997"/>
    <n v="124.22848000000006"/>
    <n v="31"/>
    <n v="-2.0416600863309213"/>
    <n v="0"/>
    <n v="0"/>
    <n v="0"/>
    <n v="0"/>
    <n v="0"/>
    <n v="0"/>
    <n v="0"/>
    <n v="90.774361124019833"/>
    <n v="0"/>
    <n v="0"/>
    <n v="124.22406389748858"/>
    <n v="0"/>
    <n v="0"/>
    <n v="0"/>
    <n v="13.898541512944917"/>
    <n v="0"/>
    <n v="-200.66091004475106"/>
    <m/>
    <n v="0"/>
    <n v="0"/>
    <n v="0"/>
    <n v="0"/>
    <n v="-26.542866078417006"/>
    <n v="-3.734850497615728"/>
    <n v="0"/>
    <n v="0"/>
    <m/>
    <m/>
    <m/>
    <n v="7060.3303498418554"/>
    <n v="0"/>
    <n v="0"/>
    <n v="-444.37207999999919"/>
    <n v="124.22847999999976"/>
    <n v="0"/>
    <n v="0"/>
    <n v="-317.97772543814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8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0.48099999999999998"/>
    <n v="0.45213999999999999"/>
    <n v="0.48099999999999998"/>
    <n v="0.45213999999999999"/>
    <m/>
    <n v="2740.31"/>
    <n v="144.41999999999999"/>
    <m/>
    <n v="1387.55513"/>
    <n v="1387.55513"/>
    <n v="1359.5080199999998"/>
    <n v="0"/>
    <n v="25.694466190316341"/>
    <n v="0"/>
    <n v="0"/>
    <n v="0"/>
    <n v="362.0308131719782"/>
    <n v="922.56163924387874"/>
    <n v="69.466897166263763"/>
    <n v="0"/>
    <n v="0"/>
    <n v="0"/>
    <n v="0"/>
    <n v="0"/>
    <n v="4.5612054690803641"/>
    <m/>
    <n v="0.2393865828595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007677521551104"/>
    <n v="0"/>
    <n v="0"/>
    <n v="0"/>
    <n v="0"/>
    <n v="0"/>
    <m/>
    <m/>
    <m/>
    <m/>
    <n v="81.570481199999989"/>
    <m/>
    <m/>
    <m/>
    <m/>
    <n v="72.467664918418876"/>
    <m/>
    <m/>
    <m/>
    <m/>
    <m/>
    <m/>
    <m/>
    <m/>
    <m/>
    <m/>
    <m/>
    <m/>
    <n v="1271.8889999999999"/>
    <n v="-32.442822200000137"/>
    <m/>
    <m/>
    <m/>
    <m/>
    <n v="-30.856150000000042"/>
    <n v="2.8090400000000018"/>
    <n v="31"/>
    <n v="13.505213508609415"/>
    <n v="0"/>
    <n v="0"/>
    <n v="0"/>
    <n v="0"/>
    <n v="0"/>
    <n v="0"/>
    <n v="0"/>
    <n v="15.151478858612279"/>
    <n v="0"/>
    <n v="0"/>
    <n v="2.8089401436015464"/>
    <n v="0"/>
    <n v="0"/>
    <n v="0"/>
    <n v="0.12133803789275488"/>
    <n v="0"/>
    <n v="-3.9474694916522459"/>
    <m/>
    <n v="0"/>
    <n v="0"/>
    <n v="0"/>
    <n v="0"/>
    <n v="-0.60018421322483029"/>
    <n v="-2.8889826620091597E-2"/>
    <n v="0"/>
    <n v="0"/>
    <m/>
    <m/>
    <m/>
    <n v="922.56163924387874"/>
    <n v="0"/>
    <n v="0"/>
    <n v="-30.856150000000071"/>
    <n v="2.8090400000000102"/>
    <n v="0"/>
    <n v="0"/>
    <n v="-41.5496212057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39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2.5019999999999998"/>
    <n v="2.35188"/>
    <n v="2.5019999999999998"/>
    <n v="2.35188"/>
    <m/>
    <n v="69.64"/>
    <n v="144.41999999999999"/>
    <m/>
    <n v="535.5781199999999"/>
    <n v="535.5781199999999"/>
    <n v="527.02127999999993"/>
    <n v="0"/>
    <n v="133.65395926854777"/>
    <n v="0"/>
    <n v="0"/>
    <n v="0"/>
    <n v="0"/>
    <n v="0"/>
    <n v="361.34340272347589"/>
    <n v="0"/>
    <n v="0"/>
    <n v="0"/>
    <n v="0"/>
    <n v="0"/>
    <n v="23.72585464374027"/>
    <m/>
    <n v="1.2452083790322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08983193122839"/>
    <n v="0"/>
    <n v="0"/>
    <n v="0"/>
    <n v="0"/>
    <n v="0"/>
    <m/>
    <m/>
    <m/>
    <m/>
    <n v="31.621276799999958"/>
    <m/>
    <m/>
    <m/>
    <m/>
    <n v="376.9523859165987"/>
    <m/>
    <m/>
    <m/>
    <m/>
    <m/>
    <m/>
    <m/>
    <m/>
    <m/>
    <m/>
    <m/>
    <m/>
    <n v="495.00400000000002"/>
    <n v="-8.4694327999999359"/>
    <m/>
    <m/>
    <m/>
    <m/>
    <n v="-23.168519999999994"/>
    <n v="14.611680000000007"/>
    <n v="31"/>
    <n v="-8.5633178912830772"/>
    <n v="0"/>
    <n v="0"/>
    <n v="0"/>
    <n v="0"/>
    <n v="0"/>
    <n v="0"/>
    <n v="0"/>
    <n v="0"/>
    <n v="0"/>
    <n v="0"/>
    <n v="14.611160580646754"/>
    <n v="0"/>
    <n v="0"/>
    <n v="0"/>
    <n v="0.63115960666875637"/>
    <n v="0"/>
    <n v="-20.533406794415626"/>
    <m/>
    <n v="0"/>
    <n v="0"/>
    <n v="0"/>
    <n v="0"/>
    <n v="-3.1219561361507786"/>
    <n v="-0.15027514803216047"/>
    <n v="0"/>
    <n v="0"/>
    <m/>
    <m/>
    <m/>
    <n v="0"/>
    <n v="0"/>
    <n v="0"/>
    <n v="-23.168519999999972"/>
    <n v="14.61167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0"/>
    <s v="Regular"/>
    <s v="Verde"/>
    <s v="A4"/>
    <s v="Serviço público"/>
    <s v="Água, esgoto e saneamento"/>
    <s v="Não se aplica"/>
    <s v="Não se aplica"/>
    <s v="Não se aplica"/>
    <s v="CATIVO"/>
    <x v="4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86"/>
    <n v="137.83000000000001"/>
    <n v="955.13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1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41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0.233000000000001"/>
    <n v="10.233000000000001"/>
    <n v="10.233000000000001"/>
    <n v="10.233000000000001"/>
    <m/>
    <n v="522.37"/>
    <n v="144.41999999999999"/>
    <m/>
    <n v="6823.2620700000007"/>
    <n v="6823.2620700000007"/>
    <n v="6669.2554200000013"/>
    <n v="0"/>
    <n v="628.31618162713482"/>
    <n v="0"/>
    <n v="0"/>
    <n v="0"/>
    <n v="1043.3940658629542"/>
    <n v="3396.4065659050261"/>
    <n v="1477.8685212107632"/>
    <n v="0"/>
    <n v="0"/>
    <n v="0"/>
    <n v="0"/>
    <n v="0"/>
    <n v="97.03703859688018"/>
    <m/>
    <n v="14.887533161413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34813262649786"/>
    <n v="0"/>
    <n v="0"/>
    <n v="0"/>
    <n v="0"/>
    <n v="3"/>
    <m/>
    <m/>
    <m/>
    <m/>
    <m/>
    <m/>
    <m/>
    <m/>
    <m/>
    <n v="1643.216653837261"/>
    <m/>
    <m/>
    <m/>
    <m/>
    <m/>
    <m/>
    <m/>
    <m/>
    <m/>
    <m/>
    <m/>
    <m/>
    <n v="6667.3001999999997"/>
    <n v="-155.99187000000165"/>
    <m/>
    <m/>
    <m/>
    <m/>
    <n v="-213.76736999999986"/>
    <n v="59.760720000000035"/>
    <n v="31"/>
    <n v="-0.98215060471011384"/>
    <n v="0"/>
    <n v="0"/>
    <n v="0"/>
    <n v="0"/>
    <n v="0"/>
    <n v="0"/>
    <n v="0"/>
    <n v="43.667451926574813"/>
    <n v="0"/>
    <n v="0"/>
    <n v="59.758595612213412"/>
    <n v="0"/>
    <n v="0"/>
    <n v="0"/>
    <n v="6.6859616068994683"/>
    <n v="0"/>
    <n v="-96.528915592701082"/>
    <m/>
    <n v="0"/>
    <n v="0"/>
    <n v="0"/>
    <n v="0"/>
    <n v="-12.768575995695812"/>
    <n v="-1.7966681620017741"/>
    <n v="0"/>
    <n v="0"/>
    <m/>
    <m/>
    <m/>
    <n v="3396.4065659050261"/>
    <n v="0"/>
    <n v="0"/>
    <n v="-213.76736999999957"/>
    <n v="59.760719999999992"/>
    <n v="0"/>
    <n v="0"/>
    <n v="-152.9647454122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2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67.1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43"/>
    <s v="Regular"/>
    <s v="Convencional"/>
    <s v="B2"/>
    <s v="Rural"/>
    <s v="Agropecuária rural"/>
    <s v="IRRIG./AQUIC."/>
    <s v="Não se aplica"/>
    <s v="Não se aplica"/>
    <s v="CATIVO"/>
    <x v="4"/>
    <n v="0"/>
    <n v="0"/>
    <n v="2.536"/>
    <n v="2.536"/>
    <n v="2.536"/>
    <n v="2.536"/>
    <m/>
    <n v="522.37"/>
    <n v="144.41999999999999"/>
    <m/>
    <n v="1690.9794400000001"/>
    <n v="1690.9794400000001"/>
    <n v="1652.8126400000001"/>
    <n v="0"/>
    <n v="155.71287370335324"/>
    <n v="0"/>
    <n v="0"/>
    <n v="0"/>
    <n v="258.57982517623884"/>
    <n v="841.71670586681773"/>
    <n v="366.25374472691249"/>
    <n v="0"/>
    <n v="0"/>
    <n v="0"/>
    <n v="0"/>
    <n v="0"/>
    <n v="24.048268335941376"/>
    <m/>
    <n v="3.6895127623712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977510440809006"/>
    <n v="0"/>
    <n v="0"/>
    <n v="0"/>
    <n v="0"/>
    <n v="0"/>
    <m/>
    <m/>
    <m/>
    <m/>
    <m/>
    <n v="198.31520000000006"/>
    <m/>
    <m/>
    <m/>
    <n v="407.23125516772149"/>
    <m/>
    <m/>
    <m/>
    <m/>
    <m/>
    <m/>
    <m/>
    <m/>
    <m/>
    <m/>
    <m/>
    <m/>
    <n v="1456.7916"/>
    <n v="-31.287119999999959"/>
    <m/>
    <m/>
    <m/>
    <m/>
    <n v="-52.977039999999967"/>
    <n v="14.810240000000009"/>
    <n v="31"/>
    <n v="-0.24340212386880467"/>
    <n v="0"/>
    <n v="0"/>
    <n v="0"/>
    <n v="0"/>
    <n v="0"/>
    <n v="0"/>
    <n v="0"/>
    <n v="10.82191518477407"/>
    <n v="0"/>
    <n v="0"/>
    <n v="14.809713522190293"/>
    <n v="0"/>
    <n v="0"/>
    <n v="0"/>
    <n v="1.6569528618290832"/>
    <n v="0"/>
    <n v="-23.922342416015823"/>
    <m/>
    <n v="0"/>
    <n v="0"/>
    <n v="0"/>
    <n v="0"/>
    <n v="-3.1643807998714522"/>
    <n v="-0.44526047677479719"/>
    <n v="0"/>
    <n v="0"/>
    <m/>
    <m/>
    <m/>
    <n v="841.71670586681773"/>
    <n v="0"/>
    <n v="0"/>
    <n v="-52.977039999999988"/>
    <n v="14.810240000000022"/>
    <n v="0"/>
    <n v="0"/>
    <n v="-37.908589305713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4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436"/>
    <n v="0.1744"/>
    <n v="0.436"/>
    <n v="0.1744"/>
    <m/>
    <n v="522.37"/>
    <n v="144.41999999999999"/>
    <m/>
    <n v="290.72044"/>
    <n v="290.72044"/>
    <n v="284.15863999999999"/>
    <n v="0"/>
    <n v="26.770825289693221"/>
    <n v="0"/>
    <n v="0"/>
    <n v="0"/>
    <n v="44.45615290884863"/>
    <n v="144.7115472231595"/>
    <n v="62.967915102891894"/>
    <n v="0"/>
    <n v="0"/>
    <n v="0"/>
    <n v="0"/>
    <n v="0"/>
    <n v="4.1344814646965462"/>
    <m/>
    <n v="0.6343168629313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0450293975523373"/>
    <n v="0"/>
    <n v="0"/>
    <n v="0"/>
    <n v="0"/>
    <n v="0"/>
    <m/>
    <m/>
    <m/>
    <m/>
    <m/>
    <m/>
    <n v="184.133264"/>
    <m/>
    <m/>
    <n v="70.012944500444235"/>
    <m/>
    <m/>
    <m/>
    <m/>
    <m/>
    <m/>
    <m/>
    <m/>
    <m/>
    <m/>
    <m/>
    <m/>
    <n v="97.501800000000003"/>
    <n v="-4.860888000000017"/>
    <m/>
    <m/>
    <m/>
    <m/>
    <n v="-9.1080399999999937"/>
    <n v="2.5462400000000014"/>
    <n v="31"/>
    <n v="-4.1846737384332755E-2"/>
    <n v="0"/>
    <n v="0"/>
    <n v="0"/>
    <n v="0"/>
    <n v="0"/>
    <n v="0"/>
    <n v="0"/>
    <n v="1.8605500869722036"/>
    <n v="0"/>
    <n v="0"/>
    <n v="2.5461494856762528"/>
    <n v="0"/>
    <n v="0"/>
    <n v="0"/>
    <n v="0.28487044469932155"/>
    <n v="0"/>
    <n v="-4.1128317402929397"/>
    <m/>
    <n v="0"/>
    <n v="0"/>
    <n v="0"/>
    <n v="0"/>
    <n v="-0.54403392300629116"/>
    <n v="-7.6551091432890961E-2"/>
    <n v="0"/>
    <n v="0"/>
    <m/>
    <m/>
    <m/>
    <n v="144.7115472231595"/>
    <n v="0"/>
    <n v="0"/>
    <n v="-9.1080399999999884"/>
    <n v="2.5462399999999974"/>
    <n v="0"/>
    <n v="0"/>
    <n v="-6.5174073096574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5"/>
    <s v="Regular"/>
    <s v="Convencional"/>
    <s v="B1"/>
    <s v="Residencial"/>
    <s v="Residencial"/>
    <s v="Não se aplica"/>
    <s v="Não se aplica"/>
    <s v="Não se aplica"/>
    <s v="CATIVO"/>
    <x v="5"/>
    <n v="0"/>
    <n v="0"/>
    <n v="3002.5219999999999"/>
    <n v="3002.5219999999999"/>
    <n v="3002.5219999999999"/>
    <n v="3002.5219999999999"/>
    <m/>
    <n v="522.37"/>
    <n v="144.41999999999999"/>
    <m/>
    <n v="2002051.64438"/>
    <n v="2002051.64438"/>
    <n v="1956863.6882799999"/>
    <n v="0"/>
    <n v="184357.77956527585"/>
    <n v="0"/>
    <n v="0"/>
    <n v="0"/>
    <n v="306148.1127160138"/>
    <n v="996558.72521003522"/>
    <n v="433629.70273065404"/>
    <n v="0"/>
    <n v="0"/>
    <n v="0"/>
    <n v="0"/>
    <n v="0"/>
    <n v="28472.182468677987"/>
    <m/>
    <n v="4368.2347154181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515.724212838621"/>
    <n v="0"/>
    <n v="680.81"/>
    <n v="3158.67"/>
    <n v="496430.66"/>
    <n v="11991"/>
    <m/>
    <m/>
    <m/>
    <m/>
    <m/>
    <m/>
    <m/>
    <m/>
    <m/>
    <n v="482145.42694349267"/>
    <m/>
    <m/>
    <m/>
    <m/>
    <m/>
    <m/>
    <m/>
    <m/>
    <m/>
    <m/>
    <m/>
    <m/>
    <n v="1956862.3847999999"/>
    <n v="-45189.289580000099"/>
    <m/>
    <m/>
    <m/>
    <m/>
    <n v="-62722.684579999957"/>
    <n v="17534.728480000009"/>
    <n v="29"/>
    <n v="-288.17832482745871"/>
    <n v="0"/>
    <n v="0"/>
    <n v="0"/>
    <n v="0"/>
    <n v="0"/>
    <n v="0"/>
    <n v="0"/>
    <n v="12812.712312467746"/>
    <n v="0"/>
    <n v="0"/>
    <n v="17534.10515144869"/>
    <n v="0"/>
    <n v="0"/>
    <n v="0"/>
    <n v="1961.7655444025149"/>
    <n v="0"/>
    <n v="-28323.091244329902"/>
    <m/>
    <n v="0"/>
    <n v="0"/>
    <n v="0"/>
    <n v="0"/>
    <n v="-3746.4995930566365"/>
    <n v="-527.17049575978581"/>
    <n v="0"/>
    <n v="0"/>
    <m/>
    <m/>
    <m/>
    <n v="996558.72521003522"/>
    <n v="0"/>
    <n v="0"/>
    <n v="-62722.684580000117"/>
    <n v="17534.728479999991"/>
    <n v="0"/>
    <n v="0"/>
    <n v="-44882.245023411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6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2.105"/>
    <n v="-2.105"/>
    <n v="-2.105"/>
    <n v="-2.105"/>
    <m/>
    <n v="522.37"/>
    <n v="144.41999999999999"/>
    <m/>
    <n v="-1403.5929500000002"/>
    <n v="-1403.5929500000002"/>
    <n v="-1371.9127000000001"/>
    <n v="0"/>
    <n v="-129.24905329083541"/>
    <n v="0"/>
    <n v="0"/>
    <n v="0"/>
    <n v="-214.63349053469352"/>
    <n v="-698.6646947356669"/>
    <n v="-304.007938742173"/>
    <n v="0"/>
    <n v="0"/>
    <n v="0"/>
    <n v="0"/>
    <n v="0"/>
    <n v="-19.961200649509699"/>
    <m/>
    <n v="-3.0624701753909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013272664788232"/>
    <n v="0"/>
    <n v="0"/>
    <n v="0"/>
    <n v="-314.89"/>
    <n v="0"/>
    <m/>
    <m/>
    <m/>
    <m/>
    <m/>
    <m/>
    <m/>
    <m/>
    <m/>
    <n v="-338.02121140696124"/>
    <m/>
    <m/>
    <m/>
    <m/>
    <m/>
    <m/>
    <m/>
    <m/>
    <m/>
    <m/>
    <m/>
    <m/>
    <n v="-1375.1713999999997"/>
    <n v="28.391550000000507"/>
    <m/>
    <m/>
    <m/>
    <m/>
    <n v="43.973449999999971"/>
    <n v="-12.293200000000008"/>
    <n v="29"/>
    <n v="0.20203528026161166"/>
    <n v="0"/>
    <n v="0"/>
    <n v="0"/>
    <n v="0"/>
    <n v="0"/>
    <n v="0"/>
    <n v="0"/>
    <n v="-8.98270168136807"/>
    <n v="0"/>
    <n v="0"/>
    <n v="-12.292762998505737"/>
    <n v="0"/>
    <n v="0"/>
    <n v="0"/>
    <n v="-1.3753492800276916"/>
    <n v="0"/>
    <n v="19.856676177331749"/>
    <m/>
    <n v="0"/>
    <n v="0"/>
    <n v="0"/>
    <n v="0"/>
    <n v="2.6265857980005549"/>
    <n v="0.36958726483081517"/>
    <n v="0"/>
    <n v="0"/>
    <m/>
    <m/>
    <m/>
    <n v="-698.6646947356669"/>
    <n v="0"/>
    <n v="0"/>
    <n v="43.973449999999957"/>
    <n v="-12.293199999999956"/>
    <n v="0"/>
    <n v="0"/>
    <n v="31.465922905570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7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1.693"/>
    <n v="11.693"/>
    <n v="11.693"/>
    <n v="11.693"/>
    <m/>
    <n v="522.37"/>
    <n v="144.41999999999999"/>
    <m/>
    <n v="7796.7754699999996"/>
    <n v="7796.7754699999996"/>
    <n v="7620.7958199999994"/>
    <n v="0"/>
    <n v="717.96160576234593"/>
    <n v="0"/>
    <n v="0"/>
    <n v="0"/>
    <n v="1192.2609999155206"/>
    <n v="3880.9911047715691"/>
    <n v="1688.7243837112726"/>
    <n v="0"/>
    <n v="0"/>
    <n v="0"/>
    <n v="0"/>
    <n v="0"/>
    <n v="110.88186185022181"/>
    <m/>
    <n v="17.011621739119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93928611371439"/>
    <n v="0"/>
    <n v="3.42"/>
    <n v="15.9"/>
    <n v="6758.05"/>
    <n v="82"/>
    <m/>
    <m/>
    <m/>
    <m/>
    <m/>
    <m/>
    <m/>
    <m/>
    <m/>
    <n v="1877.663669824987"/>
    <m/>
    <m/>
    <m/>
    <m/>
    <m/>
    <m/>
    <m/>
    <m/>
    <m/>
    <m/>
    <m/>
    <m/>
    <n v="7618.8405999999995"/>
    <n v="-177.9648700000007"/>
    <m/>
    <m/>
    <m/>
    <m/>
    <n v="-244.26676999999984"/>
    <n v="68.287120000000044"/>
    <n v="29"/>
    <n v="-1.1222795876956297"/>
    <n v="0"/>
    <n v="0"/>
    <n v="0"/>
    <n v="0"/>
    <n v="0"/>
    <n v="0"/>
    <n v="0"/>
    <n v="49.897734327903663"/>
    <n v="0"/>
    <n v="0"/>
    <n v="68.284692513789878"/>
    <n v="0"/>
    <n v="0"/>
    <n v="0"/>
    <n v="7.6398855730944319"/>
    <n v="0"/>
    <n v="-110.30124206248934"/>
    <m/>
    <n v="0"/>
    <n v="0"/>
    <n v="0"/>
    <n v="0"/>
    <n v="-14.590340967230631"/>
    <n v="-2.0530089727632888"/>
    <n v="0"/>
    <n v="0"/>
    <m/>
    <m/>
    <m/>
    <n v="3880.9911047715691"/>
    <n v="0"/>
    <n v="0"/>
    <n v="-244.26677000000018"/>
    <n v="68.287119999999959"/>
    <n v="0"/>
    <n v="0"/>
    <n v="-174.78909099042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8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15.72"/>
    <n v="15.72"/>
    <n v="15.72"/>
    <n v="15.72"/>
    <m/>
    <n v="451.48"/>
    <n v="144.41999999999999"/>
    <m/>
    <n v="9367.5480000000007"/>
    <n v="9367.5480000000007"/>
    <n v="9299.0087999999996"/>
    <n v="0"/>
    <n v="0"/>
    <n v="0"/>
    <n v="0"/>
    <n v="0"/>
    <n v="1602.8686324016066"/>
    <n v="5217.5814732753843"/>
    <n v="2270.3110674712398"/>
    <n v="0"/>
    <n v="0"/>
    <n v="0"/>
    <n v="0"/>
    <n v="0"/>
    <n v="0"/>
    <m/>
    <n v="22.870323590093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.00885809523567"/>
    <n v="0"/>
    <n v="0.95"/>
    <n v="4.05"/>
    <n v="393.5"/>
    <n v="9"/>
    <m/>
    <m/>
    <m/>
    <m/>
    <m/>
    <m/>
    <m/>
    <n v="6044.34"/>
    <m/>
    <n v="2524.3199255664754"/>
    <m/>
    <m/>
    <m/>
    <m/>
    <m/>
    <m/>
    <m/>
    <m/>
    <m/>
    <m/>
    <m/>
    <m/>
    <n v="3254.6687999999999"/>
    <n v="-24.08160000000089"/>
    <m/>
    <m/>
    <m/>
    <m/>
    <n v="-160.34400000000073"/>
    <n v="91.804800000000057"/>
    <n v="29"/>
    <n v="166.39471907197731"/>
    <n v="0"/>
    <n v="0"/>
    <n v="0"/>
    <n v="0"/>
    <n v="0"/>
    <n v="0"/>
    <n v="0"/>
    <n v="67.082218732117099"/>
    <n v="0"/>
    <n v="0"/>
    <n v="91.801536501905048"/>
    <n v="0"/>
    <n v="0"/>
    <n v="0"/>
    <n v="10.271016951085642"/>
    <n v="0"/>
    <n v="0"/>
    <m/>
    <n v="0"/>
    <n v="0"/>
    <n v="0"/>
    <n v="0"/>
    <n v="0"/>
    <n v="-2.7600531131308372"/>
    <n v="0"/>
    <n v="0"/>
    <m/>
    <m/>
    <m/>
    <n v="5217.5814732753843"/>
    <n v="0"/>
    <n v="0"/>
    <n v="-160.34400000000096"/>
    <n v="91.804799999999886"/>
    <n v="0"/>
    <n v="0"/>
    <n v="-234.9854195133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49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35.380000000000003"/>
    <n v="35.380000000000003"/>
    <n v="35.380000000000003"/>
    <n v="35.380000000000003"/>
    <m/>
    <n v="451.48"/>
    <n v="144.41999999999999"/>
    <m/>
    <n v="21082.942000000003"/>
    <n v="21082.942000000003"/>
    <n v="20928.6852"/>
    <n v="0"/>
    <n v="0"/>
    <n v="0"/>
    <n v="0"/>
    <n v="0"/>
    <n v="3607.474059438222"/>
    <n v="11742.877387053633"/>
    <n v="5109.6441200465943"/>
    <n v="0"/>
    <n v="0"/>
    <n v="0"/>
    <n v="0"/>
    <n v="0"/>
    <n v="0"/>
    <m/>
    <n v="51.472776629611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1.68151395734333"/>
    <n v="0"/>
    <n v="3.4"/>
    <n v="15.76"/>
    <n v="1519.37"/>
    <n v="43"/>
    <m/>
    <m/>
    <m/>
    <m/>
    <m/>
    <m/>
    <m/>
    <n v="8371.2618000000002"/>
    <m/>
    <n v="5681.3256340039379"/>
    <m/>
    <m/>
    <m/>
    <m/>
    <m/>
    <m/>
    <m/>
    <m/>
    <m/>
    <m/>
    <m/>
    <m/>
    <n v="12557.4234"/>
    <n v="-92.371800000002622"/>
    <m/>
    <m/>
    <m/>
    <m/>
    <n v="-360.87600000000162"/>
    <n v="206.61920000000015"/>
    <n v="29"/>
    <n v="374.49396696988151"/>
    <n v="0"/>
    <n v="0"/>
    <n v="0"/>
    <n v="0"/>
    <n v="0"/>
    <n v="0"/>
    <n v="0"/>
    <n v="150.97766531439584"/>
    <n v="0"/>
    <n v="0"/>
    <n v="206.61185505327012"/>
    <n v="0"/>
    <n v="0"/>
    <n v="0"/>
    <n v="23.116321865738541"/>
    <n v="0"/>
    <n v="0"/>
    <m/>
    <n v="0"/>
    <n v="0"/>
    <n v="0"/>
    <n v="0"/>
    <n v="0"/>
    <n v="-6.2118752635222094"/>
    <n v="0"/>
    <n v="0"/>
    <m/>
    <m/>
    <m/>
    <n v="11742.877387053633"/>
    <n v="0"/>
    <n v="0"/>
    <n v="-360.87600000000202"/>
    <n v="206.61920000000009"/>
    <n v="0"/>
    <n v="0"/>
    <n v="-528.86667572403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0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45.088000000000001"/>
    <n v="45.088000000000001"/>
    <n v="45.088000000000001"/>
    <n v="45.088000000000001"/>
    <m/>
    <n v="451.48"/>
    <n v="144.41999999999999"/>
    <m/>
    <n v="26867.939200000001"/>
    <n v="26867.939200000001"/>
    <n v="26671.355519999997"/>
    <n v="0"/>
    <n v="0"/>
    <n v="0"/>
    <n v="0"/>
    <n v="0"/>
    <n v="4597.3372072343282"/>
    <n v="14965.032663297743"/>
    <n v="6511.6911838513524"/>
    <n v="0"/>
    <n v="0"/>
    <n v="0"/>
    <n v="0"/>
    <n v="0"/>
    <n v="0"/>
    <m/>
    <n v="65.596510816165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.54652632302702"/>
    <n v="0"/>
    <n v="5.63"/>
    <n v="26.55"/>
    <n v="5065.51"/>
    <n v="218"/>
    <m/>
    <m/>
    <m/>
    <m/>
    <m/>
    <m/>
    <m/>
    <n v="2666.955199999999"/>
    <m/>
    <n v="7240.2377101743796"/>
    <m/>
    <m/>
    <m/>
    <m/>
    <m/>
    <m/>
    <m/>
    <m/>
    <m/>
    <m/>
    <m/>
    <m/>
    <n v="24005.465100000001"/>
    <n v="-176.1610599999949"/>
    <m/>
    <m/>
    <m/>
    <m/>
    <n v="-459.89760000000206"/>
    <n v="263.31392000000017"/>
    <n v="29"/>
    <n v="477.25223241204367"/>
    <n v="0"/>
    <n v="0"/>
    <n v="0"/>
    <n v="0"/>
    <n v="0"/>
    <n v="0"/>
    <n v="0"/>
    <n v="192.40477596651999"/>
    <n v="0"/>
    <n v="0"/>
    <n v="263.3045596563552"/>
    <n v="0"/>
    <n v="0"/>
    <n v="0"/>
    <n v="29.459262868355495"/>
    <n v="0"/>
    <n v="0"/>
    <m/>
    <n v="0"/>
    <n v="0"/>
    <n v="0"/>
    <n v="0"/>
    <n v="0"/>
    <n v="-7.9163660791885135"/>
    <n v="0"/>
    <n v="0"/>
    <m/>
    <m/>
    <m/>
    <n v="14965.032663297743"/>
    <n v="0"/>
    <n v="0"/>
    <n v="-459.89760000000388"/>
    <n v="263.31392000000051"/>
    <n v="0"/>
    <n v="0"/>
    <n v="-673.98362563723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1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8.343"/>
    <n v="28.343"/>
    <n v="28.343"/>
    <n v="28.343"/>
    <m/>
    <n v="451.48"/>
    <n v="144.41999999999999"/>
    <m/>
    <n v="16889.593700000001"/>
    <n v="16889.593700000001"/>
    <n v="16766.018219999998"/>
    <n v="0"/>
    <n v="0"/>
    <n v="0"/>
    <n v="0"/>
    <n v="0"/>
    <n v="2889.9558300355429"/>
    <n v="9407.2462911605744"/>
    <n v="4093.3477471588644"/>
    <n v="0"/>
    <n v="0"/>
    <n v="0"/>
    <n v="0"/>
    <n v="0"/>
    <n v="0"/>
    <m/>
    <n v="41.234960656107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7.97538581382088"/>
    <n v="0"/>
    <n v="2.0499999999999998"/>
    <n v="9.75"/>
    <n v="4969.51"/>
    <n v="255"/>
    <m/>
    <m/>
    <m/>
    <m/>
    <m/>
    <m/>
    <m/>
    <m/>
    <m/>
    <n v="4551.323132972685"/>
    <m/>
    <m/>
    <m/>
    <m/>
    <m/>
    <m/>
    <m/>
    <m/>
    <m/>
    <m/>
    <m/>
    <m/>
    <n v="16764.243599999998"/>
    <n v="-125.38010000000213"/>
    <m/>
    <m/>
    <m/>
    <m/>
    <n v="-289.09860000000128"/>
    <n v="165.52312000000009"/>
    <n v="29"/>
    <n v="300.00798490184752"/>
    <n v="0"/>
    <n v="0"/>
    <n v="0"/>
    <n v="0"/>
    <n v="0"/>
    <n v="0"/>
    <n v="0"/>
    <n v="120.94855760333303"/>
    <n v="0"/>
    <n v="0"/>
    <n v="165.51723594615078"/>
    <n v="0"/>
    <n v="0"/>
    <n v="0"/>
    <n v="18.518539023194649"/>
    <n v="0"/>
    <n v="0"/>
    <m/>
    <n v="0"/>
    <n v="0"/>
    <n v="0"/>
    <n v="0"/>
    <n v="0"/>
    <n v="-4.9763476708312595"/>
    <n v="0"/>
    <n v="0"/>
    <m/>
    <m/>
    <m/>
    <n v="9407.2462911605744"/>
    <n v="0"/>
    <n v="0"/>
    <n v="-289.09860000000117"/>
    <n v="165.52311999999984"/>
    <n v="0"/>
    <n v="0"/>
    <n v="-423.67631967344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2"/>
    <s v="Regular"/>
    <s v="Convencional"/>
    <s v="B3"/>
    <s v="Industrial"/>
    <s v="Não se aplica"/>
    <s v="Não se aplica"/>
    <s v="Não se aplica"/>
    <s v="Não se aplica"/>
    <s v="CATIVO"/>
    <x v="5"/>
    <n v="0"/>
    <n v="0"/>
    <n v="433.52"/>
    <n v="433.52"/>
    <n v="433.52"/>
    <n v="433.52"/>
    <m/>
    <n v="522.37"/>
    <n v="144.41999999999999"/>
    <m/>
    <n v="289066.80079999997"/>
    <n v="289066.80079999997"/>
    <n v="282542.3248"/>
    <n v="0"/>
    <n v="26618.550870614232"/>
    <n v="0"/>
    <n v="0"/>
    <n v="0"/>
    <n v="44203.283048266188"/>
    <n v="143888.41732152319"/>
    <n v="62609.748980288285"/>
    <n v="0"/>
    <n v="0"/>
    <n v="0"/>
    <n v="0"/>
    <n v="0"/>
    <n v="4110.9642306771711"/>
    <m/>
    <n v="630.708822059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04.9567532726815"/>
    <n v="0"/>
    <n v="32.46"/>
    <n v="152.03"/>
    <n v="104654.99"/>
    <n v="562"/>
    <m/>
    <m/>
    <m/>
    <m/>
    <m/>
    <m/>
    <m/>
    <m/>
    <m/>
    <n v="69614.705733560972"/>
    <m/>
    <m/>
    <m/>
    <m/>
    <m/>
    <m/>
    <m/>
    <m/>
    <m/>
    <m/>
    <m/>
    <m/>
    <n v="282542.3248"/>
    <n v="-6524.5059999999939"/>
    <m/>
    <m/>
    <m/>
    <m/>
    <n v="-9056.2327999999943"/>
    <n v="2531.7568000000015"/>
    <n v="29"/>
    <n v="-41.608710070780944"/>
    <n v="0"/>
    <n v="0"/>
    <n v="0"/>
    <n v="0"/>
    <n v="0"/>
    <n v="0"/>
    <n v="0"/>
    <n v="1849.9671415233679"/>
    <n v="0"/>
    <n v="0"/>
    <n v="2531.6668005283645"/>
    <n v="0"/>
    <n v="0"/>
    <n v="0"/>
    <n v="283.25008070194963"/>
    <n v="0"/>
    <n v="-4089.4376514949436"/>
    <m/>
    <n v="0"/>
    <n v="0"/>
    <n v="0"/>
    <n v="0"/>
    <n v="-540.93941812313597"/>
    <n v="-76.115663206391901"/>
    <n v="0"/>
    <n v="0"/>
    <m/>
    <m/>
    <m/>
    <n v="143888.41732152319"/>
    <n v="0"/>
    <n v="0"/>
    <n v="-9056.232799999998"/>
    <n v="2531.7568000000028"/>
    <n v="0"/>
    <n v="0"/>
    <n v="-6480.3358185382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3"/>
    <s v="Refaturamento - Regular"/>
    <s v="Convencional"/>
    <s v="B3"/>
    <s v="Industrial"/>
    <s v="Não se aplica"/>
    <s v="Não se aplica"/>
    <s v="Não se aplica"/>
    <s v="Não se aplica"/>
    <s v="CATIVO"/>
    <x v="5"/>
    <n v="0"/>
    <n v="0"/>
    <n v="-0.42799999999999999"/>
    <n v="-0.42799999999999999"/>
    <n v="-0.42799999999999999"/>
    <n v="-0.42799999999999999"/>
    <m/>
    <n v="522.37"/>
    <n v="144.41999999999999"/>
    <m/>
    <n v="-285.38612000000001"/>
    <n v="-285.38612000000001"/>
    <n v="-278.94472000000002"/>
    <n v="0"/>
    <n v="-26.279617486212612"/>
    <n v="0"/>
    <n v="0"/>
    <n v="0"/>
    <n v="-43.640443681163333"/>
    <n v="-142.05628947594556"/>
    <n v="-61.812540513847999"/>
    <n v="0"/>
    <n v="0"/>
    <n v="0"/>
    <n v="0"/>
    <n v="0"/>
    <n v="-4.0586194194727563"/>
    <m/>
    <n v="-0.622678021409661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9157628031018357"/>
    <n v="0"/>
    <n v="0"/>
    <n v="0"/>
    <n v="-88.15"/>
    <n v="0"/>
    <m/>
    <m/>
    <m/>
    <m/>
    <m/>
    <m/>
    <m/>
    <m/>
    <m/>
    <n v="-68.728303316949834"/>
    <m/>
    <m/>
    <m/>
    <m/>
    <m/>
    <m/>
    <m/>
    <m/>
    <m/>
    <m/>
    <m/>
    <m/>
    <n v="-280.2482"/>
    <n v="5.1079200000000355"/>
    <m/>
    <m/>
    <m/>
    <m/>
    <n v="8.9409199999999949"/>
    <n v="-2.4995200000000013"/>
    <n v="29"/>
    <n v="4.1078907340590831E-2"/>
    <n v="0"/>
    <n v="0"/>
    <n v="0"/>
    <n v="0"/>
    <n v="0"/>
    <n v="0"/>
    <n v="0"/>
    <n v="-1.826411553266297"/>
    <n v="0"/>
    <n v="0"/>
    <n v="-2.4994311464895347"/>
    <n v="0"/>
    <n v="0"/>
    <n v="0"/>
    <n v="-0.2796434640626364"/>
    <n v="0"/>
    <n v="4.0373669377187582"/>
    <m/>
    <n v="0"/>
    <n v="0"/>
    <n v="0"/>
    <n v="0"/>
    <n v="0.53405164918966186"/>
    <n v="7.5146484250636081E-2"/>
    <n v="0"/>
    <n v="0"/>
    <m/>
    <m/>
    <m/>
    <n v="-142.05628947594556"/>
    <n v="0"/>
    <n v="0"/>
    <n v="8.9409199999999771"/>
    <n v="-2.499520000000004"/>
    <n v="0"/>
    <n v="0"/>
    <n v="6.3978218544343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4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9"/>
    <n v="0.9"/>
    <n v="0.9"/>
    <n v="0.9"/>
    <m/>
    <n v="522.37"/>
    <n v="144.41999999999999"/>
    <m/>
    <n v="600.11099999999999"/>
    <n v="600.11099999999999"/>
    <n v="586.56600000000003"/>
    <n v="0"/>
    <n v="55.260877891568576"/>
    <n v="0"/>
    <n v="0"/>
    <n v="0"/>
    <n v="91.7672881145958"/>
    <n v="298.71649656156779"/>
    <n v="129.97964126743739"/>
    <n v="0"/>
    <n v="0"/>
    <n v="0"/>
    <n v="0"/>
    <n v="0"/>
    <n v="8.5344800876763571"/>
    <m/>
    <n v="1.309369671188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4249187568143"/>
    <n v="0"/>
    <n v="0"/>
    <n v="0"/>
    <n v="3758.25"/>
    <n v="9"/>
    <m/>
    <m/>
    <m/>
    <m/>
    <m/>
    <m/>
    <m/>
    <m/>
    <m/>
    <n v="144.52213314311882"/>
    <m/>
    <m/>
    <m/>
    <m/>
    <m/>
    <m/>
    <m/>
    <m/>
    <m/>
    <m/>
    <m/>
    <m/>
    <n v="586.56600000000003"/>
    <n v="-13.574999999999932"/>
    <m/>
    <m/>
    <m/>
    <m/>
    <n v="-18.800999999999988"/>
    <n v="5.2560000000000029"/>
    <n v="29"/>
    <n v="-8.638087992187593E-2"/>
    <n v="0"/>
    <n v="0"/>
    <n v="0"/>
    <n v="0"/>
    <n v="0"/>
    <n v="0"/>
    <n v="0"/>
    <n v="3.8405850419151051"/>
    <n v="0"/>
    <n v="0"/>
    <n v="5.2558131585060153"/>
    <n v="0"/>
    <n v="0"/>
    <n v="0"/>
    <n v="0.58803532162704109"/>
    <n v="0"/>
    <n v="-8.4897902895955184"/>
    <m/>
    <n v="0"/>
    <n v="0"/>
    <n v="0"/>
    <n v="0"/>
    <n v="-1.1230058043707842"/>
    <n v="-0.15801830800367389"/>
    <n v="0"/>
    <n v="0"/>
    <m/>
    <m/>
    <m/>
    <n v="298.71649656156779"/>
    <n v="0"/>
    <n v="0"/>
    <n v="-18.800999999999988"/>
    <n v="5.2560000000000286"/>
    <n v="0"/>
    <n v="0"/>
    <n v="-13.45336371259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5"/>
    <s v="Regular"/>
    <s v="Azul"/>
    <s v="A4"/>
    <s v="Industrial"/>
    <s v="Não se aplica"/>
    <s v="Não se aplica"/>
    <s v="Não se aplica"/>
    <s v="Ponta"/>
    <s v="CATIVO"/>
    <x v="5"/>
    <n v="108"/>
    <n v="108"/>
    <n v="3.2130000000000001"/>
    <n v="3.2130000000000001"/>
    <n v="3.2130000000000001"/>
    <n v="3.2130000000000001"/>
    <n v="111"/>
    <n v="69.64"/>
    <n v="144.41999999999999"/>
    <n v="11988"/>
    <n v="687.77477999999996"/>
    <n v="12675.77478"/>
    <n v="12417.466319999998"/>
    <n v="0"/>
    <n v="171.63476064342288"/>
    <n v="0"/>
    <n v="0"/>
    <n v="0"/>
    <n v="3374.4935579379949"/>
    <n v="8613.1161360501519"/>
    <n v="464.02731932475149"/>
    <n v="0"/>
    <n v="0"/>
    <n v="0"/>
    <n v="0"/>
    <n v="0"/>
    <n v="30.468093913004594"/>
    <m/>
    <n v="1.5990625586853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044629496204511"/>
    <n v="0"/>
    <n v="0"/>
    <n v="0"/>
    <n v="0"/>
    <n v="0"/>
    <m/>
    <m/>
    <m/>
    <m/>
    <m/>
    <m/>
    <m/>
    <m/>
    <m/>
    <n v="484.07194882095598"/>
    <m/>
    <m/>
    <m/>
    <m/>
    <m/>
    <m/>
    <m/>
    <m/>
    <m/>
    <m/>
    <m/>
    <m/>
    <n v="12416.834399999998"/>
    <n v="-258.97038000000248"/>
    <m/>
    <m/>
    <m/>
    <m/>
    <n v="-277.07238000000069"/>
    <n v="18.763920000000013"/>
    <n v="29"/>
    <n v="130.23033769506173"/>
    <n v="0"/>
    <n v="0"/>
    <n v="0"/>
    <n v="0"/>
    <n v="0"/>
    <n v="0"/>
    <n v="0"/>
    <n v="141.22711642595414"/>
    <n v="0"/>
    <n v="0"/>
    <n v="18.763252975866521"/>
    <n v="0"/>
    <n v="0"/>
    <n v="0"/>
    <n v="0.81051791216095737"/>
    <n v="0"/>
    <n v="-26.368439660454612"/>
    <m/>
    <n v="0"/>
    <n v="0"/>
    <n v="0"/>
    <n v="0"/>
    <n v="-4.0091307216037002"/>
    <n v="-0.19297923686144336"/>
    <n v="0"/>
    <n v="0"/>
    <m/>
    <m/>
    <n v="8613.1161360501519"/>
    <n v="0"/>
    <n v="0"/>
    <n v="0"/>
    <n v="-277.07238000000143"/>
    <n v="18.763919999999985"/>
    <n v="0"/>
    <n v="0"/>
    <n v="-387.910896823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6"/>
    <s v="Regular"/>
    <s v="Azul"/>
    <s v="A4"/>
    <s v="Industrial"/>
    <s v="Não se aplica"/>
    <s v="Não se aplica"/>
    <s v="Não se aplica"/>
    <s v="Fora ponta"/>
    <s v="CATIVO"/>
    <x v="5"/>
    <n v="4000"/>
    <n v="4000"/>
    <n v="1242.145"/>
    <n v="1242.145"/>
    <n v="1242.145"/>
    <n v="1242.145"/>
    <n v="34.950000000000003"/>
    <n v="69.64"/>
    <n v="144.41999999999999"/>
    <n v="139800"/>
    <n v="265893.55869999994"/>
    <n v="405693.55869999994"/>
    <n v="399565.4228"/>
    <n v="0"/>
    <n v="66353.955729668378"/>
    <n v="0"/>
    <n v="0"/>
    <n v="0"/>
    <n v="50679.118045748"/>
    <n v="89139.231970373206"/>
    <n v="179392.84611349003"/>
    <n v="0"/>
    <n v="0"/>
    <n v="0"/>
    <n v="0"/>
    <n v="0"/>
    <n v="11778.957520563054"/>
    <m/>
    <n v="618.19718703957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49.2487723507475"/>
    <n v="0"/>
    <n v="0"/>
    <n v="0"/>
    <n v="0"/>
    <n v="0"/>
    <m/>
    <m/>
    <m/>
    <m/>
    <m/>
    <m/>
    <m/>
    <m/>
    <m/>
    <n v="187142.09488584078"/>
    <m/>
    <m/>
    <m/>
    <m/>
    <m/>
    <m/>
    <m/>
    <m/>
    <m/>
    <m/>
    <m/>
    <m/>
    <n v="399566.47600000002"/>
    <n v="-6127.1126999999397"/>
    <m/>
    <m/>
    <m/>
    <m/>
    <n v="-13382.262700000021"/>
    <n v="7254.1268000000046"/>
    <n v="29"/>
    <n v="-2130.3623302688939"/>
    <n v="0"/>
    <n v="0"/>
    <n v="0"/>
    <n v="0"/>
    <n v="0"/>
    <n v="0"/>
    <n v="0"/>
    <n v="2120.9895890227926"/>
    <n v="0"/>
    <n v="0"/>
    <n v="7253.8689286360459"/>
    <n v="0"/>
    <n v="0"/>
    <n v="0"/>
    <n v="313.34602303180054"/>
    <n v="0"/>
    <n v="-10194.032207293923"/>
    <m/>
    <n v="0"/>
    <n v="0"/>
    <n v="0"/>
    <n v="0"/>
    <n v="-1549.9289387446079"/>
    <n v="-74.605724921026308"/>
    <n v="0"/>
    <n v="0"/>
    <m/>
    <m/>
    <n v="89139.231970373206"/>
    <n v="0"/>
    <n v="0"/>
    <n v="0"/>
    <n v="-13382.262699999992"/>
    <n v="7254.1268000000273"/>
    <n v="0"/>
    <n v="0"/>
    <n v="-4014.584137678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7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3256.3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58"/>
    <s v="Regular"/>
    <s v="Verde"/>
    <s v="A4"/>
    <s v="Industrial"/>
    <s v="Não se aplica"/>
    <s v="Não se aplica"/>
    <s v="Não se aplica"/>
    <s v="Ponta"/>
    <s v="CATIVO"/>
    <x v="5"/>
    <n v="0"/>
    <n v="0"/>
    <n v="85.513999999999996"/>
    <n v="85.513999999999996"/>
    <n v="85.513999999999996"/>
    <n v="85.513999999999996"/>
    <m/>
    <n v="2740.31"/>
    <n v="144.41999999999999"/>
    <m/>
    <n v="246684.80121999996"/>
    <n v="246684.80121999996"/>
    <n v="241698.47987999997"/>
    <n v="0"/>
    <n v="4568.0594216189429"/>
    <n v="0"/>
    <n v="0"/>
    <n v="0"/>
    <n v="64363.207812034394"/>
    <n v="164016.49899854689"/>
    <n v="12350.087825937379"/>
    <n v="0"/>
    <n v="0"/>
    <n v="0"/>
    <n v="0"/>
    <n v="0"/>
    <n v="810.90836690839546"/>
    <m/>
    <n v="42.5590524878354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3.48784523449501"/>
    <n v="0"/>
    <n v="0"/>
    <n v="0"/>
    <n v="0"/>
    <n v="0"/>
    <m/>
    <m/>
    <m/>
    <m/>
    <m/>
    <m/>
    <m/>
    <m/>
    <m/>
    <n v="12883.575671171873"/>
    <m/>
    <m/>
    <m/>
    <m/>
    <m/>
    <m/>
    <m/>
    <m/>
    <m/>
    <m/>
    <m/>
    <m/>
    <n v="241687.17419999998"/>
    <n v="-4997.6570200000133"/>
    <m/>
    <m/>
    <m/>
    <m/>
    <n v="-5485.7231000000074"/>
    <n v="499.40176000000025"/>
    <n v="29"/>
    <n v="2401.0079583684565"/>
    <n v="0"/>
    <n v="0"/>
    <n v="0"/>
    <n v="0"/>
    <n v="0"/>
    <n v="0"/>
    <n v="0"/>
    <n v="2693.687241404099"/>
    <n v="0"/>
    <n v="0"/>
    <n v="499.38400715164789"/>
    <n v="0"/>
    <n v="0"/>
    <n v="0"/>
    <n v="21.571935493474029"/>
    <n v="0"/>
    <n v="-701.79606259698585"/>
    <m/>
    <n v="0"/>
    <n v="0"/>
    <n v="0"/>
    <n v="0"/>
    <n v="-106.70302039440355"/>
    <n v="-5.1361426893773654"/>
    <n v="0"/>
    <n v="0"/>
    <m/>
    <m/>
    <m/>
    <n v="164016.49899854689"/>
    <n v="0"/>
    <n v="0"/>
    <n v="-5485.7231000000029"/>
    <n v="499.40176000000065"/>
    <n v="0"/>
    <n v="0"/>
    <n v="-7386.8488727383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59"/>
    <s v="Regular"/>
    <s v="Verde"/>
    <s v="A4"/>
    <s v="Industrial"/>
    <s v="Não se aplica"/>
    <s v="Não se aplica"/>
    <s v="Não se aplica"/>
    <s v="Fora ponta"/>
    <s v="CATIVO"/>
    <x v="5"/>
    <n v="0"/>
    <n v="0"/>
    <n v="5092.2809999999999"/>
    <n v="5092.2809999999999"/>
    <n v="5092.2809999999999"/>
    <n v="5092.2809999999999"/>
    <m/>
    <n v="69.64"/>
    <n v="144.41999999999999"/>
    <m/>
    <n v="1090053.67086"/>
    <n v="1090053.67086"/>
    <n v="1072638.06984"/>
    <n v="0"/>
    <n v="272023.78791286959"/>
    <n v="0"/>
    <n v="0"/>
    <n v="0"/>
    <n v="0"/>
    <n v="0"/>
    <n v="735436.50845887477"/>
    <n v="0"/>
    <n v="0"/>
    <n v="0"/>
    <n v="0"/>
    <n v="0"/>
    <n v="48288.856439280717"/>
    <m/>
    <n v="2534.3529055102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68.716444308062"/>
    <n v="0"/>
    <n v="0"/>
    <n v="0"/>
    <n v="0"/>
    <n v="0"/>
    <m/>
    <m/>
    <m/>
    <m/>
    <m/>
    <m/>
    <m/>
    <m/>
    <m/>
    <n v="767205.22490318283"/>
    <m/>
    <m/>
    <m/>
    <m/>
    <m/>
    <m/>
    <m/>
    <m/>
    <m/>
    <m/>
    <m/>
    <m/>
    <n v="1072637.8591999998"/>
    <n v="-17415.841660000151"/>
    <m/>
    <m/>
    <m/>
    <m/>
    <n v="-47154.522059999988"/>
    <n v="29738.921040000016"/>
    <n v="29"/>
    <n v="-17428.785369600635"/>
    <n v="0"/>
    <n v="0"/>
    <n v="0"/>
    <n v="0"/>
    <n v="0"/>
    <n v="0"/>
    <n v="0"/>
    <n v="0"/>
    <n v="0"/>
    <n v="0"/>
    <n v="29737.863874011324"/>
    <n v="0"/>
    <n v="0"/>
    <n v="0"/>
    <n v="1284.5891578764131"/>
    <n v="0"/>
    <n v="-41791.31785950184"/>
    <m/>
    <n v="0"/>
    <n v="0"/>
    <n v="0"/>
    <n v="0"/>
    <n v="-6354.0679116522879"/>
    <n v="-305.85263033427555"/>
    <n v="0"/>
    <n v="0"/>
    <m/>
    <m/>
    <m/>
    <n v="0"/>
    <n v="0"/>
    <n v="0"/>
    <n v="-47154.522059999988"/>
    <n v="29738.92103999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0"/>
    <s v="Regular"/>
    <s v="Verde"/>
    <s v="A4"/>
    <s v="Industrial"/>
    <s v="Não se aplica"/>
    <s v="Não se aplica"/>
    <s v="Não se aplica"/>
    <s v="Não se aplica"/>
    <s v="CATIVO"/>
    <x v="5"/>
    <n v="21312"/>
    <n v="21312"/>
    <n v="0"/>
    <n v="0"/>
    <n v="0"/>
    <n v="0"/>
    <n v="34.950000000000003"/>
    <m/>
    <m/>
    <n v="744854.4"/>
    <m/>
    <n v="744854.4"/>
    <n v="734837.75999999989"/>
    <n v="0"/>
    <n v="0"/>
    <n v="0"/>
    <n v="0"/>
    <n v="0"/>
    <n v="270018.34094774531"/>
    <n v="474933.827938148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3.67"/>
    <n v="847.77"/>
    <n v="873665.98"/>
    <n v="69"/>
    <m/>
    <m/>
    <m/>
    <m/>
    <m/>
    <m/>
    <m/>
    <m/>
    <m/>
    <n v="0"/>
    <m/>
    <m/>
    <m/>
    <m/>
    <m/>
    <m/>
    <m/>
    <m/>
    <m/>
    <m/>
    <m/>
    <m/>
    <n v="734837.75999999989"/>
    <n v="-10016.670000000158"/>
    <m/>
    <m/>
    <m/>
    <m/>
    <n v="-10016.640000000127"/>
    <n v="0"/>
    <n v="29"/>
    <n v="11300.632530313509"/>
    <n v="0"/>
    <n v="0"/>
    <n v="0"/>
    <n v="0"/>
    <m/>
    <m/>
    <m/>
    <n v="11300.6325303135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4933.8279381484"/>
    <m/>
    <n v="0"/>
    <n v="0"/>
    <n v="-10016.64000000013"/>
    <m/>
    <n v="0"/>
    <m/>
    <n v="-21389.7042855483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61"/>
    <s v="Sistema de Compensação"/>
    <s v="Verde"/>
    <s v="A4"/>
    <s v="Industrial"/>
    <s v="Não se aplica"/>
    <s v="Não se aplica"/>
    <s v="Não se aplica"/>
    <s v="Não se aplica"/>
    <s v="CATIVO"/>
    <x v="5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31.2800000000002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29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62"/>
    <s v="Regular"/>
    <s v="Convencional"/>
    <s v="B3"/>
    <s v="Comercial"/>
    <s v="Não se aplica"/>
    <s v="Não se aplica"/>
    <s v="Não se aplica"/>
    <s v="Não se aplica"/>
    <s v="CATIVO"/>
    <x v="5"/>
    <n v="0"/>
    <n v="0"/>
    <n v="885.84"/>
    <n v="885.84"/>
    <n v="885.84"/>
    <n v="885.84"/>
    <m/>
    <n v="522.37"/>
    <n v="144.41999999999999"/>
    <m/>
    <n v="590669.25360000005"/>
    <n v="590669.25360000005"/>
    <n v="577337.36159999995"/>
    <n v="0"/>
    <n v="54391.440079407905"/>
    <n v="0"/>
    <n v="0"/>
    <n v="0"/>
    <n v="90323.482781592829"/>
    <n v="294016.69034899917"/>
    <n v="127934.62824482971"/>
    <n v="0"/>
    <n v="0"/>
    <n v="0"/>
    <n v="0"/>
    <n v="0"/>
    <n v="8400.2042676302481"/>
    <m/>
    <n v="1288.7689216951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13.690003504043"/>
    <n v="0"/>
    <n v="305.68"/>
    <n v="1413"/>
    <n v="212590.37"/>
    <n v="1213"/>
    <m/>
    <m/>
    <m/>
    <m/>
    <m/>
    <m/>
    <m/>
    <m/>
    <m/>
    <n v="142248.31824833376"/>
    <m/>
    <m/>
    <m/>
    <m/>
    <m/>
    <m/>
    <m/>
    <m/>
    <m/>
    <m/>
    <m/>
    <m/>
    <n v="577337.36159999995"/>
    <n v="-13331.922000000137"/>
    <m/>
    <m/>
    <m/>
    <m/>
    <n v="-18505.197599999989"/>
    <n v="5173.3056000000033"/>
    <n v="29"/>
    <n v="-85.021820744383149"/>
    <n v="0"/>
    <n v="0"/>
    <n v="0"/>
    <n v="0"/>
    <n v="0"/>
    <n v="0"/>
    <n v="0"/>
    <n v="3780.1598372556327"/>
    <n v="0"/>
    <n v="0"/>
    <n v="5173.1216981455218"/>
    <n v="0"/>
    <n v="0"/>
    <n v="0"/>
    <n v="578.78356590010662"/>
    <n v="0"/>
    <n v="-8356.2175890392173"/>
    <m/>
    <n v="0"/>
    <n v="0"/>
    <n v="0"/>
    <n v="0"/>
    <n v="-1105.3371797153495"/>
    <n v="-155.53215329108298"/>
    <n v="0"/>
    <n v="0"/>
    <m/>
    <m/>
    <m/>
    <n v="294016.69034899917"/>
    <n v="0"/>
    <n v="0"/>
    <n v="-18505.197600000014"/>
    <n v="5173.3055999999924"/>
    <n v="0"/>
    <n v="0"/>
    <n v="-13241.697456850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3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1.004"/>
    <n v="-1.004"/>
    <n v="-1.004"/>
    <n v="-1.004"/>
    <m/>
    <n v="522.37"/>
    <n v="144.41999999999999"/>
    <m/>
    <n v="-669.45715999999993"/>
    <n v="-669.45715999999993"/>
    <n v="-654.34696000000008"/>
    <n v="0"/>
    <n v="-61.646579336816501"/>
    <n v="0"/>
    <n v="0"/>
    <n v="0"/>
    <n v="-102.37150807450465"/>
    <n v="-333.23484727534895"/>
    <n v="-144.99951092500794"/>
    <n v="0"/>
    <n v="0"/>
    <n v="0"/>
    <n v="0"/>
    <n v="0"/>
    <n v="-9.5206866755856243"/>
    <m/>
    <n v="-1.4606746109703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.222957603537949"/>
    <n v="0"/>
    <n v="0"/>
    <n v="0"/>
    <n v="-239.6"/>
    <n v="0"/>
    <m/>
    <m/>
    <m/>
    <m/>
    <m/>
    <m/>
    <m/>
    <m/>
    <m/>
    <n v="-161.2224685285459"/>
    <m/>
    <m/>
    <m/>
    <m/>
    <m/>
    <m/>
    <m/>
    <m/>
    <m/>
    <m/>
    <m/>
    <m/>
    <n v="-651.74"/>
    <n v="17.687159999999949"/>
    <m/>
    <m/>
    <m/>
    <m/>
    <n v="20.973559999999985"/>
    <n v="-5.8633600000000037"/>
    <n v="29"/>
    <n v="9.6362670490577784E-2"/>
    <n v="0"/>
    <n v="0"/>
    <n v="0"/>
    <n v="0"/>
    <n v="0"/>
    <n v="0"/>
    <n v="0"/>
    <n v="-4.2843859800919546"/>
    <n v="0"/>
    <n v="0"/>
    <n v="-5.8631515679333859"/>
    <n v="0"/>
    <n v="0"/>
    <n v="0"/>
    <n v="-0.65598606990394259"/>
    <n v="0"/>
    <n v="9.4708327230598854"/>
    <m/>
    <n v="0"/>
    <n v="0"/>
    <n v="0"/>
    <n v="0"/>
    <n v="1.252775363986963"/>
    <n v="0.17627820137298755"/>
    <n v="0"/>
    <n v="0"/>
    <m/>
    <m/>
    <m/>
    <n v="-333.23484727534895"/>
    <n v="0"/>
    <n v="0"/>
    <n v="20.973559999999964"/>
    <n v="-5.8633600000000285"/>
    <n v="0"/>
    <n v="0"/>
    <n v="15.00797463049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4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30.131"/>
    <n v="30.131"/>
    <n v="30.131"/>
    <n v="30.131"/>
    <m/>
    <n v="522.37"/>
    <n v="144.41999999999999"/>
    <m/>
    <n v="20091.049489999998"/>
    <n v="20091.049489999998"/>
    <n v="19637.577939999999"/>
    <n v="0"/>
    <n v="1850.072790834281"/>
    <n v="0"/>
    <n v="0"/>
    <n v="0"/>
    <n v="3072.266842423207"/>
    <n v="10000.696397662889"/>
    <n v="4351.5739678101736"/>
    <n v="0"/>
    <n v="0"/>
    <n v="0"/>
    <n v="0"/>
    <n v="0"/>
    <n v="285.72491057975145"/>
    <m/>
    <n v="43.836241736202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.86646967350799"/>
    <n v="0"/>
    <n v="0.48"/>
    <n v="2.2599999999999998"/>
    <n v="15540.83"/>
    <n v="46"/>
    <m/>
    <m/>
    <m/>
    <m/>
    <m/>
    <m/>
    <m/>
    <m/>
    <m/>
    <n v="4838.4404374836813"/>
    <m/>
    <m/>
    <m/>
    <m/>
    <m/>
    <m/>
    <m/>
    <m/>
    <m/>
    <m/>
    <m/>
    <m/>
    <n v="19636.926199999998"/>
    <n v="-454.15329000000202"/>
    <m/>
    <m/>
    <m/>
    <m/>
    <n v="-629.43658999999957"/>
    <n v="175.9650400000001"/>
    <n v="29"/>
    <n v="-2.891935881027166"/>
    <n v="0"/>
    <n v="0"/>
    <n v="0"/>
    <n v="0"/>
    <n v="0"/>
    <n v="0"/>
    <n v="0"/>
    <n v="128.57851988660423"/>
    <n v="0"/>
    <n v="0"/>
    <n v="175.95878475438258"/>
    <n v="0"/>
    <n v="0"/>
    <n v="0"/>
    <n v="19.686769195493696"/>
    <n v="0"/>
    <n v="-284.22874579533618"/>
    <m/>
    <n v="0"/>
    <n v="0"/>
    <n v="0"/>
    <n v="0"/>
    <n v="-37.596986546106763"/>
    <n v="-5.2902773760652195"/>
    <n v="0"/>
    <n v="0"/>
    <m/>
    <m/>
    <m/>
    <n v="10000.696397662889"/>
    <n v="0"/>
    <n v="0"/>
    <n v="-629.43658999999934"/>
    <n v="175.96504000000004"/>
    <n v="0"/>
    <n v="0"/>
    <n v="-450.40366891579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5"/>
    <s v="Regular"/>
    <s v="Verde"/>
    <s v="A4"/>
    <s v="Comercial"/>
    <s v="Não se aplica"/>
    <s v="Não se aplica"/>
    <s v="Não se aplica"/>
    <s v="Ponta"/>
    <s v="CATIVO"/>
    <x v="5"/>
    <n v="0"/>
    <n v="0"/>
    <n v="8.3879999999999999"/>
    <n v="8.3879999999999999"/>
    <n v="8.3879999999999999"/>
    <n v="8.3879999999999999"/>
    <m/>
    <n v="2740.31"/>
    <n v="144.41999999999999"/>
    <m/>
    <n v="24197.115239999999"/>
    <n v="24197.115239999999"/>
    <n v="23708.01096"/>
    <n v="0"/>
    <n v="448.07730229599474"/>
    <n v="0"/>
    <n v="0"/>
    <n v="0"/>
    <n v="6313.3356775188222"/>
    <n v="16088.24746357101"/>
    <n v="1211.4102566125164"/>
    <n v="0"/>
    <n v="0"/>
    <n v="0"/>
    <n v="0"/>
    <n v="0"/>
    <n v="79.541354417143637"/>
    <m/>
    <n v="4.1745834865397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32939689205211"/>
    <n v="0"/>
    <n v="0"/>
    <n v="0"/>
    <n v="0"/>
    <n v="0"/>
    <m/>
    <m/>
    <m/>
    <m/>
    <m/>
    <m/>
    <m/>
    <m/>
    <m/>
    <n v="1263.7396535045684"/>
    <m/>
    <m/>
    <m/>
    <m/>
    <m/>
    <m/>
    <m/>
    <m/>
    <m/>
    <m/>
    <m/>
    <m/>
    <n v="23713.663800000002"/>
    <n v="-483.48143999999229"/>
    <m/>
    <m/>
    <m/>
    <m/>
    <n v="-538.09020000000078"/>
    <n v="48.985920000000029"/>
    <n v="29"/>
    <n v="235.51295407529415"/>
    <n v="0"/>
    <n v="0"/>
    <n v="0"/>
    <n v="0"/>
    <n v="0"/>
    <n v="0"/>
    <n v="0"/>
    <n v="264.22163132232799"/>
    <n v="0"/>
    <n v="0"/>
    <n v="48.984178637276273"/>
    <n v="0"/>
    <n v="0"/>
    <n v="0"/>
    <n v="2.1159739331484957"/>
    <n v="0"/>
    <n v="-68.838615584156003"/>
    <m/>
    <n v="0"/>
    <n v="0"/>
    <n v="0"/>
    <n v="0"/>
    <n v="-10.466414096735704"/>
    <n v="-0.50380013656824962"/>
    <n v="0"/>
    <n v="0"/>
    <m/>
    <m/>
    <m/>
    <n v="16088.24746357101"/>
    <n v="0"/>
    <n v="0"/>
    <n v="-538.09019999999873"/>
    <n v="48.985920000000078"/>
    <n v="0"/>
    <n v="0"/>
    <n v="-724.57010950872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6"/>
    <s v="Regular"/>
    <s v="Verde"/>
    <s v="A4"/>
    <s v="Comercial"/>
    <s v="Não se aplica"/>
    <s v="Não se aplica"/>
    <s v="Não se aplica"/>
    <s v="Fora ponta"/>
    <s v="CATIVO"/>
    <x v="5"/>
    <n v="0"/>
    <n v="0"/>
    <n v="453.76799999999997"/>
    <n v="453.76799999999997"/>
    <n v="453.76799999999997"/>
    <n v="453.76799999999997"/>
    <m/>
    <n v="69.64"/>
    <n v="144.41999999999999"/>
    <m/>
    <n v="97133.578079999992"/>
    <n v="97133.578079999992"/>
    <n v="95581.691519999993"/>
    <n v="0"/>
    <n v="24239.764104464582"/>
    <n v="0"/>
    <n v="0"/>
    <n v="0"/>
    <n v="0"/>
    <n v="0"/>
    <n v="65534.002065158362"/>
    <n v="0"/>
    <n v="0"/>
    <n v="0"/>
    <n v="0"/>
    <n v="0"/>
    <n v="4302.9710671385828"/>
    <m/>
    <n v="225.83361939916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0.8781317254056"/>
    <n v="0"/>
    <n v="0"/>
    <n v="0"/>
    <n v="0"/>
    <n v="0"/>
    <m/>
    <m/>
    <m/>
    <m/>
    <m/>
    <m/>
    <m/>
    <m/>
    <m/>
    <n v="68364.880196883765"/>
    <m/>
    <m/>
    <m/>
    <m/>
    <m/>
    <m/>
    <m/>
    <m/>
    <m/>
    <m/>
    <m/>
    <m/>
    <n v="95582.112799999988"/>
    <n v="-1551.4952800000028"/>
    <m/>
    <m/>
    <m/>
    <m/>
    <n v="-4201.8916799999988"/>
    <n v="2650.0051200000012"/>
    <n v="29"/>
    <n v="-1553.0614040334913"/>
    <n v="0"/>
    <n v="0"/>
    <n v="0"/>
    <n v="0"/>
    <n v="0"/>
    <n v="0"/>
    <n v="0"/>
    <n v="0"/>
    <n v="0"/>
    <n v="0"/>
    <n v="2649.9109170099546"/>
    <n v="0"/>
    <n v="0"/>
    <n v="0"/>
    <n v="114.46843820898039"/>
    <n v="0"/>
    <n v="-3723.981988124855"/>
    <m/>
    <n v="0"/>
    <n v="0"/>
    <n v="0"/>
    <n v="0"/>
    <n v="-566.20455315302388"/>
    <n v="-27.2542179745233"/>
    <n v="0"/>
    <n v="0"/>
    <m/>
    <m/>
    <m/>
    <n v="0"/>
    <n v="0"/>
    <n v="0"/>
    <n v="-4201.8916800000006"/>
    <n v="2650.00511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7"/>
    <s v="Regular"/>
    <s v="Verde"/>
    <s v="A4"/>
    <s v="Comercial"/>
    <s v="Não se aplica"/>
    <s v="Não se aplica"/>
    <s v="Não se aplica"/>
    <s v="Não se aplica"/>
    <s v="CATIVO"/>
    <x v="5"/>
    <n v="1882"/>
    <n v="1882"/>
    <n v="0"/>
    <n v="0"/>
    <n v="0"/>
    <n v="0"/>
    <n v="34.950000000000003"/>
    <m/>
    <m/>
    <n v="65775.900000000009"/>
    <m/>
    <n v="65775.900000000009"/>
    <n v="64891.359999999993"/>
    <n v="0"/>
    <n v="0"/>
    <n v="0"/>
    <n v="0"/>
    <n v="0"/>
    <n v="23844.525040524433"/>
    <n v="41940.0086420605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698.03"/>
    <n v="14"/>
    <m/>
    <m/>
    <m/>
    <m/>
    <m/>
    <m/>
    <m/>
    <m/>
    <m/>
    <n v="0"/>
    <m/>
    <m/>
    <m/>
    <m/>
    <m/>
    <m/>
    <m/>
    <m/>
    <m/>
    <m/>
    <m/>
    <m/>
    <n v="64891.359999999993"/>
    <n v="-884.56999999999971"/>
    <m/>
    <m/>
    <m/>
    <m/>
    <n v="-884.54000000001122"/>
    <n v="0"/>
    <n v="29"/>
    <n v="997.92560163522649"/>
    <n v="0"/>
    <n v="0"/>
    <n v="0"/>
    <n v="0"/>
    <m/>
    <m/>
    <m/>
    <n v="997.925601635226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940.008642060595"/>
    <m/>
    <n v="0"/>
    <n v="0"/>
    <n v="-884.54000000001543"/>
    <m/>
    <n v="0"/>
    <m/>
    <n v="-1888.861836777505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68"/>
    <s v="Regular"/>
    <s v="Branca"/>
    <s v="B3"/>
    <s v="Comercial"/>
    <s v="Não se aplica"/>
    <s v="Não se aplica"/>
    <s v="Não se aplica"/>
    <s v="Ponta"/>
    <s v="CATIVO"/>
    <x v="5"/>
    <n v="0"/>
    <n v="0"/>
    <n v="8.6999999999999994E-2"/>
    <n v="8.6999999999999994E-2"/>
    <n v="8.6999999999999994E-2"/>
    <n v="8.6999999999999994E-2"/>
    <m/>
    <n v="1585.55"/>
    <n v="144.41999999999999"/>
    <m/>
    <n v="150.50738999999999"/>
    <n v="150.50738999999999"/>
    <n v="146.92299"/>
    <n v="0"/>
    <n v="5.3418848628516287"/>
    <n v="0"/>
    <n v="0"/>
    <n v="0"/>
    <n v="30.621930682296998"/>
    <n v="99.621883024070399"/>
    <n v="12.564698655852281"/>
    <n v="0"/>
    <n v="0"/>
    <n v="0"/>
    <n v="0"/>
    <n v="0"/>
    <n v="0.82499974180871438"/>
    <m/>
    <n v="0.12657240154822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057742146492047"/>
    <n v="0"/>
    <n v="0"/>
    <n v="0"/>
    <n v="0"/>
    <n v="0"/>
    <m/>
    <m/>
    <m/>
    <m/>
    <m/>
    <m/>
    <m/>
    <m/>
    <m/>
    <n v="13.970472870501485"/>
    <m/>
    <m/>
    <m/>
    <m/>
    <m/>
    <m/>
    <m/>
    <m/>
    <m/>
    <m/>
    <m/>
    <m/>
    <n v="151.98930000000001"/>
    <n v="1.4519100000000549"/>
    <m/>
    <m/>
    <m/>
    <m/>
    <n v="-4.0924799999999966"/>
    <n v="0.50808000000000031"/>
    <n v="29"/>
    <n v="0.90196248242939703"/>
    <n v="0"/>
    <n v="0"/>
    <n v="0"/>
    <n v="0"/>
    <n v="0"/>
    <n v="0"/>
    <n v="0"/>
    <n v="1.2815691882069693"/>
    <n v="0"/>
    <n v="0"/>
    <n v="0.50806193865558136"/>
    <n v="0"/>
    <n v="0"/>
    <n v="0"/>
    <n v="5.6843414423947358E-2"/>
    <n v="0"/>
    <n v="-0.82067972799423305"/>
    <m/>
    <n v="0"/>
    <n v="0"/>
    <n v="0"/>
    <n v="0"/>
    <n v="-0.10855722775584242"/>
    <n v="-1.5275103107021806E-2"/>
    <n v="0"/>
    <n v="0"/>
    <m/>
    <m/>
    <m/>
    <n v="99.621883024070399"/>
    <n v="0"/>
    <n v="0"/>
    <n v="-4.0924799999999948"/>
    <n v="0.50808000000000142"/>
    <n v="0"/>
    <n v="0"/>
    <n v="-4.486693709533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69"/>
    <s v="Regular"/>
    <s v="Branca"/>
    <s v="B3"/>
    <s v="Comercial"/>
    <s v="Não se aplica"/>
    <s v="Não se aplica"/>
    <s v="Não se aplica"/>
    <s v="Fora ponta"/>
    <s v="CATIVO"/>
    <x v="5"/>
    <n v="0"/>
    <n v="0"/>
    <n v="8.5079999999999991"/>
    <n v="8.5079999999999991"/>
    <n v="8.5079999999999991"/>
    <n v="8.5079999999999991"/>
    <m/>
    <n v="387.88"/>
    <n v="144.41999999999999"/>
    <m/>
    <n v="4528.808399999999"/>
    <n v="4528.808399999999"/>
    <n v="4429.0095599999995"/>
    <n v="0"/>
    <n v="522.39949900162821"/>
    <n v="0"/>
    <n v="0"/>
    <n v="0"/>
    <n v="598.66537436210695"/>
    <n v="1948.4669663838636"/>
    <n v="1228.7408754481746"/>
    <n v="0"/>
    <n v="0"/>
    <n v="0"/>
    <n v="0"/>
    <n v="0"/>
    <n v="80.679285095500475"/>
    <m/>
    <n v="12.377907958302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47502319810843"/>
    <n v="0"/>
    <n v="0"/>
    <n v="0"/>
    <n v="0"/>
    <n v="0"/>
    <m/>
    <m/>
    <m/>
    <m/>
    <m/>
    <m/>
    <m/>
    <m/>
    <m/>
    <n v="1366.215898646283"/>
    <m/>
    <m/>
    <m/>
    <m/>
    <m/>
    <m/>
    <m/>
    <m/>
    <m/>
    <m/>
    <m/>
    <m/>
    <n v="4430.0506999999998"/>
    <n v="-98.787699999999859"/>
    <m/>
    <m/>
    <m/>
    <m/>
    <n v="-149.48555999999994"/>
    <n v="49.686720000000022"/>
    <n v="29"/>
    <n v="-12.06796276381192"/>
    <n v="0"/>
    <n v="0"/>
    <n v="0"/>
    <n v="0"/>
    <n v="0"/>
    <n v="0"/>
    <n v="0"/>
    <n v="25.054955083952791"/>
    <n v="0"/>
    <n v="0"/>
    <n v="49.684953725076866"/>
    <n v="0"/>
    <n v="0"/>
    <n v="0"/>
    <n v="5.5588939071142818"/>
    <n v="0"/>
    <n v="-80.256817537642917"/>
    <m/>
    <n v="0"/>
    <n v="0"/>
    <n v="0"/>
    <n v="0"/>
    <n v="-10.616148203985134"/>
    <n v="-1.4937997383280646"/>
    <n v="0"/>
    <n v="0"/>
    <m/>
    <m/>
    <m/>
    <n v="1948.4669663838636"/>
    <n v="0"/>
    <n v="0"/>
    <n v="-149.48555999999962"/>
    <n v="49.68672000000015"/>
    <n v="0"/>
    <n v="0"/>
    <n v="-87.75355590493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0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38.3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71"/>
    <s v="Regular"/>
    <s v="Branca"/>
    <s v="B3"/>
    <s v="Comercial"/>
    <s v="Não se aplica"/>
    <s v="Não se aplica"/>
    <s v="Não se aplica"/>
    <s v="Intermediário"/>
    <s v="CATIVO"/>
    <x v="5"/>
    <n v="0"/>
    <n v="0"/>
    <n v="0.20699999999999999"/>
    <n v="0.20699999999999999"/>
    <n v="0.20699999999999999"/>
    <n v="0.20699999999999999"/>
    <m/>
    <n v="986.74"/>
    <n v="144.41999999999999"/>
    <m/>
    <n v="234.15011999999999"/>
    <n v="234.15011999999999"/>
    <n v="228.67082999999997"/>
    <n v="0"/>
    <n v="12.710001915060772"/>
    <n v="0"/>
    <n v="0"/>
    <n v="0"/>
    <n v="43.717533004112276"/>
    <n v="142.21885121349095"/>
    <n v="29.8953174915106"/>
    <n v="0"/>
    <n v="0"/>
    <n v="0"/>
    <n v="0"/>
    <n v="0"/>
    <n v="1.962930420165562"/>
    <m/>
    <n v="0.30115502437336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447731314067286"/>
    <n v="0"/>
    <n v="0"/>
    <n v="0"/>
    <n v="0"/>
    <n v="0"/>
    <m/>
    <m/>
    <m/>
    <m/>
    <m/>
    <m/>
    <m/>
    <m/>
    <m/>
    <n v="33.240090622917329"/>
    <m/>
    <m/>
    <m/>
    <m/>
    <m/>
    <m/>
    <m/>
    <m/>
    <m/>
    <m/>
    <m/>
    <m/>
    <n v="231.98489999999998"/>
    <n v="-2.1952199999999777"/>
    <m/>
    <m/>
    <m/>
    <m/>
    <n v="-6.6881700000000119"/>
    <n v="1.2088800000000006"/>
    <n v="29"/>
    <n v="0.9264356836042964"/>
    <n v="0"/>
    <n v="0"/>
    <n v="0"/>
    <n v="0"/>
    <n v="0"/>
    <n v="0"/>
    <n v="0"/>
    <n v="1.8296378456267774"/>
    <n v="0"/>
    <n v="0"/>
    <n v="1.2088370264563828"/>
    <n v="0"/>
    <n v="0"/>
    <n v="0"/>
    <n v="0.13524812397421915"/>
    <n v="0"/>
    <n v="-1.9526517666069694"/>
    <m/>
    <n v="0"/>
    <n v="0"/>
    <n v="0"/>
    <n v="0"/>
    <n v="-0.25829133500528023"/>
    <n v="-3.6344210840844993E-2"/>
    <n v="0"/>
    <n v="0"/>
    <m/>
    <m/>
    <m/>
    <n v="142.21885121349095"/>
    <n v="0"/>
    <n v="0"/>
    <n v="-6.6881700000000137"/>
    <n v="1.2088800000000006"/>
    <n v="0"/>
    <n v="0"/>
    <n v="-6.4051431848805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2"/>
    <s v="Regular"/>
    <s v="Convencional"/>
    <s v="B2"/>
    <s v="Rural"/>
    <s v="Não se aplica"/>
    <s v="Não se aplica"/>
    <s v="Não se aplica"/>
    <s v="Não se aplica"/>
    <s v="CATIVO"/>
    <x v="5"/>
    <n v="0"/>
    <n v="0"/>
    <n v="268.94799999999998"/>
    <n v="268.94799999999998"/>
    <n v="268.94799999999998"/>
    <n v="268.94799999999998"/>
    <m/>
    <n v="522.37"/>
    <n v="144.41999999999999"/>
    <m/>
    <n v="179331.83692"/>
    <n v="179331.83692"/>
    <n v="175284.16952"/>
    <n v="0"/>
    <n v="16513.669541312873"/>
    <n v="0"/>
    <n v="0"/>
    <n v="0"/>
    <n v="27422.920670938121"/>
    <n v="89265.782574711702"/>
    <n v="38841.960621771941"/>
    <n v="0"/>
    <n v="0"/>
    <n v="0"/>
    <n v="0"/>
    <n v="0"/>
    <n v="2550.3681673559786"/>
    <m/>
    <n v="391.28039369646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45.7490055341877"/>
    <n v="0"/>
    <n v="6.74"/>
    <n v="31.29"/>
    <n v="34844.879999999997"/>
    <n v="755"/>
    <m/>
    <m/>
    <m/>
    <m/>
    <m/>
    <n v="21031.733600000003"/>
    <m/>
    <m/>
    <m/>
    <n v="43187.709627306132"/>
    <m/>
    <m/>
    <m/>
    <m/>
    <m/>
    <m/>
    <m/>
    <m/>
    <m/>
    <m/>
    <m/>
    <m/>
    <n v="154253.58299999998"/>
    <n v="-3557.0649599999888"/>
    <m/>
    <m/>
    <m/>
    <m/>
    <n v="-5618.3237199999958"/>
    <n v="1570.6563200000007"/>
    <n v="29"/>
    <n v="-25.813294325795141"/>
    <n v="0"/>
    <n v="0"/>
    <n v="0"/>
    <n v="0"/>
    <n v="0"/>
    <n v="0"/>
    <n v="0"/>
    <n v="1147.6862953922027"/>
    <n v="0"/>
    <n v="0"/>
    <n v="1570.6004859487512"/>
    <n v="0"/>
    <n v="0"/>
    <n v="0"/>
    <n v="175.72324853438749"/>
    <n v="0"/>
    <n v="-2537.013465340151"/>
    <m/>
    <n v="0"/>
    <n v="0"/>
    <n v="0"/>
    <n v="0"/>
    <n v="-335.58907230434852"/>
    <n v="-47.220786556635687"/>
    <n v="0"/>
    <n v="0"/>
    <m/>
    <m/>
    <m/>
    <n v="89265.782574711702"/>
    <n v="0"/>
    <n v="0"/>
    <n v="-5618.3237200000149"/>
    <n v="1570.6563199999946"/>
    <n v="0"/>
    <n v="0"/>
    <n v="-4020.2836264168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3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13300000000000001"/>
    <n v="-0.13300000000000001"/>
    <n v="-0.13300000000000001"/>
    <n v="-0.13300000000000001"/>
    <m/>
    <n v="522.37"/>
    <n v="144.41999999999999"/>
    <m/>
    <n v="-88.683070000000001"/>
    <n v="-88.683070000000001"/>
    <n v="-86.681420000000003"/>
    <n v="0"/>
    <n v="-8.166329732865135"/>
    <n v="0"/>
    <n v="0"/>
    <n v="0"/>
    <n v="-13.561165910268047"/>
    <n v="-44.143660047431688"/>
    <n v="-19.208102542854636"/>
    <n v="0"/>
    <n v="0"/>
    <n v="0"/>
    <n v="0"/>
    <n v="0"/>
    <n v="-1.2612065018455061"/>
    <m/>
    <n v="-0.19349574029786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1490571327395891"/>
    <n v="0"/>
    <n v="0"/>
    <n v="0"/>
    <n v="-13.13"/>
    <n v="0"/>
    <m/>
    <m/>
    <m/>
    <m/>
    <m/>
    <n v="-10.400600000000003"/>
    <m/>
    <m/>
    <m/>
    <n v="-21.357159675594225"/>
    <m/>
    <m/>
    <m/>
    <m/>
    <m/>
    <m/>
    <m/>
    <m/>
    <m/>
    <m/>
    <m/>
    <m/>
    <n v="-74.560199999999995"/>
    <n v="3.4502100000000127"/>
    <m/>
    <m/>
    <m/>
    <m/>
    <n v="2.7783699999999985"/>
    <n v="-0.77672000000000052"/>
    <n v="29"/>
    <n v="1.2765174477330277E-2"/>
    <n v="0"/>
    <n v="0"/>
    <n v="0"/>
    <n v="0"/>
    <n v="0"/>
    <n v="0"/>
    <n v="0"/>
    <n v="-0.56755312286078663"/>
    <n v="0"/>
    <n v="0"/>
    <n v="-0.77669238897922455"/>
    <n v="0"/>
    <n v="0"/>
    <n v="0"/>
    <n v="-8.6898553084885144E-2"/>
    <n v="0"/>
    <n v="1.2546023427957822"/>
    <m/>
    <n v="0"/>
    <n v="0"/>
    <n v="0"/>
    <n v="0"/>
    <n v="0.16595530220146038"/>
    <n v="2.335159440498738E-2"/>
    <n v="0"/>
    <n v="0"/>
    <m/>
    <m/>
    <m/>
    <n v="-44.143660047431688"/>
    <n v="0"/>
    <n v="0"/>
    <n v="2.7783699999999953"/>
    <n v="-0.77672000000000097"/>
    <n v="0"/>
    <n v="0"/>
    <n v="1.9881081930835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.24"/>
    <n v="1.24"/>
    <n v="1.24"/>
    <n v="1.24"/>
    <m/>
    <n v="522.37"/>
    <n v="144.41999999999999"/>
    <m/>
    <n v="826.81959999999992"/>
    <n v="826.81959999999992"/>
    <n v="808.1576"/>
    <n v="0"/>
    <n v="76.137209539494492"/>
    <n v="0"/>
    <n v="0"/>
    <n v="0"/>
    <n v="126.43493029122088"/>
    <n v="411.56495081816007"/>
    <n v="179.08306130180262"/>
    <n v="0"/>
    <n v="0"/>
    <n v="0"/>
    <n v="0"/>
    <n v="0"/>
    <n v="11.758617009687425"/>
    <m/>
    <n v="1.8040204358597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03632213982775"/>
    <n v="0"/>
    <n v="0"/>
    <n v="0"/>
    <n v="768.85"/>
    <n v="10"/>
    <m/>
    <m/>
    <m/>
    <m/>
    <m/>
    <n v="96.968000000000032"/>
    <m/>
    <m/>
    <m/>
    <n v="199.11938344163036"/>
    <m/>
    <m/>
    <m/>
    <m/>
    <m/>
    <m/>
    <m/>
    <m/>
    <m/>
    <m/>
    <m/>
    <m/>
    <n v="711.18959999999993"/>
    <n v="-16.435200000000009"/>
    <m/>
    <m/>
    <m/>
    <m/>
    <n v="-25.903599999999983"/>
    <n v="7.2416000000000045"/>
    <n v="29"/>
    <n v="-0.11901365678119191"/>
    <n v="0"/>
    <n v="0"/>
    <n v="0"/>
    <n v="0"/>
    <n v="0"/>
    <n v="0"/>
    <n v="0"/>
    <n v="5.2914727244163515"/>
    <n v="0"/>
    <n v="0"/>
    <n v="7.2413425739416368"/>
    <n v="0"/>
    <n v="0"/>
    <n v="0"/>
    <n v="0.8101819986861436"/>
    <n v="0"/>
    <n v="-11.697044398998273"/>
    <m/>
    <n v="0"/>
    <n v="0"/>
    <n v="0"/>
    <n v="0"/>
    <n v="-1.5472524415775251"/>
    <n v="-0.2177141132495064"/>
    <n v="0"/>
    <n v="0"/>
    <m/>
    <m/>
    <m/>
    <n v="411.56495081816007"/>
    <n v="0"/>
    <n v="0"/>
    <n v="-25.903599999999983"/>
    <n v="7.2416000000000054"/>
    <n v="0"/>
    <n v="0"/>
    <n v="-18.535745559576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5"/>
    <s v="Regular"/>
    <s v="Verde"/>
    <s v="A4"/>
    <s v="Rural"/>
    <s v="Não se aplica"/>
    <s v="Não se aplica"/>
    <s v="Não se aplica"/>
    <s v="Ponta"/>
    <s v="CATIVO"/>
    <x v="5"/>
    <n v="0"/>
    <n v="0"/>
    <n v="0.27"/>
    <n v="0.25919999999999999"/>
    <n v="0.27"/>
    <n v="0.25919999999999999"/>
    <m/>
    <n v="2740.31"/>
    <n v="144.41999999999999"/>
    <m/>
    <n v="778.87710000000004"/>
    <n v="778.87710000000004"/>
    <n v="763.13340000000005"/>
    <n v="0"/>
    <n v="14.423089129699402"/>
    <n v="0"/>
    <n v="0"/>
    <n v="0"/>
    <n v="203.21895957678612"/>
    <n v="517.8620428188093"/>
    <n v="38.993892380231216"/>
    <n v="0"/>
    <n v="0"/>
    <n v="0"/>
    <n v="0"/>
    <n v="0"/>
    <n v="2.5603440263029071"/>
    <m/>
    <n v="0.1343750049315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844226467398749"/>
    <n v="0"/>
    <n v="0"/>
    <n v="0"/>
    <n v="0"/>
    <n v="0"/>
    <m/>
    <m/>
    <m/>
    <m/>
    <m/>
    <n v="30.525336000000088"/>
    <m/>
    <m/>
    <m/>
    <n v="40.678315026971092"/>
    <m/>
    <m/>
    <m/>
    <m/>
    <m/>
    <m/>
    <m/>
    <m/>
    <m/>
    <m/>
    <m/>
    <m/>
    <n v="734.86919999999998"/>
    <n v="-12.882815999999934"/>
    <m/>
    <m/>
    <m/>
    <m/>
    <n v="-17.320500000000024"/>
    <n v="1.5768000000000011"/>
    <n v="29"/>
    <n v="7.5808890796768083"/>
    <n v="0"/>
    <n v="0"/>
    <n v="0"/>
    <n v="0"/>
    <n v="0"/>
    <n v="0"/>
    <n v="0"/>
    <n v="8.5049881326929722"/>
    <n v="0"/>
    <n v="0"/>
    <n v="1.5767439475518117"/>
    <n v="0"/>
    <n v="0"/>
    <n v="0"/>
    <n v="6.8110748921089037E-2"/>
    <n v="0"/>
    <n v="-2.2158352655844222"/>
    <m/>
    <n v="0"/>
    <n v="0"/>
    <n v="0"/>
    <n v="0"/>
    <n v="-0.33690174131123518"/>
    <n v="-1.6216742593398586E-2"/>
    <n v="0"/>
    <n v="0"/>
    <m/>
    <m/>
    <m/>
    <n v="517.8620428188093"/>
    <n v="0"/>
    <n v="0"/>
    <n v="-17.320500000000038"/>
    <n v="1.5767999999999986"/>
    <n v="0"/>
    <n v="0"/>
    <n v="-23.323072194486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6"/>
    <s v="Regular"/>
    <s v="Verde"/>
    <s v="A4"/>
    <s v="Rural"/>
    <s v="Não se aplica"/>
    <s v="Não se aplica"/>
    <s v="Não se aplica"/>
    <s v="Fora ponta"/>
    <s v="CATIVO"/>
    <x v="5"/>
    <n v="0"/>
    <n v="0"/>
    <n v="40.496000000000002"/>
    <n v="38.876159999999999"/>
    <n v="40.496000000000002"/>
    <n v="38.876159999999999"/>
    <m/>
    <n v="69.64"/>
    <n v="144.41999999999999"/>
    <m/>
    <n v="8668.5737599999993"/>
    <n v="8668.5737599999993"/>
    <n v="8530.0774400000009"/>
    <n v="0"/>
    <n v="2163.2496940603965"/>
    <n v="0"/>
    <n v="0"/>
    <n v="0"/>
    <n v="0"/>
    <n v="0"/>
    <n v="5848.5061697401607"/>
    <n v="0"/>
    <n v="0"/>
    <n v="0"/>
    <n v="0"/>
    <n v="0"/>
    <n v="384.01367292282418"/>
    <m/>
    <n v="20.154259998916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.6384426013999"/>
    <n v="0"/>
    <n v="0"/>
    <n v="0"/>
    <n v="0"/>
    <n v="0"/>
    <m/>
    <m/>
    <m/>
    <m/>
    <m/>
    <n v="341.20309760000072"/>
    <m/>
    <m/>
    <m/>
    <n v="6101.1446123415608"/>
    <m/>
    <m/>
    <m/>
    <m/>
    <m/>
    <m/>
    <m/>
    <m/>
    <m/>
    <m/>
    <m/>
    <m/>
    <n v="8189.6832000000004"/>
    <n v="-132.17760960000032"/>
    <m/>
    <m/>
    <m/>
    <m/>
    <n v="-374.99295999999993"/>
    <n v="236.49664000000016"/>
    <n v="29"/>
    <n v="-138.60116759608172"/>
    <n v="0"/>
    <n v="0"/>
    <n v="0"/>
    <n v="0"/>
    <n v="0"/>
    <n v="0"/>
    <n v="0"/>
    <n v="0"/>
    <n v="0"/>
    <n v="0"/>
    <n v="236.48823296317823"/>
    <n v="0"/>
    <n v="0"/>
    <n v="0"/>
    <n v="10.215603290031197"/>
    <n v="0"/>
    <n v="-332.34246264854369"/>
    <m/>
    <n v="0"/>
    <n v="0"/>
    <n v="0"/>
    <n v="0"/>
    <n v="-50.530270059776967"/>
    <n v="-2.4322711409713698"/>
    <n v="0"/>
    <n v="0"/>
    <m/>
    <m/>
    <m/>
    <n v="0"/>
    <n v="0"/>
    <n v="0"/>
    <n v="-374.99296000000004"/>
    <n v="236.496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7"/>
    <s v="Regular"/>
    <s v="Verde"/>
    <s v="A4"/>
    <s v="Rural"/>
    <s v="Não se aplica"/>
    <s v="Não se aplica"/>
    <s v="Não se aplica"/>
    <s v="Não se aplica"/>
    <s v="CATIVO"/>
    <x v="5"/>
    <n v="163"/>
    <n v="156.47999999999999"/>
    <n v="0"/>
    <n v="0"/>
    <n v="0"/>
    <n v="0"/>
    <n v="34.950000000000003"/>
    <m/>
    <m/>
    <n v="5696.85"/>
    <m/>
    <n v="5696.85"/>
    <n v="5620.24"/>
    <n v="0"/>
    <n v="0"/>
    <n v="0"/>
    <n v="0"/>
    <n v="0"/>
    <n v="2065.1740603642311"/>
    <n v="3632.42370279270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524.52"/>
    <n v="1"/>
    <m/>
    <m/>
    <m/>
    <m/>
    <m/>
    <n v="224.80960000000033"/>
    <m/>
    <m/>
    <m/>
    <n v="0"/>
    <m/>
    <m/>
    <m/>
    <m/>
    <m/>
    <m/>
    <m/>
    <m/>
    <m/>
    <m/>
    <m/>
    <m/>
    <n v="5395.4303999999993"/>
    <n v="-73.575600000001032"/>
    <m/>
    <m/>
    <m/>
    <m/>
    <n v="-76.61000000000098"/>
    <n v="0"/>
    <n v="29"/>
    <n v="86.430325752678982"/>
    <n v="0"/>
    <n v="0"/>
    <n v="0"/>
    <n v="0"/>
    <m/>
    <m/>
    <m/>
    <n v="86.4303257526789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32.4237027927079"/>
    <m/>
    <n v="0"/>
    <n v="0"/>
    <n v="-76.610000000000582"/>
    <m/>
    <n v="0"/>
    <m/>
    <n v="-163.59430361037857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78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99.385999999999996"/>
    <n v="99.385999999999996"/>
    <n v="99.385999999999996"/>
    <n v="99.385999999999996"/>
    <m/>
    <n v="522.37"/>
    <n v="144.41999999999999"/>
    <m/>
    <n v="66269.590939999995"/>
    <n v="66269.590939999995"/>
    <n v="64773.831639999997"/>
    <n v="0"/>
    <n v="6102.397344590483"/>
    <n v="0"/>
    <n v="0"/>
    <n v="0"/>
    <n v="10133.759662841354"/>
    <n v="32986.930808075529"/>
    <n v="14353.50736333948"/>
    <n v="0"/>
    <n v="0"/>
    <n v="0"/>
    <n v="0"/>
    <n v="0"/>
    <n v="942.45315332644702"/>
    <m/>
    <n v="144.59223793416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5.9112195071939"/>
    <n v="0"/>
    <n v="484.6"/>
    <n v="2239.96"/>
    <n v="20250.5"/>
    <n v="124"/>
    <m/>
    <m/>
    <m/>
    <m/>
    <m/>
    <m/>
    <m/>
    <m/>
    <m/>
    <n v="15959.418582846674"/>
    <m/>
    <m/>
    <m/>
    <m/>
    <m/>
    <m/>
    <m/>
    <m/>
    <m/>
    <m/>
    <m/>
    <m/>
    <n v="64776.438600000001"/>
    <n v="-1493.1823399999921"/>
    <m/>
    <m/>
    <m/>
    <m/>
    <n v="-2076.1735399999984"/>
    <n v="580.41424000000029"/>
    <n v="29"/>
    <n v="-9.5389445909968344"/>
    <n v="0"/>
    <n v="0"/>
    <n v="0"/>
    <n v="0"/>
    <n v="0"/>
    <n v="0"/>
    <n v="0"/>
    <n v="424.11153886197098"/>
    <n v="0"/>
    <n v="0"/>
    <n v="580.39360730142107"/>
    <n v="0"/>
    <n v="0"/>
    <n v="0"/>
    <n v="64.936087194694437"/>
    <n v="0"/>
    <n v="-937.51810857971122"/>
    <m/>
    <n v="0"/>
    <n v="0"/>
    <n v="0"/>
    <n v="0"/>
    <n v="-124.01228319243853"/>
    <n v="-17.449786176947924"/>
    <n v="0"/>
    <n v="0"/>
    <m/>
    <m/>
    <m/>
    <n v="32986.930808075529"/>
    <n v="0"/>
    <n v="0"/>
    <n v="-2076.1735399999961"/>
    <n v="580.41424000000006"/>
    <n v="0"/>
    <n v="0"/>
    <n v="-1485.6400066000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0.749"/>
    <n v="0.749"/>
    <n v="0.749"/>
    <n v="0.749"/>
    <m/>
    <n v="522.37"/>
    <n v="144.41999999999999"/>
    <m/>
    <n v="499.42570999999998"/>
    <n v="499.42570999999998"/>
    <n v="488.15325999999999"/>
    <n v="0"/>
    <n v="45.989330600872073"/>
    <n v="0"/>
    <n v="0"/>
    <n v="0"/>
    <n v="76.370776442035833"/>
    <n v="248.59850658290475"/>
    <n v="108.171945899234"/>
    <n v="0"/>
    <n v="0"/>
    <n v="0"/>
    <n v="0"/>
    <n v="0"/>
    <n v="7.1025839840773237"/>
    <m/>
    <n v="1.089686537466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2584905428213"/>
    <n v="0"/>
    <n v="3.16"/>
    <n v="14.63"/>
    <n v="292.13"/>
    <n v="2"/>
    <m/>
    <m/>
    <m/>
    <m/>
    <m/>
    <m/>
    <m/>
    <m/>
    <m/>
    <n v="120.27453080466222"/>
    <m/>
    <m/>
    <m/>
    <m/>
    <m/>
    <m/>
    <m/>
    <m/>
    <m/>
    <m/>
    <m/>
    <m/>
    <n v="488.80500000000001"/>
    <n v="-10.650709999999947"/>
    <m/>
    <m/>
    <m/>
    <m/>
    <n v="-15.64660999999999"/>
    <n v="4.3741600000000025"/>
    <n v="29"/>
    <n v="-7.1888087846048165E-2"/>
    <n v="0"/>
    <n v="0"/>
    <n v="0"/>
    <n v="0"/>
    <n v="0"/>
    <n v="0"/>
    <n v="0"/>
    <n v="3.1962202182160127"/>
    <n v="0"/>
    <n v="0"/>
    <n v="4.3740045063566839"/>
    <n v="0"/>
    <n v="0"/>
    <n v="0"/>
    <n v="0.48937606210961349"/>
    <n v="0"/>
    <n v="-7.0653921410078269"/>
    <m/>
    <n v="0"/>
    <n v="0"/>
    <n v="0"/>
    <n v="0"/>
    <n v="-0.93459038608190781"/>
    <n v="-0.13150634743861322"/>
    <n v="0"/>
    <n v="0"/>
    <m/>
    <m/>
    <m/>
    <n v="248.59850658290475"/>
    <n v="0"/>
    <n v="0"/>
    <n v="-15.64661000000001"/>
    <n v="4.3741600000000034"/>
    <n v="0"/>
    <n v="0"/>
    <n v="-11.19618824526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0"/>
    <s v="Regular"/>
    <s v="Verde"/>
    <s v="A4"/>
    <s v="Poder público"/>
    <s v="Não se aplica"/>
    <s v="Não se aplica"/>
    <s v="Não se aplica"/>
    <s v="Ponta"/>
    <s v="CATIVO"/>
    <x v="5"/>
    <n v="0"/>
    <n v="0"/>
    <n v="6.9000000000000006E-2"/>
    <n v="6.9000000000000006E-2"/>
    <n v="6.9000000000000006E-2"/>
    <n v="6.9000000000000006E-2"/>
    <m/>
    <n v="2740.31"/>
    <n v="144.41999999999999"/>
    <m/>
    <n v="199.04637"/>
    <n v="199.04637"/>
    <n v="195.02298000000002"/>
    <n v="0"/>
    <n v="3.685900555367625"/>
    <n v="0"/>
    <n v="0"/>
    <n v="0"/>
    <n v="51.933734114067569"/>
    <n v="132.34252205369572"/>
    <n v="9.9651058305035338"/>
    <n v="0"/>
    <n v="0"/>
    <n v="0"/>
    <n v="0"/>
    <n v="0"/>
    <n v="0.65431014005518739"/>
    <m/>
    <n v="3.434027903805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3046356527796803"/>
    <n v="0"/>
    <n v="0"/>
    <n v="0"/>
    <n v="0"/>
    <n v="0"/>
    <m/>
    <m/>
    <m/>
    <m/>
    <m/>
    <m/>
    <m/>
    <m/>
    <m/>
    <n v="10.395569395781502"/>
    <m/>
    <m/>
    <m/>
    <m/>
    <m/>
    <m/>
    <m/>
    <m/>
    <m/>
    <m/>
    <m/>
    <m/>
    <n v="197.8494"/>
    <n v="-1.2269699999999659"/>
    <m/>
    <m/>
    <m/>
    <m/>
    <n v="-4.4263500000000064"/>
    <n v="0.40296000000000026"/>
    <n v="29"/>
    <n v="1.9373383203618459"/>
    <n v="0"/>
    <n v="0"/>
    <n v="0"/>
    <n v="0"/>
    <n v="0"/>
    <n v="0"/>
    <n v="0"/>
    <n v="2.1734969672437572"/>
    <n v="0"/>
    <n v="0"/>
    <n v="0.40294567548546212"/>
    <n v="0"/>
    <n v="0"/>
    <n v="0"/>
    <n v="1.7406080279833869E-2"/>
    <n v="0"/>
    <n v="-0.56626901231601856"/>
    <m/>
    <n v="0"/>
    <n v="0"/>
    <n v="0"/>
    <n v="0"/>
    <n v="-8.6097111668426818E-2"/>
    <n v="-4.1442786627574196E-3"/>
    <n v="0"/>
    <n v="0"/>
    <m/>
    <m/>
    <m/>
    <n v="132.34252205369572"/>
    <n v="0"/>
    <n v="0"/>
    <n v="-4.4263499999999851"/>
    <n v="0.40296000000000021"/>
    <n v="0"/>
    <n v="0"/>
    <n v="-5.9603406719244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1"/>
    <s v="Regular"/>
    <s v="Verde"/>
    <s v="A4"/>
    <s v="Poder público"/>
    <s v="Não se aplica"/>
    <s v="Não se aplica"/>
    <s v="Não se aplica"/>
    <s v="Fora ponta"/>
    <s v="CATIVO"/>
    <x v="5"/>
    <n v="0"/>
    <n v="0"/>
    <n v="0.60299999999999998"/>
    <n v="0.60299999999999998"/>
    <n v="0.60299999999999998"/>
    <n v="0.60299999999999998"/>
    <m/>
    <n v="69.64"/>
    <n v="144.41999999999999"/>
    <m/>
    <n v="129.07817999999997"/>
    <n v="129.07817999999997"/>
    <n v="127.01591999999999"/>
    <n v="0"/>
    <n v="32.211565722995331"/>
    <n v="0"/>
    <n v="0"/>
    <n v="0"/>
    <n v="0"/>
    <n v="0"/>
    <n v="87.086359649183052"/>
    <n v="0"/>
    <n v="0"/>
    <n v="0"/>
    <n v="0"/>
    <n v="0"/>
    <n v="5.7181016587431586"/>
    <m/>
    <n v="0.30010417768043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618772443857202"/>
    <n v="0"/>
    <n v="0"/>
    <n v="0"/>
    <n v="0"/>
    <n v="0"/>
    <m/>
    <m/>
    <m/>
    <m/>
    <m/>
    <m/>
    <m/>
    <m/>
    <m/>
    <n v="90.848236893568767"/>
    <m/>
    <m/>
    <m/>
    <m/>
    <m/>
    <m/>
    <m/>
    <m/>
    <m/>
    <m/>
    <m/>
    <m/>
    <n v="126.38399999999999"/>
    <n v="-2.7241799999999898"/>
    <m/>
    <m/>
    <m/>
    <m/>
    <n v="-5.5837799999999982"/>
    <n v="3.521520000000002"/>
    <n v="29"/>
    <n v="-2.0638212184027509"/>
    <n v="0"/>
    <n v="0"/>
    <n v="0"/>
    <n v="0"/>
    <n v="0"/>
    <n v="0"/>
    <n v="0"/>
    <n v="0"/>
    <n v="0"/>
    <n v="0"/>
    <n v="3.5213948161990345"/>
    <n v="0"/>
    <n v="0"/>
    <n v="0"/>
    <n v="0.15211400592376556"/>
    <n v="0"/>
    <n v="-4.948698759805211"/>
    <m/>
    <n v="0"/>
    <n v="0"/>
    <n v="0"/>
    <n v="0"/>
    <n v="-0.75241388892842487"/>
    <n v="-3.6217391791923514E-2"/>
    <n v="0"/>
    <n v="0"/>
    <m/>
    <m/>
    <m/>
    <n v="0"/>
    <n v="0"/>
    <n v="0"/>
    <n v="-5.5837799999999973"/>
    <n v="3.5215199999999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2"/>
    <s v="Regular"/>
    <s v="Verde"/>
    <s v="A4"/>
    <s v="Poder público"/>
    <s v="Não se aplica"/>
    <s v="Não se aplica"/>
    <s v="Não se aplica"/>
    <s v="Não se aplica"/>
    <s v="CATIVO"/>
    <x v="5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87"/>
    <n v="87.11"/>
    <n v="159.12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29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8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388.91399999999999"/>
    <n v="388.91399999999999"/>
    <n v="388.91399999999999"/>
    <n v="388.91399999999999"/>
    <m/>
    <n v="287.3"/>
    <n v="79.430000000000007"/>
    <m/>
    <n v="142626.43122"/>
    <n v="142626.43122"/>
    <n v="139410.11244"/>
    <n v="0"/>
    <n v="13133.834428196469"/>
    <n v="0"/>
    <n v="0"/>
    <n v="0"/>
    <n v="21810.300777099947"/>
    <n v="70995.850165622251"/>
    <n v="30892.218013484831"/>
    <n v="0"/>
    <n v="0"/>
    <n v="0"/>
    <n v="0"/>
    <n v="0"/>
    <n v="2028.3870376113432"/>
    <m/>
    <n v="311.19745329482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6.3091965959193"/>
    <n v="0"/>
    <n v="1242.3900000000001"/>
    <n v="5734.15"/>
    <n v="63712.95"/>
    <n v="6"/>
    <m/>
    <m/>
    <m/>
    <m/>
    <m/>
    <m/>
    <m/>
    <m/>
    <m/>
    <n v="34348.527210080749"/>
    <m/>
    <m/>
    <m/>
    <m/>
    <m/>
    <m/>
    <m/>
    <m/>
    <m/>
    <m/>
    <m/>
    <m/>
    <n v="139408.67859999998"/>
    <n v="-3217.7826200000127"/>
    <m/>
    <m/>
    <m/>
    <m/>
    <n v="-4464.7327200000072"/>
    <n v="1248.4139399999976"/>
    <n v="29"/>
    <n v="-20.530114937631879"/>
    <n v="0"/>
    <n v="0"/>
    <n v="0"/>
    <n v="0"/>
    <n v="0"/>
    <n v="0"/>
    <n v="0"/>
    <n v="912.79056671684884"/>
    <n v="0"/>
    <n v="0"/>
    <n v="1249.1473614442475"/>
    <n v="0"/>
    <n v="0"/>
    <n v="0"/>
    <n v="139.75815887932504"/>
    <n v="0"/>
    <n v="-2017.7656281980544"/>
    <m/>
    <n v="0"/>
    <n v="0"/>
    <n v="0"/>
    <n v="0"/>
    <n v="-266.90441518953344"/>
    <n v="-37.556158590465088"/>
    <n v="0"/>
    <n v="0"/>
    <m/>
    <m/>
    <m/>
    <n v="70995.850165622251"/>
    <n v="0"/>
    <n v="0"/>
    <n v="-4464.7327200000145"/>
    <n v="1248.4139399999985"/>
    <n v="0"/>
    <n v="0"/>
    <n v="-3197.456469117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4.638999999999999"/>
    <n v="23.16066"/>
    <n v="24.638999999999999"/>
    <n v="23.16066"/>
    <m/>
    <n v="522.37"/>
    <n v="144.41999999999999"/>
    <m/>
    <n v="16429.038809999998"/>
    <n v="16429.038809999998"/>
    <n v="16058.22186"/>
    <n v="0"/>
    <n v="1512.8586337448423"/>
    <n v="0"/>
    <n v="0"/>
    <n v="0"/>
    <n v="2512.2824576172511"/>
    <n v="8177.8619542005208"/>
    <n v="3558.4093124315441"/>
    <n v="0"/>
    <n v="0"/>
    <n v="0"/>
    <n v="0"/>
    <n v="0"/>
    <n v="233.64561653361972"/>
    <m/>
    <n v="35.846177031571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12495258323861"/>
    <n v="0"/>
    <n v="114.28"/>
    <n v="528.6"/>
    <n v="6169.65"/>
    <n v="35"/>
    <m/>
    <m/>
    <m/>
    <m/>
    <n v="963.49331159999952"/>
    <m/>
    <m/>
    <m/>
    <m/>
    <n v="3956.5342650147827"/>
    <m/>
    <m/>
    <m/>
    <m/>
    <m/>
    <m/>
    <m/>
    <m/>
    <m/>
    <m/>
    <m/>
    <m/>
    <n v="15094.2984"/>
    <n v="-349.02808139999979"/>
    <m/>
    <m/>
    <m/>
    <m/>
    <n v="-514.70870999999966"/>
    <n v="143.89176000000009"/>
    <n v="29"/>
    <n v="-2.364820555994811"/>
    <n v="0"/>
    <n v="0"/>
    <n v="0"/>
    <n v="0"/>
    <n v="0"/>
    <n v="0"/>
    <n v="0"/>
    <n v="105.14241649749556"/>
    <n v="0"/>
    <n v="0"/>
    <n v="143.88664490270003"/>
    <n v="0"/>
    <n v="0"/>
    <n v="0"/>
    <n v="16.098446988409592"/>
    <n v="0"/>
    <n v="-232.42215882815981"/>
    <m/>
    <n v="0"/>
    <n v="0"/>
    <n v="0"/>
    <n v="0"/>
    <n v="-30.744155570990813"/>
    <n v="-4.3260145454472472"/>
    <n v="0"/>
    <n v="0"/>
    <m/>
    <m/>
    <m/>
    <n v="8177.8619542005208"/>
    <n v="0"/>
    <n v="0"/>
    <n v="-514.70870999999897"/>
    <n v="143.89175999999998"/>
    <n v="0"/>
    <n v="0"/>
    <n v="-368.30825390515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0.42699999999999999"/>
    <n v="0.40138000000000001"/>
    <n v="0.42699999999999999"/>
    <n v="0.40138000000000001"/>
    <m/>
    <n v="2740.31"/>
    <n v="144.41999999999999"/>
    <m/>
    <n v="1231.77971"/>
    <n v="1231.77971"/>
    <n v="1206.8813399999999"/>
    <n v="0"/>
    <n v="22.80984836437646"/>
    <n v="0"/>
    <n v="0"/>
    <n v="0"/>
    <n v="321.38702125662098"/>
    <n v="818.98923068011698"/>
    <n v="61.668118690217518"/>
    <n v="0"/>
    <n v="0"/>
    <n v="0"/>
    <n v="0"/>
    <n v="0"/>
    <n v="4.0491366638197821"/>
    <m/>
    <n v="0.21251158187321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638832228071352"/>
    <n v="0"/>
    <n v="0"/>
    <n v="0"/>
    <n v="0"/>
    <n v="0"/>
    <m/>
    <m/>
    <m/>
    <m/>
    <n v="72.412880399999935"/>
    <m/>
    <m/>
    <m/>
    <m/>
    <n v="64.332001913024655"/>
    <m/>
    <m/>
    <m/>
    <m/>
    <m/>
    <m/>
    <m/>
    <m/>
    <m/>
    <m/>
    <m/>
    <m/>
    <n v="1130.568"/>
    <n v="-27.33492739999997"/>
    <m/>
    <m/>
    <m/>
    <m/>
    <n v="-27.392050000000037"/>
    <n v="2.4936800000000012"/>
    <n v="29"/>
    <n v="11.989035692674065"/>
    <n v="0"/>
    <n v="0"/>
    <n v="0"/>
    <n v="0"/>
    <n v="0"/>
    <n v="0"/>
    <n v="0"/>
    <n v="13.450481232073685"/>
    <n v="0"/>
    <n v="0"/>
    <n v="2.4935913540911869"/>
    <n v="0"/>
    <n v="0"/>
    <n v="0"/>
    <n v="0.10771588810853716"/>
    <n v="0"/>
    <n v="-3.5043024385353618"/>
    <m/>
    <n v="0"/>
    <n v="0"/>
    <n v="0"/>
    <n v="0"/>
    <n v="-0.53280386496258281"/>
    <n v="-2.5646478101411851E-2"/>
    <n v="0"/>
    <n v="0"/>
    <m/>
    <m/>
    <m/>
    <n v="818.98923068011698"/>
    <n v="0"/>
    <n v="0"/>
    <n v="-27.392050000000154"/>
    <n v="2.4936799999999977"/>
    <n v="0"/>
    <n v="0"/>
    <n v="-36.885006766836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2.4159999999999999"/>
    <n v="2.2710400000000002"/>
    <n v="2.4159999999999999"/>
    <n v="2.2710400000000002"/>
    <m/>
    <n v="69.64"/>
    <n v="144.41999999999999"/>
    <m/>
    <n v="517.16895999999997"/>
    <n v="517.16895999999997"/>
    <n v="508.90623999999997"/>
    <n v="0"/>
    <n v="129.05993828649537"/>
    <n v="0"/>
    <n v="0"/>
    <n v="0"/>
    <n v="0"/>
    <n v="0"/>
    <n v="348.92312589125413"/>
    <n v="0"/>
    <n v="0"/>
    <n v="0"/>
    <n v="0"/>
    <n v="0"/>
    <n v="22.910337657584531"/>
    <m/>
    <n v="1.202407451535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072463387124213"/>
    <n v="0"/>
    <n v="0"/>
    <n v="0"/>
    <n v="0"/>
    <n v="0"/>
    <m/>
    <m/>
    <m/>
    <m/>
    <n v="30.534374399999948"/>
    <m/>
    <m/>
    <m/>
    <m/>
    <n v="363.99558927837836"/>
    <m/>
    <m/>
    <m/>
    <m/>
    <m/>
    <m/>
    <m/>
    <m/>
    <m/>
    <m/>
    <m/>
    <m/>
    <n v="478.15279999999996"/>
    <n v="-8.0160223999999971"/>
    <m/>
    <m/>
    <m/>
    <m/>
    <n v="-22.372159999999994"/>
    <n v="14.109440000000008"/>
    <n v="29"/>
    <n v="-8.2689752299519341"/>
    <n v="0"/>
    <n v="0"/>
    <n v="0"/>
    <n v="0"/>
    <n v="0"/>
    <n v="0"/>
    <n v="0"/>
    <n v="0"/>
    <n v="0"/>
    <n v="0"/>
    <n v="14.108938434389529"/>
    <n v="0"/>
    <n v="0"/>
    <n v="0"/>
    <n v="0.6094650718272252"/>
    <n v="0"/>
    <n v="-19.827622228340587"/>
    <m/>
    <n v="0"/>
    <n v="0"/>
    <n v="0"/>
    <n v="0"/>
    <n v="-3.0146466926220157"/>
    <n v="-0.14510981520611477"/>
    <n v="0"/>
    <n v="0"/>
    <m/>
    <m/>
    <m/>
    <n v="0"/>
    <n v="0"/>
    <n v="0"/>
    <n v="-22.37215999999998"/>
    <n v="14.10944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7"/>
    <s v="Regular"/>
    <s v="Verde"/>
    <s v="A4"/>
    <s v="Serviço público"/>
    <s v="Água, esgoto e saneamento"/>
    <s v="Não se aplica"/>
    <s v="Não se aplica"/>
    <s v="Não se aplica"/>
    <s v="CATIVO"/>
    <x v="5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71"/>
    <n v="132.55000000000001"/>
    <n v="771.23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29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28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9.0310000000000006"/>
    <n v="9.0310000000000006"/>
    <n v="9.0310000000000006"/>
    <n v="9.0310000000000006"/>
    <m/>
    <n v="522.37"/>
    <n v="144.41999999999999"/>
    <m/>
    <n v="6021.7804900000001"/>
    <n v="6021.7804900000001"/>
    <n v="5885.8639400000002"/>
    <n v="0"/>
    <n v="554.51220915417321"/>
    <n v="0"/>
    <n v="0"/>
    <n v="0"/>
    <n v="920.83375440323857"/>
    <n v="2997.4540893861322"/>
    <n v="1304.2734892069191"/>
    <n v="0"/>
    <n v="0"/>
    <n v="0"/>
    <n v="0"/>
    <n v="0"/>
    <n v="85.638766302005749"/>
    <m/>
    <n v="13.138797222781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92582681031001"/>
    <n v="0"/>
    <n v="0"/>
    <n v="0"/>
    <n v="0"/>
    <n v="3"/>
    <m/>
    <m/>
    <m/>
    <m/>
    <m/>
    <m/>
    <m/>
    <m/>
    <m/>
    <n v="1450.1993160172292"/>
    <m/>
    <m/>
    <m/>
    <m/>
    <m/>
    <m/>
    <m/>
    <m/>
    <m/>
    <m/>
    <m/>
    <m/>
    <n v="5885.212199999999"/>
    <n v="-136.59829000000173"/>
    <m/>
    <m/>
    <m/>
    <m/>
    <n v="-188.65758999999989"/>
    <n v="52.741040000000034"/>
    <n v="29"/>
    <n v="-0.86678414063771925"/>
    <n v="0"/>
    <n v="0"/>
    <n v="0"/>
    <n v="0"/>
    <n v="0"/>
    <n v="0"/>
    <n v="0"/>
    <n v="38.538137237261367"/>
    <n v="0"/>
    <n v="0"/>
    <n v="52.739165149408791"/>
    <n v="0"/>
    <n v="0"/>
    <n v="0"/>
    <n v="5.900607766237556"/>
    <n v="0"/>
    <n v="-85.190329005930153"/>
    <m/>
    <n v="0"/>
    <n v="0"/>
    <n v="0"/>
    <n v="0"/>
    <n v="-11.268739354747268"/>
    <n v="-1.5856259328679787"/>
    <n v="0"/>
    <n v="0"/>
    <m/>
    <m/>
    <m/>
    <n v="2997.4540893861322"/>
    <n v="0"/>
    <n v="0"/>
    <n v="-188.6575899999998"/>
    <n v="52.741039999999884"/>
    <n v="0"/>
    <n v="0"/>
    <n v="-134.9970307649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8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77.2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290"/>
    <s v="Regular"/>
    <s v="Convencional"/>
    <s v="B2"/>
    <s v="Rural"/>
    <s v="Agropecuária rural"/>
    <s v="IRRIG./AQUIC."/>
    <s v="Não se aplica"/>
    <s v="Não se aplica"/>
    <s v="CATIVO"/>
    <x v="5"/>
    <n v="0"/>
    <n v="0"/>
    <n v="3.2069999999999999"/>
    <n v="3.2069999999999999"/>
    <n v="3.2069999999999999"/>
    <n v="3.2069999999999999"/>
    <m/>
    <n v="522.37"/>
    <n v="144.41999999999999"/>
    <m/>
    <n v="2138.3955299999998"/>
    <n v="2138.3955299999998"/>
    <n v="2090.1301800000001"/>
    <n v="0"/>
    <n v="196.91292822028936"/>
    <n v="0"/>
    <n v="0"/>
    <n v="0"/>
    <n v="326.99743664834301"/>
    <n v="1064.4264494143865"/>
    <n v="463.16078838296852"/>
    <n v="0"/>
    <n v="0"/>
    <n v="0"/>
    <n v="0"/>
    <n v="0"/>
    <n v="30.411197379086747"/>
    <m/>
    <n v="4.6657205950018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19746050344826"/>
    <n v="0"/>
    <n v="0"/>
    <n v="0"/>
    <n v="0"/>
    <n v="0"/>
    <m/>
    <m/>
    <m/>
    <m/>
    <m/>
    <n v="250.78740000000005"/>
    <m/>
    <m/>
    <m/>
    <n v="514.98053443331332"/>
    <m/>
    <m/>
    <m/>
    <m/>
    <m/>
    <m/>
    <m/>
    <m/>
    <m/>
    <m/>
    <m/>
    <m/>
    <n v="1841.0634"/>
    <n v="-40.737989999999854"/>
    <m/>
    <m/>
    <m/>
    <m/>
    <n v="-66.994229999999959"/>
    <n v="18.728880000000011"/>
    <n v="29"/>
    <n v="-0.30780386878836907"/>
    <n v="0"/>
    <n v="0"/>
    <n v="0"/>
    <n v="0"/>
    <n v="0"/>
    <n v="0"/>
    <n v="0"/>
    <n v="13.685284699357453"/>
    <n v="0"/>
    <n v="0"/>
    <n v="18.728214221476492"/>
    <n v="0"/>
    <n v="0"/>
    <n v="0"/>
    <n v="2.0953658627310219"/>
    <n v="0"/>
    <n v="-30.251952731925371"/>
    <m/>
    <n v="0"/>
    <n v="0"/>
    <n v="0"/>
    <n v="0"/>
    <n v="-4.0016440162412259"/>
    <n v="-0.56307190418642517"/>
    <n v="0"/>
    <n v="0"/>
    <m/>
    <m/>
    <m/>
    <n v="1064.4264494143865"/>
    <n v="0"/>
    <n v="0"/>
    <n v="-66.994229999999789"/>
    <n v="18.728880000000004"/>
    <n v="0"/>
    <n v="0"/>
    <n v="-47.938819362548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.02"/>
    <n v="0.40799999999999997"/>
    <n v="1.02"/>
    <n v="0.40799999999999997"/>
    <m/>
    <n v="522.37"/>
    <n v="144.41999999999999"/>
    <m/>
    <n v="680.12580000000003"/>
    <n v="680.12580000000003"/>
    <n v="664.77480000000003"/>
    <n v="0"/>
    <n v="62.62899494377772"/>
    <n v="0"/>
    <n v="0"/>
    <n v="0"/>
    <n v="104.00292652987524"/>
    <n v="338.54536276977683"/>
    <n v="147.31026010309571"/>
    <n v="0"/>
    <n v="0"/>
    <n v="0"/>
    <n v="0"/>
    <n v="0"/>
    <n v="9.6724107660332042"/>
    <m/>
    <n v="1.48395229401367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81490792438954"/>
    <n v="0"/>
    <n v="0"/>
    <n v="0"/>
    <n v="0"/>
    <n v="0"/>
    <m/>
    <m/>
    <m/>
    <m/>
    <m/>
    <m/>
    <n v="430.77048000000002"/>
    <m/>
    <m/>
    <n v="163.79175089553468"/>
    <m/>
    <m/>
    <m/>
    <m/>
    <m/>
    <m/>
    <m/>
    <m/>
    <m/>
    <m/>
    <m/>
    <m/>
    <n v="235.15139999999997"/>
    <n v="-4.280760000000015"/>
    <m/>
    <m/>
    <m/>
    <m/>
    <n v="-21.307799999999986"/>
    <n v="5.9568000000000039"/>
    <n v="29"/>
    <n v="-9.7898330578061632E-2"/>
    <n v="0"/>
    <n v="0"/>
    <n v="0"/>
    <n v="0"/>
    <n v="0"/>
    <n v="0"/>
    <n v="0"/>
    <n v="4.352663047503782"/>
    <n v="0"/>
    <n v="0"/>
    <n v="5.9565882463068078"/>
    <n v="0"/>
    <n v="0"/>
    <n v="0"/>
    <n v="0.66644003117731287"/>
    <n v="0"/>
    <n v="-9.6217623282082485"/>
    <m/>
    <n v="0"/>
    <n v="0"/>
    <n v="0"/>
    <n v="0"/>
    <n v="-1.2727399116202207"/>
    <n v="-0.17908741573749731"/>
    <n v="0"/>
    <n v="0"/>
    <m/>
    <m/>
    <m/>
    <n v="338.54536276977683"/>
    <n v="0"/>
    <n v="0"/>
    <n v="-21.307799999999986"/>
    <n v="5.9568000000000154"/>
    <n v="0"/>
    <n v="0"/>
    <n v="-15.247145540941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2"/>
    <s v="Regular"/>
    <s v="Convencional"/>
    <s v="B1"/>
    <s v="Residencial"/>
    <s v="Residencial"/>
    <s v="Não se aplica"/>
    <s v="Não se aplica"/>
    <s v="Não se aplica"/>
    <s v="CATIVO"/>
    <x v="6"/>
    <n v="0"/>
    <n v="0"/>
    <n v="2763.9760000000001"/>
    <n v="2763.9760000000001"/>
    <n v="2763.9760000000001"/>
    <n v="2763.9760000000001"/>
    <m/>
    <n v="522.37"/>
    <n v="144.41999999999999"/>
    <m/>
    <n v="1842991.5570400001"/>
    <n v="1842991.5570400001"/>
    <n v="1801393.7182400001"/>
    <n v="0"/>
    <n v="169710.82247914019"/>
    <n v="0"/>
    <n v="0"/>
    <n v="0"/>
    <n v="281825.09103758674"/>
    <n v="917383.58588917332"/>
    <n v="399178.45439089614"/>
    <n v="0"/>
    <n v="0"/>
    <n v="0"/>
    <n v="0"/>
    <n v="0"/>
    <n v="26210.109038683717"/>
    <m/>
    <n v="4021.1848292144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661.220582864953"/>
    <n v="0"/>
    <n v="641.72"/>
    <n v="2978.37"/>
    <n v="441077.29"/>
    <n v="11984"/>
    <m/>
    <m/>
    <m/>
    <m/>
    <m/>
    <m/>
    <m/>
    <m/>
    <m/>
    <n v="443839.67497376108"/>
    <m/>
    <m/>
    <m/>
    <m/>
    <m/>
    <m/>
    <m/>
    <m/>
    <m/>
    <m/>
    <m/>
    <m/>
    <n v="1801396.3251999998"/>
    <n v="-41595.261840000283"/>
    <m/>
    <m/>
    <m/>
    <m/>
    <n v="-57739.458639999968"/>
    <n v="16141.61984000001"/>
    <n v="31"/>
    <n v="-265.28297662525438"/>
    <n v="0"/>
    <n v="0"/>
    <n v="0"/>
    <n v="0"/>
    <n v="0"/>
    <n v="0"/>
    <n v="0"/>
    <n v="11794.760979791463"/>
    <n v="0"/>
    <n v="0"/>
    <n v="16141.046033994295"/>
    <n v="0"/>
    <n v="0"/>
    <n v="0"/>
    <n v="1805.9061290326863"/>
    <n v="0"/>
    <n v="-26072.862894972292"/>
    <m/>
    <n v="0"/>
    <n v="0"/>
    <n v="0"/>
    <n v="0"/>
    <n v="-3448.8456568239344"/>
    <n v="-485.28756764751461"/>
    <n v="0"/>
    <n v="0"/>
    <m/>
    <m/>
    <m/>
    <n v="917383.58588917332"/>
    <n v="0"/>
    <n v="0"/>
    <n v="-57739.458640000084"/>
    <n v="16141.619840000058"/>
    <n v="0"/>
    <n v="0"/>
    <n v="-41316.41602320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3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4.5149999999999997"/>
    <n v="-4.5149999999999997"/>
    <n v="-4.5149999999999997"/>
    <n v="-4.5149999999999997"/>
    <m/>
    <n v="522.37"/>
    <n v="144.41999999999999"/>
    <m/>
    <n v="-3010.5568499999995"/>
    <n v="-3010.5568499999995"/>
    <n v="-2942.6060999999995"/>
    <n v="0"/>
    <n v="-277.22540408936902"/>
    <n v="0"/>
    <n v="0"/>
    <n v="0"/>
    <n v="-460.36589537488891"/>
    <n v="-1498.561091083865"/>
    <n v="-652.06453369164421"/>
    <n v="0"/>
    <n v="0"/>
    <n v="0"/>
    <n v="0"/>
    <n v="0"/>
    <n v="-42.814641773176383"/>
    <m/>
    <n v="-6.56867118379584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2.954834243001841"/>
    <n v="0"/>
    <n v="0"/>
    <n v="0"/>
    <n v="-839.48"/>
    <n v="0"/>
    <m/>
    <m/>
    <m/>
    <m/>
    <m/>
    <m/>
    <m/>
    <m/>
    <m/>
    <n v="-725.01936793464608"/>
    <m/>
    <m/>
    <m/>
    <m/>
    <m/>
    <m/>
    <m/>
    <m/>
    <m/>
    <m/>
    <m/>
    <m/>
    <n v="-2945.8647999999994"/>
    <n v="64.662049999999454"/>
    <m/>
    <m/>
    <m/>
    <m/>
    <n v="94.318349999999938"/>
    <n v="-26.367600000000014"/>
    <n v="31"/>
    <n v="0.43334408094119681"/>
    <n v="0"/>
    <n v="0"/>
    <n v="0"/>
    <n v="0"/>
    <n v="0"/>
    <n v="0"/>
    <n v="0"/>
    <n v="-19.266934960274057"/>
    <n v="0"/>
    <n v="0"/>
    <n v="-26.366662678505236"/>
    <n v="0"/>
    <n v="0"/>
    <n v="0"/>
    <n v="-2.9499771968289821"/>
    <n v="0"/>
    <n v="42.590447952804197"/>
    <m/>
    <n v="0"/>
    <n v="0"/>
    <n v="0"/>
    <n v="0"/>
    <n v="5.6337457852600963"/>
    <n v="0.79272517848509771"/>
    <n v="0"/>
    <n v="0"/>
    <m/>
    <m/>
    <m/>
    <n v="-1498.561091083865"/>
    <n v="0"/>
    <n v="0"/>
    <n v="94.318350000000009"/>
    <n v="-26.367600000000039"/>
    <n v="0"/>
    <n v="0"/>
    <n v="67.49104129152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4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1.647"/>
    <n v="11.647"/>
    <n v="11.647"/>
    <n v="11.647"/>
    <m/>
    <n v="522.37"/>
    <n v="144.41999999999999"/>
    <m/>
    <n v="7766.1031299999995"/>
    <n v="7766.1031299999995"/>
    <n v="7590.8157800000008"/>
    <n v="0"/>
    <n v="715.13716089233253"/>
    <n v="0"/>
    <n v="0"/>
    <n v="0"/>
    <n v="1187.5706718563304"/>
    <n v="3865.7233727250891"/>
    <n v="1682.0809798242703"/>
    <n v="0"/>
    <n v="0"/>
    <n v="0"/>
    <n v="0"/>
    <n v="0"/>
    <n v="110.44565509018503"/>
    <m/>
    <n v="16.94469840036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19600319562403"/>
    <n v="0"/>
    <n v="3.24"/>
    <n v="15.04"/>
    <n v="6637.09"/>
    <n v="90"/>
    <m/>
    <m/>
    <m/>
    <m/>
    <m/>
    <m/>
    <m/>
    <m/>
    <m/>
    <n v="1870.2769830198945"/>
    <m/>
    <m/>
    <m/>
    <m/>
    <m/>
    <m/>
    <m/>
    <m/>
    <m/>
    <m/>
    <m/>
    <m/>
    <n v="7592.7710000000006"/>
    <n v="-173.36212999999952"/>
    <m/>
    <m/>
    <m/>
    <m/>
    <n v="-243.30582999999984"/>
    <n v="68.018480000000039"/>
    <n v="31"/>
    <n v="-1.1178645649438295"/>
    <n v="0"/>
    <n v="0"/>
    <n v="0"/>
    <n v="0"/>
    <n v="0"/>
    <n v="0"/>
    <n v="0"/>
    <n v="49.701437759094688"/>
    <n v="0"/>
    <n v="0"/>
    <n v="68.016062063466279"/>
    <n v="0"/>
    <n v="0"/>
    <n v="0"/>
    <n v="7.6098304344334622"/>
    <n v="0"/>
    <n v="-109.86731944768781"/>
    <m/>
    <n v="0"/>
    <n v="0"/>
    <n v="0"/>
    <n v="0"/>
    <n v="-14.532942892785016"/>
    <n v="-2.0449324814653238"/>
    <n v="0"/>
    <n v="0"/>
    <m/>
    <m/>
    <m/>
    <n v="3865.7233727250891"/>
    <n v="0"/>
    <n v="0"/>
    <n v="-243.30582999999933"/>
    <n v="68.018479999999954"/>
    <n v="0"/>
    <n v="0"/>
    <n v="-174.1014746228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5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16.2"/>
    <n v="16.2"/>
    <n v="16.2"/>
    <n v="16.2"/>
    <m/>
    <n v="451.48"/>
    <n v="144.41999999999999"/>
    <m/>
    <n v="9653.58"/>
    <n v="9653.58"/>
    <n v="9582.9479999999985"/>
    <n v="0"/>
    <n v="0"/>
    <n v="0"/>
    <n v="0"/>
    <n v="0"/>
    <n v="1651.8111860627243"/>
    <n v="5376.8969381082197"/>
    <n v="2339.6335428138727"/>
    <n v="0"/>
    <n v="0"/>
    <n v="0"/>
    <n v="0"/>
    <n v="0"/>
    <n v="0"/>
    <m/>
    <n v="23.568654081393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.76485376226572"/>
    <n v="0"/>
    <n v="0.94"/>
    <n v="4.0599999999999996"/>
    <n v="405.5"/>
    <n v="10"/>
    <m/>
    <m/>
    <m/>
    <m/>
    <m/>
    <m/>
    <m/>
    <n v="6228.9"/>
    <m/>
    <n v="2601.3983965761386"/>
    <m/>
    <m/>
    <m/>
    <m/>
    <m/>
    <m/>
    <m/>
    <m/>
    <m/>
    <m/>
    <m/>
    <m/>
    <n v="3354.0479999999998"/>
    <n v="-24.816000000000713"/>
    <m/>
    <m/>
    <m/>
    <m/>
    <n v="-165.24000000000072"/>
    <n v="94.608000000000047"/>
    <n v="31"/>
    <n v="171.47547385279995"/>
    <n v="0"/>
    <n v="0"/>
    <n v="0"/>
    <n v="0"/>
    <n v="0"/>
    <n v="0"/>
    <n v="0"/>
    <n v="69.130530754471692"/>
    <n v="0"/>
    <n v="0"/>
    <n v="94.604636853108332"/>
    <n v="0"/>
    <n v="0"/>
    <n v="0"/>
    <n v="10.584635789286722"/>
    <n v="0"/>
    <n v="0"/>
    <m/>
    <n v="0"/>
    <n v="0"/>
    <n v="0"/>
    <n v="0"/>
    <n v="0"/>
    <n v="-2.8443295440661309"/>
    <n v="0"/>
    <n v="0"/>
    <m/>
    <m/>
    <m/>
    <n v="5376.8969381082197"/>
    <n v="0"/>
    <n v="0"/>
    <n v="-165.24000000000069"/>
    <n v="94.60799999999972"/>
    <n v="0"/>
    <n v="0"/>
    <n v="-242.16054682672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6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36.347999999999999"/>
    <n v="36.347999999999999"/>
    <n v="36.347999999999999"/>
    <n v="36.347999999999999"/>
    <m/>
    <n v="451.48"/>
    <n v="144.41999999999999"/>
    <m/>
    <n v="21659.7732"/>
    <n v="21659.7732"/>
    <n v="21501.295919999997"/>
    <n v="0"/>
    <n v="0"/>
    <n v="0"/>
    <n v="0"/>
    <n v="0"/>
    <n v="3706.1748759881425"/>
    <n v="12064.163574466518"/>
    <n v="5249.4444453209044"/>
    <n v="0"/>
    <n v="0"/>
    <n v="0"/>
    <n v="0"/>
    <n v="0"/>
    <n v="0"/>
    <m/>
    <n v="52.881076453734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7.32277188585397"/>
    <n v="0"/>
    <n v="3.44"/>
    <n v="15.91"/>
    <n v="1560.82"/>
    <n v="43"/>
    <m/>
    <m/>
    <m/>
    <m/>
    <m/>
    <m/>
    <m/>
    <n v="8600.3002799999995"/>
    <m/>
    <n v="5836.7672172067587"/>
    <m/>
    <m/>
    <m/>
    <m/>
    <m/>
    <m/>
    <m/>
    <m/>
    <m/>
    <m/>
    <m/>
    <m/>
    <n v="12901.7055"/>
    <n v="-94.188420000000406"/>
    <m/>
    <m/>
    <m/>
    <m/>
    <n v="-370.74960000000164"/>
    <n v="212.27232000000012"/>
    <n v="31"/>
    <n v="384.74015577787759"/>
    <n v="0"/>
    <n v="0"/>
    <n v="0"/>
    <n v="0"/>
    <n v="0"/>
    <n v="0"/>
    <n v="0"/>
    <n v="155.10842789281105"/>
    <n v="0"/>
    <n v="0"/>
    <n v="212.26477409486324"/>
    <n v="0"/>
    <n v="0"/>
    <n v="0"/>
    <n v="23.748786522777436"/>
    <n v="0"/>
    <n v="0"/>
    <m/>
    <n v="0"/>
    <n v="0"/>
    <n v="0"/>
    <n v="0"/>
    <n v="0"/>
    <n v="-6.3818327325750417"/>
    <n v="0"/>
    <n v="0"/>
    <m/>
    <m/>
    <m/>
    <n v="12064.163574466518"/>
    <n v="0"/>
    <n v="0"/>
    <n v="-370.74960000000101"/>
    <n v="212.27232000000004"/>
    <n v="0"/>
    <n v="0"/>
    <n v="-543.33651580602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7"/>
    <s v="Refaturamento - 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7.0000000000000007E-2"/>
    <n v="7.0000000000000007E-2"/>
    <n v="7.0000000000000007E-2"/>
    <n v="7.0000000000000007E-2"/>
    <m/>
    <n v="451.48"/>
    <n v="144.41999999999999"/>
    <m/>
    <n v="41.713000000000008"/>
    <n v="41.713000000000008"/>
    <n v="41.407800000000002"/>
    <n v="0"/>
    <n v="0"/>
    <n v="0"/>
    <n v="0"/>
    <n v="0"/>
    <n v="7.1374557422463409"/>
    <n v="23.233505288121943"/>
    <n v="10.10952765413402"/>
    <n v="0"/>
    <n v="0"/>
    <n v="0"/>
    <n v="0"/>
    <n v="0"/>
    <n v="0"/>
    <m/>
    <n v="0.10183986331466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10827014418892"/>
    <n v="0"/>
    <n v="0"/>
    <n v="0"/>
    <n v="3"/>
    <n v="0"/>
    <m/>
    <m/>
    <m/>
    <m/>
    <m/>
    <m/>
    <m/>
    <n v="16.5627"/>
    <m/>
    <n v="11.240610355575908"/>
    <m/>
    <m/>
    <m/>
    <m/>
    <m/>
    <m/>
    <m/>
    <m/>
    <m/>
    <m/>
    <m/>
    <m/>
    <n v="24.845099999999999"/>
    <n v="-0.21270000000000877"/>
    <m/>
    <m/>
    <m/>
    <m/>
    <n v="-0.7140000000000033"/>
    <n v="0.40880000000000027"/>
    <n v="31"/>
    <n v="0.74094340553678961"/>
    <n v="0"/>
    <n v="0"/>
    <n v="0"/>
    <n v="0"/>
    <n v="0"/>
    <n v="0"/>
    <n v="0"/>
    <n v="0.29871216992672966"/>
    <n v="0"/>
    <n v="0"/>
    <n v="0.40878546788380277"/>
    <n v="0"/>
    <n v="0"/>
    <n v="0"/>
    <n v="4.5736080570991877E-2"/>
    <n v="0"/>
    <n v="0"/>
    <m/>
    <n v="0"/>
    <n v="0"/>
    <n v="0"/>
    <n v="0"/>
    <n v="0"/>
    <n v="-1.22903128447302E-2"/>
    <n v="0"/>
    <n v="0"/>
    <m/>
    <m/>
    <m/>
    <n v="23.233505288121943"/>
    <n v="0"/>
    <n v="0"/>
    <n v="-0.71400000000000219"/>
    <n v="0.40879999999999939"/>
    <n v="0"/>
    <n v="0"/>
    <n v="-1.046372733201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8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44.905999999999999"/>
    <n v="44.905999999999999"/>
    <n v="44.905999999999999"/>
    <n v="44.905999999999999"/>
    <m/>
    <n v="451.48"/>
    <n v="144.41999999999999"/>
    <m/>
    <n v="26759.485399999998"/>
    <n v="26759.485399999998"/>
    <n v="26563.695240000001"/>
    <n v="0"/>
    <n v="0"/>
    <n v="0"/>
    <n v="0"/>
    <n v="0"/>
    <n v="4578.7798223044874"/>
    <n v="14904.625549548626"/>
    <n v="6485.4064119506038"/>
    <n v="0"/>
    <n v="0"/>
    <n v="0"/>
    <n v="0"/>
    <n v="0"/>
    <n v="0"/>
    <m/>
    <n v="65.331727171547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5.60571129927814"/>
    <n v="0"/>
    <n v="5.56"/>
    <n v="26.1"/>
    <n v="4999.66"/>
    <n v="249"/>
    <m/>
    <m/>
    <m/>
    <m/>
    <m/>
    <m/>
    <m/>
    <n v="2656.1898999999989"/>
    <m/>
    <n v="7211.0121232498823"/>
    <m/>
    <m/>
    <m/>
    <m/>
    <m/>
    <m/>
    <m/>
    <m/>
    <m/>
    <m/>
    <m/>
    <m/>
    <n v="23909.634899999997"/>
    <n v="-174.38101999999708"/>
    <m/>
    <m/>
    <m/>
    <m/>
    <n v="-458.04120000000205"/>
    <n v="262.25104000000016"/>
    <n v="31"/>
    <n v="475.32577955764282"/>
    <n v="0"/>
    <n v="0"/>
    <n v="0"/>
    <n v="0"/>
    <n v="0"/>
    <n v="0"/>
    <n v="0"/>
    <n v="191.62812432471037"/>
    <n v="0"/>
    <n v="0"/>
    <n v="262.24171743985698"/>
    <n v="0"/>
    <n v="0"/>
    <n v="0"/>
    <n v="29.340349058870856"/>
    <n v="0"/>
    <n v="0"/>
    <m/>
    <n v="0"/>
    <n v="0"/>
    <n v="0"/>
    <n v="0"/>
    <n v="0"/>
    <n v="-7.8844112657922096"/>
    <n v="0"/>
    <n v="0"/>
    <m/>
    <m/>
    <m/>
    <n v="14904.625549548626"/>
    <n v="0"/>
    <n v="0"/>
    <n v="-458.04119999999966"/>
    <n v="262.2510400000001"/>
    <n v="0"/>
    <n v="0"/>
    <n v="-671.2630565309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299"/>
    <s v="Refaturamento - 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.03"/>
    <n v="0.03"/>
    <n v="0.03"/>
    <n v="0.03"/>
    <m/>
    <n v="451.48"/>
    <n v="144.41999999999999"/>
    <m/>
    <n v="17.876999999999999"/>
    <n v="17.876999999999999"/>
    <n v="17.746199999999998"/>
    <n v="0"/>
    <n v="0"/>
    <n v="0"/>
    <n v="0"/>
    <n v="0"/>
    <n v="3.0589096038198598"/>
    <n v="9.9572165520522589"/>
    <n v="4.3326547089145793"/>
    <n v="0"/>
    <n v="0"/>
    <n v="0"/>
    <n v="0"/>
    <n v="0"/>
    <n v="0"/>
    <m/>
    <n v="4.36456557062846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474972918938097"/>
    <n v="0"/>
    <n v="0"/>
    <n v="0"/>
    <n v="1.94"/>
    <n v="0"/>
    <m/>
    <m/>
    <m/>
    <m/>
    <m/>
    <m/>
    <m/>
    <n v="1.7744999999999993"/>
    <m/>
    <n v="4.81740443810396"/>
    <m/>
    <m/>
    <m/>
    <m/>
    <m/>
    <m/>
    <m/>
    <m/>
    <m/>
    <m/>
    <m/>
    <m/>
    <n v="15.971699999999998"/>
    <n v="-0.14789999999999992"/>
    <m/>
    <m/>
    <m/>
    <m/>
    <n v="-0.30600000000000133"/>
    <n v="0.17520000000000011"/>
    <n v="31"/>
    <n v="0.3175471738014819"/>
    <n v="0"/>
    <n v="0"/>
    <n v="0"/>
    <n v="0"/>
    <n v="0"/>
    <n v="0"/>
    <n v="0"/>
    <n v="0.12801950139717011"/>
    <n v="0"/>
    <n v="0"/>
    <n v="0.17519377195020081"/>
    <n v="0"/>
    <n v="0"/>
    <n v="0"/>
    <n v="1.9601177387568058E-2"/>
    <n v="0"/>
    <n v="0"/>
    <m/>
    <n v="0"/>
    <n v="0"/>
    <n v="0"/>
    <n v="0"/>
    <n v="0"/>
    <n v="-5.2672769334558001E-3"/>
    <n v="0"/>
    <n v="0"/>
    <m/>
    <m/>
    <m/>
    <n v="9.9572165520522589"/>
    <n v="0"/>
    <n v="0"/>
    <n v="-0.30600000000000094"/>
    <n v="0.17520000000000024"/>
    <n v="0"/>
    <n v="0"/>
    <n v="-0.44844545708651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0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24.643999999999998"/>
    <n v="24.643999999999998"/>
    <n v="24.643999999999998"/>
    <n v="24.643999999999998"/>
    <m/>
    <n v="451.48"/>
    <n v="144.41999999999999"/>
    <m/>
    <n v="14685.3596"/>
    <n v="14685.3596"/>
    <n v="14577.911759999997"/>
    <n v="0"/>
    <n v="0"/>
    <n v="0"/>
    <n v="0"/>
    <n v="0"/>
    <n v="2512.7922758845543"/>
    <n v="8179.5214902925291"/>
    <n v="3559.1314215496964"/>
    <n v="0"/>
    <n v="0"/>
    <n v="0"/>
    <n v="0"/>
    <n v="0"/>
    <n v="0"/>
    <m/>
    <n v="35.853451307522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20574420477016"/>
    <n v="0"/>
    <n v="1.87"/>
    <n v="8.9600000000000009"/>
    <n v="4321.2"/>
    <n v="239"/>
    <m/>
    <m/>
    <m/>
    <m/>
    <m/>
    <m/>
    <m/>
    <m/>
    <m/>
    <n v="3957.3371657544667"/>
    <m/>
    <m/>
    <m/>
    <m/>
    <m/>
    <m/>
    <m/>
    <m/>
    <m/>
    <m/>
    <m/>
    <m/>
    <n v="14575.545599999999"/>
    <n v="-109.84400000000096"/>
    <m/>
    <m/>
    <m/>
    <m/>
    <n v="-251.3688000000011"/>
    <n v="143.92096000000006"/>
    <n v="31"/>
    <n v="260.85441837212511"/>
    <n v="0"/>
    <n v="0"/>
    <n v="0"/>
    <n v="0"/>
    <n v="0"/>
    <n v="0"/>
    <n v="0"/>
    <n v="105.16375308106171"/>
    <n v="0"/>
    <n v="0"/>
    <n v="143.9158438646914"/>
    <n v="0"/>
    <n v="0"/>
    <n v="0"/>
    <n v="16.101713851307522"/>
    <n v="0"/>
    <n v="0"/>
    <m/>
    <n v="0"/>
    <n v="0"/>
    <n v="0"/>
    <n v="0"/>
    <n v="0"/>
    <n v="-4.3268924249361582"/>
    <n v="0"/>
    <n v="0"/>
    <m/>
    <m/>
    <m/>
    <n v="8179.5214902925291"/>
    <n v="0"/>
    <n v="0"/>
    <n v="-251.36880000000201"/>
    <n v="143.92095999999992"/>
    <n v="0"/>
    <n v="0"/>
    <n v="-368.38299481467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1"/>
    <s v="Regular"/>
    <s v="Convencional"/>
    <s v="B3"/>
    <s v="Industrial"/>
    <s v="Não se aplica"/>
    <s v="Não se aplica"/>
    <s v="Não se aplica"/>
    <s v="Não se aplica"/>
    <s v="CATIVO"/>
    <x v="6"/>
    <n v="0"/>
    <n v="0"/>
    <n v="388.375"/>
    <n v="388.375"/>
    <n v="388.375"/>
    <n v="388.375"/>
    <m/>
    <n v="522.37"/>
    <n v="144.41999999999999"/>
    <m/>
    <n v="258964.56625"/>
    <n v="258964.56625"/>
    <n v="253119.52250000002"/>
    <n v="0"/>
    <n v="23846.603834597718"/>
    <n v="0"/>
    <n v="0"/>
    <n v="0"/>
    <n v="39600.133912784608"/>
    <n v="128904.46594677655"/>
    <n v="56089.825752489996"/>
    <n v="0"/>
    <n v="0"/>
    <n v="0"/>
    <n v="0"/>
    <n v="0"/>
    <n v="3682.8652267236721"/>
    <m/>
    <n v="565.02938449761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75.4892024641949"/>
    <n v="0"/>
    <n v="34.21"/>
    <n v="159.97"/>
    <n v="93765.73"/>
    <n v="562"/>
    <m/>
    <m/>
    <m/>
    <m/>
    <m/>
    <m/>
    <m/>
    <m/>
    <m/>
    <n v="62365.314954954192"/>
    <m/>
    <m/>
    <m/>
    <m/>
    <m/>
    <m/>
    <m/>
    <m/>
    <m/>
    <m/>
    <m/>
    <m/>
    <n v="253122.78120000003"/>
    <n v="-5841.8150500000047"/>
    <m/>
    <m/>
    <m/>
    <m/>
    <n v="-8113.1537499999949"/>
    <n v="2268.1100000000015"/>
    <n v="31"/>
    <n v="-37.275749155160156"/>
    <n v="0"/>
    <n v="0"/>
    <n v="0"/>
    <n v="0"/>
    <n v="0"/>
    <n v="0"/>
    <n v="0"/>
    <n v="1657.3191285041903"/>
    <n v="0"/>
    <n v="0"/>
    <n v="2268.0293727053067"/>
    <n v="0"/>
    <n v="0"/>
    <n v="0"/>
    <n v="253.75357559655731"/>
    <n v="0"/>
    <n v="-3663.5803374685092"/>
    <m/>
    <n v="0"/>
    <n v="0"/>
    <n v="0"/>
    <n v="0"/>
    <n v="-484.60819919166988"/>
    <n v="-68.189289301029874"/>
    <n v="0"/>
    <n v="0"/>
    <m/>
    <m/>
    <m/>
    <n v="128904.46594677655"/>
    <n v="0"/>
    <n v="0"/>
    <n v="-8113.1537499999977"/>
    <n v="2268.1100000000006"/>
    <n v="0"/>
    <n v="0"/>
    <n v="-5805.5001465325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2"/>
    <s v="Refaturamento - Regular"/>
    <s v="Convencional"/>
    <s v="B3"/>
    <s v="Industrial"/>
    <s v="Não se aplica"/>
    <s v="Não se aplica"/>
    <s v="Não se aplica"/>
    <s v="Não se aplica"/>
    <s v="CATIVO"/>
    <x v="6"/>
    <n v="0"/>
    <n v="0"/>
    <n v="-12.153"/>
    <n v="-12.153"/>
    <n v="-12.153"/>
    <n v="-12.153"/>
    <m/>
    <n v="522.37"/>
    <n v="144.41999999999999"/>
    <m/>
    <n v="-8103.4988700000004"/>
    <n v="-8103.4988700000004"/>
    <n v="-7920.5962200000004"/>
    <n v="0"/>
    <n v="-746.20605446248112"/>
    <n v="0"/>
    <n v="0"/>
    <n v="0"/>
    <n v="-1239.1642805074252"/>
    <n v="-4033.6684252363707"/>
    <n v="-1755.1584225812962"/>
    <n v="0"/>
    <n v="0"/>
    <n v="0"/>
    <n v="0"/>
    <n v="0"/>
    <n v="-115.24392945058973"/>
    <m/>
    <n v="-17.680855126615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6.37211529461825"/>
    <n v="0"/>
    <n v="0"/>
    <n v="0"/>
    <n v="-2932.22"/>
    <n v="0"/>
    <m/>
    <m/>
    <m/>
    <m/>
    <m/>
    <m/>
    <m/>
    <m/>
    <m/>
    <n v="-1951.5305378759144"/>
    <m/>
    <m/>
    <m/>
    <m/>
    <m/>
    <m/>
    <m/>
    <m/>
    <m/>
    <m/>
    <m/>
    <m/>
    <n v="-7918.6409999999996"/>
    <n v="184.82787000000008"/>
    <m/>
    <m/>
    <m/>
    <m/>
    <n v="253.87616999999983"/>
    <n v="-70.97352000000005"/>
    <n v="31"/>
    <n v="1.1664298152109041"/>
    <n v="0"/>
    <n v="0"/>
    <n v="0"/>
    <n v="0"/>
    <n v="0"/>
    <n v="0"/>
    <n v="0"/>
    <n v="-51.860700015993643"/>
    <n v="0"/>
    <n v="0"/>
    <n v="-70.97099701702632"/>
    <n v="0"/>
    <n v="0"/>
    <n v="0"/>
    <n v="-7.9404369597037885"/>
    <n v="0"/>
    <n v="114.64046821050488"/>
    <m/>
    <n v="0"/>
    <n v="0"/>
    <n v="0"/>
    <n v="0"/>
    <n v="15.16432171168681"/>
    <n v="2.1337738857429436"/>
    <n v="0"/>
    <n v="0"/>
    <m/>
    <m/>
    <m/>
    <n v="-4033.6684252363707"/>
    <n v="0"/>
    <n v="0"/>
    <n v="253.87616999999955"/>
    <n v="-70.973520000000008"/>
    <n v="0"/>
    <n v="0"/>
    <n v="181.6652546657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3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3.2440000000000002"/>
    <n v="3.2440000000000002"/>
    <n v="3.2440000000000002"/>
    <n v="3.2440000000000002"/>
    <m/>
    <n v="522.37"/>
    <n v="144.41999999999999"/>
    <m/>
    <n v="2163.0667600000002"/>
    <n v="2163.0667600000002"/>
    <n v="2114.2445600000001"/>
    <n v="0"/>
    <n v="199.1847643113872"/>
    <n v="0"/>
    <n v="0"/>
    <n v="0"/>
    <n v="330.77009182638756"/>
    <n v="1076.7070164952511"/>
    <n v="468.50439585729657"/>
    <n v="0"/>
    <n v="0"/>
    <n v="0"/>
    <n v="0"/>
    <n v="0"/>
    <n v="30.762059338246779"/>
    <m/>
    <n v="4.7195502370395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417604049678403"/>
    <n v="0"/>
    <n v="0"/>
    <n v="0"/>
    <n v="4871.58"/>
    <n v="9"/>
    <m/>
    <m/>
    <m/>
    <m/>
    <m/>
    <m/>
    <m/>
    <m/>
    <m/>
    <n v="520.92199990697497"/>
    <m/>
    <m/>
    <m/>
    <m/>
    <m/>
    <m/>
    <m/>
    <m/>
    <m/>
    <m/>
    <m/>
    <m/>
    <n v="2111.6376"/>
    <n v="-51.459160000000338"/>
    <m/>
    <m/>
    <m/>
    <m/>
    <n v="-67.767159999999961"/>
    <n v="18.944960000000012"/>
    <n v="31"/>
    <n v="-0.3113550827401923"/>
    <n v="0"/>
    <n v="0"/>
    <n v="0"/>
    <n v="0"/>
    <n v="0"/>
    <n v="0"/>
    <n v="0"/>
    <n v="13.843175417747318"/>
    <n v="0"/>
    <n v="0"/>
    <n v="18.944286540215046"/>
    <n v="0"/>
    <n v="0"/>
    <n v="0"/>
    <n v="2.1195406481756862"/>
    <n v="0"/>
    <n v="-30.600977443830971"/>
    <m/>
    <n v="0"/>
    <n v="0"/>
    <n v="0"/>
    <n v="0"/>
    <n v="-4.0478120326431366"/>
    <n v="-0.56956821240435396"/>
    <n v="0"/>
    <n v="0"/>
    <m/>
    <m/>
    <m/>
    <n v="1076.7070164952511"/>
    <n v="0"/>
    <n v="0"/>
    <n v="-67.767160000000104"/>
    <n v="18.944960000000037"/>
    <n v="0"/>
    <n v="0"/>
    <n v="-48.491902092955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4"/>
    <s v="Regular"/>
    <s v="Azul"/>
    <s v="A4"/>
    <s v="Industrial"/>
    <s v="Não se aplica"/>
    <s v="Não se aplica"/>
    <s v="Não se aplica"/>
    <s v="Ponta"/>
    <s v="CATIVO"/>
    <x v="6"/>
    <n v="211"/>
    <n v="211"/>
    <n v="5.234"/>
    <n v="5.234"/>
    <n v="5.234"/>
    <n v="5.234"/>
    <n v="111"/>
    <n v="69.64"/>
    <n v="144.41999999999999"/>
    <n v="23421"/>
    <n v="1120.39004"/>
    <n v="24541.390040000002"/>
    <n v="24040.299759999998"/>
    <n v="0"/>
    <n v="279.5942537216543"/>
    <n v="0"/>
    <n v="0"/>
    <n v="0"/>
    <n v="6592.7605622677493"/>
    <n v="16827.476895431315"/>
    <n v="755.90382488196371"/>
    <n v="0"/>
    <n v="0"/>
    <n v="0"/>
    <n v="0"/>
    <n v="0"/>
    <n v="49.632743087664501"/>
    <m/>
    <n v="2.6048843548580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65284493717224"/>
    <n v="0"/>
    <n v="0"/>
    <n v="0"/>
    <n v="0"/>
    <n v="0"/>
    <m/>
    <m/>
    <m/>
    <m/>
    <m/>
    <m/>
    <m/>
    <m/>
    <m/>
    <n v="788.556669819136"/>
    <m/>
    <m/>
    <m/>
    <m/>
    <m/>
    <m/>
    <m/>
    <m/>
    <m/>
    <m/>
    <m/>
    <m/>
    <n v="24039.457199999997"/>
    <n v="-501.96284000000014"/>
    <m/>
    <m/>
    <m/>
    <m/>
    <n v="-531.65684000000124"/>
    <n v="30.566560000000017"/>
    <n v="31"/>
    <n v="258.00210915260868"/>
    <n v="0"/>
    <n v="0"/>
    <n v="0"/>
    <n v="0"/>
    <n v="0"/>
    <n v="0"/>
    <n v="0"/>
    <n v="275.91594042478027"/>
    <n v="0"/>
    <n v="0"/>
    <n v="30.565473412911615"/>
    <n v="0"/>
    <n v="0"/>
    <n v="0"/>
    <n v="1.3203394809369655"/>
    <n v="0"/>
    <n v="-42.954376963217982"/>
    <m/>
    <n v="0"/>
    <n v="0"/>
    <n v="0"/>
    <n v="0"/>
    <n v="-6.5309026445296468"/>
    <n v="-0.31436455827351217"/>
    <n v="0"/>
    <n v="0"/>
    <m/>
    <m/>
    <n v="16827.476895431315"/>
    <n v="0"/>
    <n v="0"/>
    <n v="0"/>
    <n v="-531.65684000000329"/>
    <n v="30.566559999999981"/>
    <n v="0"/>
    <n v="0"/>
    <n v="-757.8629558307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5"/>
    <s v="Regular"/>
    <s v="Azul"/>
    <s v="A4"/>
    <s v="Industrial"/>
    <s v="Não se aplica"/>
    <s v="Não se aplica"/>
    <s v="Não se aplica"/>
    <s v="Fora ponta"/>
    <s v="CATIVO"/>
    <x v="6"/>
    <n v="3950"/>
    <n v="3950"/>
    <n v="1076.934"/>
    <n v="1076.934"/>
    <n v="1076.934"/>
    <n v="1076.934"/>
    <n v="34.950000000000003"/>
    <n v="69.64"/>
    <n v="144.41999999999999"/>
    <n v="138052.5"/>
    <n v="230528.49203999998"/>
    <n v="368580.99203999992"/>
    <n v="363041.37775999994"/>
    <n v="0"/>
    <n v="57528.57432890257"/>
    <n v="0"/>
    <n v="0"/>
    <n v="0"/>
    <n v="50045.629070176146"/>
    <n v="88024.991570743543"/>
    <n v="155532.7722096738"/>
    <n v="0"/>
    <n v="0"/>
    <n v="0"/>
    <n v="0"/>
    <n v="0"/>
    <n v="10212.301976379609"/>
    <m/>
    <n v="535.97411689237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8.5630320154087"/>
    <n v="0"/>
    <n v="0"/>
    <n v="0"/>
    <n v="0"/>
    <n v="0"/>
    <m/>
    <m/>
    <m/>
    <m/>
    <m/>
    <m/>
    <m/>
    <m/>
    <m/>
    <n v="162251.3352416892"/>
    <m/>
    <m/>
    <m/>
    <m/>
    <m/>
    <m/>
    <m/>
    <m/>
    <m/>
    <m/>
    <m/>
    <m/>
    <n v="363040.53520000004"/>
    <n v="-5540.4868399999104"/>
    <m/>
    <m/>
    <m/>
    <m/>
    <n v="-11828.908840000022"/>
    <n v="6289.2945600000039"/>
    <n v="31"/>
    <n v="-1591.4253347693011"/>
    <n v="0"/>
    <n v="0"/>
    <n v="0"/>
    <n v="0"/>
    <n v="0"/>
    <n v="0"/>
    <n v="0"/>
    <n v="2094.4772191600132"/>
    <n v="0"/>
    <n v="0"/>
    <n v="6289.0709867138939"/>
    <n v="0"/>
    <n v="0"/>
    <n v="0"/>
    <n v="271.66956029105222"/>
    <n v="0"/>
    <n v="-8838.1790218773822"/>
    <m/>
    <n v="0"/>
    <n v="0"/>
    <n v="0"/>
    <n v="0"/>
    <n v="-1343.7812588047163"/>
    <n v="-64.68282025214495"/>
    <n v="0"/>
    <n v="0"/>
    <m/>
    <m/>
    <n v="88024.991570743543"/>
    <n v="0"/>
    <n v="0"/>
    <n v="0"/>
    <n v="-11828.908839999989"/>
    <n v="6289.2945600000094"/>
    <n v="0"/>
    <n v="0"/>
    <n v="-3964.401835957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6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6264.5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07"/>
    <s v="Regular"/>
    <s v="Verde"/>
    <s v="A4"/>
    <s v="Industrial"/>
    <s v="Não se aplica"/>
    <s v="Não se aplica"/>
    <s v="Não se aplica"/>
    <s v="Ponta"/>
    <s v="CATIVO"/>
    <x v="6"/>
    <n v="0"/>
    <n v="0"/>
    <n v="80.924000000000007"/>
    <n v="80.924000000000007"/>
    <n v="80.924000000000007"/>
    <n v="80.924000000000007"/>
    <m/>
    <n v="2740.31"/>
    <n v="144.41999999999999"/>
    <m/>
    <n v="233443.89052000002"/>
    <n v="233443.89052000002"/>
    <n v="228725.21208000003"/>
    <n v="0"/>
    <n v="4322.8669064140531"/>
    <n v="0"/>
    <n v="0"/>
    <n v="0"/>
    <n v="60908.485499229042"/>
    <n v="155212.84427062713"/>
    <n v="11687.191655473449"/>
    <n v="0"/>
    <n v="0"/>
    <n v="0"/>
    <n v="0"/>
    <n v="0"/>
    <n v="767.38251846124615"/>
    <m/>
    <n v="40.27467740399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4.85266023991721"/>
    <n v="0"/>
    <n v="0"/>
    <n v="0"/>
    <n v="0"/>
    <n v="0"/>
    <m/>
    <m/>
    <m/>
    <m/>
    <m/>
    <m/>
    <m/>
    <m/>
    <m/>
    <n v="12192.044315713367"/>
    <m/>
    <m/>
    <m/>
    <m/>
    <m/>
    <m/>
    <m/>
    <m/>
    <m/>
    <m/>
    <m/>
    <m/>
    <n v="228713.90639999998"/>
    <n v="-4730.0141200000653"/>
    <m/>
    <m/>
    <m/>
    <m/>
    <n v="-5191.2746000000079"/>
    <n v="472.59616000000034"/>
    <n v="31"/>
    <n v="2272.1328440139478"/>
    <n v="0"/>
    <n v="0"/>
    <n v="0"/>
    <n v="0"/>
    <n v="0"/>
    <n v="0"/>
    <n v="0"/>
    <n v="2549.1024431483165"/>
    <n v="0"/>
    <n v="0"/>
    <n v="472.57936004326803"/>
    <n v="0"/>
    <n v="0"/>
    <n v="0"/>
    <n v="20.414052761815583"/>
    <n v="0"/>
    <n v="-664.12686308205048"/>
    <m/>
    <n v="0"/>
    <n v="0"/>
    <n v="0"/>
    <n v="0"/>
    <n v="-100.97569079211257"/>
    <n v="-4.8604580652895848"/>
    <n v="0"/>
    <n v="0"/>
    <m/>
    <m/>
    <m/>
    <n v="155212.84427062713"/>
    <n v="0"/>
    <n v="0"/>
    <n v="-5191.2746000000043"/>
    <n v="472.59616000000096"/>
    <n v="0"/>
    <n v="0"/>
    <n v="-6990.356645432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8"/>
    <s v="Sistema de Compensação"/>
    <s v="Verde"/>
    <s v="A4"/>
    <s v="Industrial"/>
    <s v="Não se aplica"/>
    <s v="Não se aplica"/>
    <s v="Não se aplica"/>
    <s v="Ponta"/>
    <s v="CATIVO"/>
    <x v="6"/>
    <n v="0"/>
    <n v="0"/>
    <n v="0.44700000000000001"/>
    <n v="0.44700000000000001"/>
    <n v="0.44700000000000001"/>
    <n v="0.44700000000000001"/>
    <m/>
    <n v="2740.31"/>
    <n v="144.41999999999999"/>
    <m/>
    <n v="1289.4743100000001"/>
    <n v="1289.4743100000001"/>
    <n v="1263.4097400000001"/>
    <n v="0"/>
    <n v="23.878225336946787"/>
    <n v="0"/>
    <n v="0"/>
    <n v="0"/>
    <n v="336.44027752156813"/>
    <n v="857.34938200002875"/>
    <n v="64.556555162827237"/>
    <n v="0"/>
    <n v="0"/>
    <n v="0"/>
    <n v="0"/>
    <n v="0"/>
    <n v="4.2387917768792569"/>
    <m/>
    <n v="0.22246528594221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88655270713793"/>
    <n v="0"/>
    <n v="0"/>
    <n v="0"/>
    <n v="0"/>
    <n v="0"/>
    <m/>
    <m/>
    <m/>
    <m/>
    <m/>
    <m/>
    <m/>
    <m/>
    <m/>
    <n v="67.345210433541027"/>
    <m/>
    <m/>
    <m/>
    <m/>
    <m/>
    <m/>
    <m/>
    <m/>
    <m/>
    <m/>
    <m/>
    <m/>
    <n v="1271.8889999999999"/>
    <n v="-17.615310000000136"/>
    <m/>
    <m/>
    <m/>
    <m/>
    <n v="-28.675050000000041"/>
    <n v="2.6104800000000017"/>
    <n v="31"/>
    <n v="12.550583031909355"/>
    <n v="0"/>
    <n v="0"/>
    <n v="0"/>
    <n v="0"/>
    <n v="0"/>
    <n v="0"/>
    <n v="0"/>
    <n v="14.080480353013911"/>
    <n v="0"/>
    <n v="0"/>
    <n v="2.6103872020579928"/>
    <n v="0"/>
    <n v="0"/>
    <n v="0"/>
    <n v="0.11276112876935818"/>
    <n v="0"/>
    <n v="-3.668438384134209"/>
    <m/>
    <n v="0"/>
    <n v="0"/>
    <n v="0"/>
    <n v="0"/>
    <n v="-0.55775954950415585"/>
    <n v="-2.6847718293515455E-2"/>
    <n v="0"/>
    <n v="0"/>
    <m/>
    <m/>
    <m/>
    <n v="857.34938200002875"/>
    <n v="0"/>
    <n v="0"/>
    <n v="-28.675050000000056"/>
    <n v="2.6104799999999955"/>
    <n v="0"/>
    <n v="0"/>
    <n v="-38.612641744206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09"/>
    <s v="Regular"/>
    <s v="Verde"/>
    <s v="A4"/>
    <s v="Industrial"/>
    <s v="Não se aplica"/>
    <s v="Não se aplica"/>
    <s v="Não se aplica"/>
    <s v="Fora ponta"/>
    <s v="CATIVO"/>
    <x v="6"/>
    <n v="0"/>
    <n v="0"/>
    <n v="5276.2020000000002"/>
    <n v="5276.2020000000002"/>
    <n v="5276.2020000000002"/>
    <n v="5276.2020000000002"/>
    <m/>
    <n v="69.64"/>
    <n v="144.41999999999999"/>
    <m/>
    <n v="1129423.80012"/>
    <n v="1129423.80012"/>
    <n v="1111379.18928"/>
    <n v="0"/>
    <n v="281848.63597147499"/>
    <n v="0"/>
    <n v="0"/>
    <n v="0"/>
    <n v="0"/>
    <n v="0"/>
    <n v="761998.71468281746"/>
    <n v="0"/>
    <n v="0"/>
    <n v="0"/>
    <n v="0"/>
    <n v="0"/>
    <n v="50032.934341731299"/>
    <m/>
    <n v="2625.88766581404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16.126435460079"/>
    <n v="0"/>
    <n v="0"/>
    <n v="0"/>
    <n v="0"/>
    <n v="0"/>
    <m/>
    <m/>
    <m/>
    <m/>
    <m/>
    <m/>
    <m/>
    <m/>
    <m/>
    <n v="794914.84111827752"/>
    <m/>
    <m/>
    <m/>
    <m/>
    <m/>
    <m/>
    <m/>
    <m/>
    <m/>
    <m/>
    <m/>
    <m/>
    <n v="1111378.7679999999"/>
    <n v="-18045.062120000133"/>
    <m/>
    <m/>
    <m/>
    <m/>
    <n v="-48857.630519999992"/>
    <n v="30813.019680000019"/>
    <n v="31"/>
    <n v="-18058.271376747871"/>
    <n v="0"/>
    <n v="0"/>
    <n v="0"/>
    <n v="0"/>
    <n v="0"/>
    <n v="0"/>
    <n v="0"/>
    <n v="0"/>
    <n v="0"/>
    <n v="0"/>
    <n v="30811.924331706483"/>
    <n v="0"/>
    <n v="0"/>
    <n v="0"/>
    <n v="1330.985443255362"/>
    <n v="0"/>
    <n v="-43300.720222026139"/>
    <m/>
    <n v="0"/>
    <n v="0"/>
    <n v="0"/>
    <n v="0"/>
    <n v="-6583.5616344808222"/>
    <n v="-316.89929520286978"/>
    <n v="0"/>
    <n v="0"/>
    <m/>
    <m/>
    <m/>
    <n v="0"/>
    <n v="0"/>
    <n v="0"/>
    <n v="-48857.630520000006"/>
    <n v="30813.01968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0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2.254"/>
    <n v="2.254"/>
    <n v="2.254"/>
    <n v="2.254"/>
    <m/>
    <n v="69.64"/>
    <n v="144.41999999999999"/>
    <m/>
    <n v="482.49123999999995"/>
    <n v="482.49123999999995"/>
    <n v="474.78255999999999"/>
    <n v="0"/>
    <n v="120.40608480867574"/>
    <n v="0"/>
    <n v="0"/>
    <n v="0"/>
    <n v="0"/>
    <n v="0"/>
    <n v="325.52679046311545"/>
    <n v="0"/>
    <n v="0"/>
    <n v="0"/>
    <n v="0"/>
    <n v="0"/>
    <n v="21.374131241802786"/>
    <m/>
    <n v="1.1217824485766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061809799080288"/>
    <n v="0"/>
    <n v="0"/>
    <n v="0"/>
    <n v="0"/>
    <n v="0"/>
    <m/>
    <m/>
    <m/>
    <m/>
    <m/>
    <m/>
    <m/>
    <m/>
    <m/>
    <n v="339.58860026219571"/>
    <m/>
    <m/>
    <m/>
    <m/>
    <m/>
    <m/>
    <m/>
    <m/>
    <m/>
    <m/>
    <m/>
    <m/>
    <n v="473.94"/>
    <n v="-8.5812399999999229"/>
    <m/>
    <m/>
    <m/>
    <m/>
    <n v="-20.872039999999995"/>
    <n v="13.163360000000008"/>
    <n v="31"/>
    <n v="-7.7145157981423154"/>
    <n v="0"/>
    <n v="0"/>
    <n v="0"/>
    <n v="0"/>
    <n v="0"/>
    <n v="0"/>
    <n v="0"/>
    <n v="0"/>
    <n v="0"/>
    <n v="0"/>
    <n v="13.162892065858387"/>
    <n v="0"/>
    <n v="0"/>
    <n v="0"/>
    <n v="0.56859862247457293"/>
    <n v="0"/>
    <n v="-18.498121068989946"/>
    <m/>
    <n v="0"/>
    <n v="0"/>
    <n v="0"/>
    <n v="0"/>
    <n v="-2.8125056478352732"/>
    <n v="-0.13537976965007581"/>
    <n v="0"/>
    <n v="0"/>
    <m/>
    <m/>
    <m/>
    <n v="0"/>
    <n v="0"/>
    <n v="0"/>
    <n v="-20.872039999999998"/>
    <n v="13.16336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1"/>
    <s v="Regular"/>
    <s v="Verde"/>
    <s v="A4"/>
    <s v="Industrial"/>
    <s v="Não se aplica"/>
    <s v="Não se aplica"/>
    <s v="Não se aplica"/>
    <s v="Não se aplica"/>
    <s v="CATIVO"/>
    <x v="6"/>
    <n v="21284"/>
    <n v="21284"/>
    <n v="0"/>
    <n v="0"/>
    <n v="0"/>
    <n v="0"/>
    <n v="34.950000000000003"/>
    <m/>
    <m/>
    <n v="743875.8"/>
    <m/>
    <n v="743875.8"/>
    <n v="733872.32"/>
    <n v="0"/>
    <n v="0"/>
    <n v="0"/>
    <n v="0"/>
    <n v="0"/>
    <n v="269663.58712142508"/>
    <n v="474309.853314355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8.02"/>
    <n v="867.83"/>
    <n v="893386.99"/>
    <n v="70"/>
    <m/>
    <m/>
    <m/>
    <m/>
    <m/>
    <m/>
    <m/>
    <m/>
    <m/>
    <n v="0"/>
    <m/>
    <m/>
    <m/>
    <m/>
    <m/>
    <m/>
    <m/>
    <m/>
    <m/>
    <m/>
    <m/>
    <m/>
    <n v="733872.32"/>
    <n v="-10003.510000000126"/>
    <m/>
    <m/>
    <m/>
    <m/>
    <n v="-10003.480000000127"/>
    <n v="0"/>
    <n v="31"/>
    <n v="11285.785603190307"/>
    <n v="0"/>
    <n v="0"/>
    <n v="0"/>
    <n v="0"/>
    <m/>
    <m/>
    <m/>
    <n v="11285.7856031903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4309.85331435583"/>
    <m/>
    <n v="0"/>
    <n v="0"/>
    <n v="-10003.480000000098"/>
    <m/>
    <n v="0"/>
    <m/>
    <n v="-21361.6021965846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12"/>
    <s v="Sistema de Compensação"/>
    <s v="Verde"/>
    <s v="A4"/>
    <s v="Industrial"/>
    <s v="Não se aplica"/>
    <s v="Não se aplica"/>
    <s v="Não se aplica"/>
    <s v="Não se aplica"/>
    <s v="CATIVO"/>
    <x v="6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383.66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1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13"/>
    <s v="Regular"/>
    <s v="Convencional"/>
    <s v="B3"/>
    <s v="Comercial"/>
    <s v="Não se aplica"/>
    <s v="Não se aplica"/>
    <s v="Não se aplica"/>
    <s v="Não se aplica"/>
    <s v="CATIVO"/>
    <x v="6"/>
    <n v="0"/>
    <n v="0"/>
    <n v="798.06200000000001"/>
    <n v="798.06200000000001"/>
    <n v="798.06200000000001"/>
    <n v="798.06200000000001"/>
    <m/>
    <n v="522.37"/>
    <n v="144.41999999999999"/>
    <m/>
    <n v="532139.76098000002"/>
    <n v="532139.76098000002"/>
    <n v="520128.92788000003"/>
    <n v="0"/>
    <n v="49001.785257667783"/>
    <n v="0"/>
    <n v="0"/>
    <n v="0"/>
    <n v="81373.31720812284"/>
    <n v="264882.538532131"/>
    <n v="115257.56941019291"/>
    <n v="0"/>
    <n v="0"/>
    <n v="0"/>
    <n v="0"/>
    <n v="0"/>
    <n v="7567.8269419235203"/>
    <m/>
    <n v="1161.064642808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95.344612544526"/>
    <n v="0"/>
    <n v="274.14999999999998"/>
    <n v="1267.3900000000001"/>
    <n v="191657.72"/>
    <n v="1213"/>
    <m/>
    <m/>
    <m/>
    <m/>
    <m/>
    <m/>
    <m/>
    <m/>
    <m/>
    <n v="128152.91402273744"/>
    <m/>
    <m/>
    <m/>
    <m/>
    <m/>
    <m/>
    <m/>
    <m/>
    <m/>
    <m/>
    <m/>
    <m/>
    <n v="520127.62439999997"/>
    <n v="-12012.166580000077"/>
    <m/>
    <m/>
    <m/>
    <m/>
    <n v="-16671.515179999988"/>
    <n v="4660.6820800000032"/>
    <n v="31"/>
    <n v="-76.596997546905186"/>
    <n v="0"/>
    <n v="0"/>
    <n v="0"/>
    <n v="0"/>
    <n v="0"/>
    <n v="0"/>
    <n v="0"/>
    <n v="3405.5833108009392"/>
    <n v="0"/>
    <n v="0"/>
    <n v="4660.5164010040316"/>
    <n v="0"/>
    <n v="0"/>
    <n v="0"/>
    <n v="521.43182760924356"/>
    <n v="0"/>
    <n v="-7528.1989089946437"/>
    <m/>
    <n v="0"/>
    <n v="0"/>
    <n v="0"/>
    <n v="0"/>
    <n v="-995.8091758308401"/>
    <n v="-140.12045213558679"/>
    <n v="0"/>
    <n v="0"/>
    <m/>
    <m/>
    <m/>
    <n v="264882.538532131"/>
    <n v="0"/>
    <n v="0"/>
    <n v="-16671.515179999988"/>
    <n v="4660.6820800000132"/>
    <n v="0"/>
    <n v="0"/>
    <n v="-11929.57594577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4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-7.681"/>
    <n v="-7.681"/>
    <n v="-7.681"/>
    <n v="-7.681"/>
    <m/>
    <n v="522.37"/>
    <n v="144.41999999999999"/>
    <m/>
    <n v="-5121.6139899999998"/>
    <n v="-5121.6139899999998"/>
    <n v="-5006.01494"/>
    <n v="0"/>
    <n v="-471.62089231682029"/>
    <n v="0"/>
    <n v="0"/>
    <n v="0"/>
    <n v="-783.18282223134486"/>
    <n v="-2549.3793445437805"/>
    <n v="-1109.3040273057629"/>
    <n v="0"/>
    <n v="0"/>
    <n v="0"/>
    <n v="0"/>
    <n v="0"/>
    <n v="-72.83704617049122"/>
    <m/>
    <n v="-11.174742715999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4.11208899678785"/>
    <n v="0"/>
    <n v="-0.2"/>
    <n v="-0.89"/>
    <n v="-1838.67"/>
    <n v="0"/>
    <m/>
    <m/>
    <m/>
    <m/>
    <m/>
    <m/>
    <m/>
    <m/>
    <m/>
    <n v="-1233.4161163025508"/>
    <m/>
    <m/>
    <m/>
    <m/>
    <m/>
    <m/>
    <m/>
    <m/>
    <m/>
    <m/>
    <m/>
    <m/>
    <n v="-5005.3631999999998"/>
    <n v="116.2207899999994"/>
    <m/>
    <m/>
    <m/>
    <m/>
    <n v="160.4560899999999"/>
    <n v="-44.857040000000026"/>
    <n v="31"/>
    <n v="0.73721282075484851"/>
    <n v="0"/>
    <n v="0"/>
    <n v="0"/>
    <n v="0"/>
    <n v="0"/>
    <n v="0"/>
    <n v="0"/>
    <n v="-32.777259674388688"/>
    <n v="0"/>
    <n v="0"/>
    <n v="-44.855445411649725"/>
    <n v="0"/>
    <n v="0"/>
    <n v="0"/>
    <n v="-5.0185547837970006"/>
    <n v="0"/>
    <n v="72.455643571536882"/>
    <m/>
    <n v="0"/>
    <n v="0"/>
    <n v="0"/>
    <n v="0"/>
    <n v="9.5842306481911024"/>
    <n v="1.3485984708624681"/>
    <n v="0"/>
    <n v="0"/>
    <m/>
    <m/>
    <m/>
    <n v="-2549.3793445437805"/>
    <n v="0"/>
    <n v="0"/>
    <n v="160.45608999999968"/>
    <n v="-44.857040000000097"/>
    <n v="0"/>
    <n v="0"/>
    <n v="114.81698519605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5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46.667000000000002"/>
    <n v="46.667000000000002"/>
    <n v="46.667000000000002"/>
    <n v="46.667000000000002"/>
    <m/>
    <n v="522.37"/>
    <n v="144.41999999999999"/>
    <m/>
    <n v="31117.088929999998"/>
    <n v="31117.088929999998"/>
    <n v="30414.75058"/>
    <n v="0"/>
    <n v="2865.3993206287009"/>
    <n v="0"/>
    <n v="0"/>
    <n v="0"/>
    <n v="4758.3378160487136"/>
    <n v="15489.114161154095"/>
    <n v="6739.7332433638894"/>
    <n v="0"/>
    <n v="0"/>
    <n v="0"/>
    <n v="0"/>
    <n v="0"/>
    <n v="442.53175805732502"/>
    <m/>
    <n v="67.893727161506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4.06052040269481"/>
    <n v="0"/>
    <n v="0.48"/>
    <n v="2.2599999999999998"/>
    <n v="18290.77"/>
    <n v="48"/>
    <m/>
    <m/>
    <m/>
    <m/>
    <m/>
    <m/>
    <m/>
    <m/>
    <m/>
    <n v="7493.7937637665846"/>
    <m/>
    <m/>
    <m/>
    <m/>
    <m/>
    <m/>
    <m/>
    <m/>
    <m/>
    <m/>
    <m/>
    <m/>
    <n v="30416.705800000003"/>
    <n v="-700.41312999998991"/>
    <m/>
    <m/>
    <m/>
    <m/>
    <n v="-974.87362999999937"/>
    <n v="272.53528000000017"/>
    <n v="31"/>
    <n v="-4.479040581454683"/>
    <n v="0"/>
    <n v="0"/>
    <n v="0"/>
    <n v="0"/>
    <n v="0"/>
    <n v="0"/>
    <n v="0"/>
    <n v="199.14286905672452"/>
    <n v="0"/>
    <n v="0"/>
    <n v="272.52559185333394"/>
    <n v="0"/>
    <n v="0"/>
    <n v="0"/>
    <n v="30.490938171521179"/>
    <n v="0"/>
    <n v="-440.21449271617121"/>
    <m/>
    <n v="0"/>
    <n v="0"/>
    <n v="0"/>
    <n v="0"/>
    <n v="-58.230346525079256"/>
    <n v="-8.1936004217860514"/>
    <n v="0"/>
    <n v="0"/>
    <m/>
    <m/>
    <m/>
    <n v="15489.114161154095"/>
    <n v="0"/>
    <n v="0"/>
    <n v="-974.87362999999823"/>
    <n v="272.53528000000006"/>
    <n v="0"/>
    <n v="0"/>
    <n v="-697.5868048618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6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-0.71399999999999997"/>
    <n v="-0.71399999999999997"/>
    <n v="-0.71399999999999997"/>
    <n v="-0.71399999999999997"/>
    <m/>
    <n v="522.37"/>
    <n v="144.41999999999999"/>
    <m/>
    <n v="-476.08805999999998"/>
    <n v="-476.08805999999998"/>
    <n v="-465.34235999999999"/>
    <n v="0"/>
    <n v="-43.840296460644403"/>
    <n v="0"/>
    <n v="0"/>
    <n v="0"/>
    <n v="-72.80204857091266"/>
    <n v="-236.98175393884378"/>
    <n v="-103.117182072167"/>
    <n v="0"/>
    <n v="0"/>
    <n v="0"/>
    <n v="0"/>
    <n v="0"/>
    <n v="-6.7706875362232424"/>
    <m/>
    <n v="-1.03876660580957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537043554707267"/>
    <n v="0"/>
    <n v="0"/>
    <n v="0"/>
    <n v="-172.27"/>
    <n v="2"/>
    <m/>
    <m/>
    <m/>
    <m/>
    <m/>
    <m/>
    <m/>
    <m/>
    <m/>
    <n v="-114.65422562687426"/>
    <m/>
    <m/>
    <m/>
    <m/>
    <m/>
    <m/>
    <m/>
    <m/>
    <m/>
    <m/>
    <m/>
    <m/>
    <n v="-462.73539999999997"/>
    <n v="13.322660000000042"/>
    <m/>
    <m/>
    <m/>
    <m/>
    <n v="14.915459999999989"/>
    <n v="-4.1697600000000019"/>
    <n v="31"/>
    <n v="6.8528831404620405E-2"/>
    <n v="0"/>
    <n v="0"/>
    <n v="0"/>
    <n v="0"/>
    <n v="0"/>
    <n v="0"/>
    <n v="0"/>
    <n v="-3.0468641332526545"/>
    <n v="0"/>
    <n v="0"/>
    <n v="-4.1696117724147683"/>
    <n v="0"/>
    <n v="0"/>
    <n v="0"/>
    <n v="-0.46650802182411866"/>
    <n v="0"/>
    <n v="6.7352336297457782"/>
    <m/>
    <n v="0"/>
    <n v="0"/>
    <n v="0"/>
    <n v="0"/>
    <n v="0.89091793813415521"/>
    <n v="0.12536119101624799"/>
    <n v="0"/>
    <n v="0"/>
    <m/>
    <m/>
    <m/>
    <n v="-236.98175393884378"/>
    <n v="0"/>
    <n v="0"/>
    <n v="14.915459999999996"/>
    <n v="-4.1697599999999966"/>
    <n v="0"/>
    <n v="0"/>
    <n v="10.67300187865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7"/>
    <s v="Regular"/>
    <s v="Verde"/>
    <s v="A4"/>
    <s v="Comercial"/>
    <s v="Não se aplica"/>
    <s v="Não se aplica"/>
    <s v="Não se aplica"/>
    <s v="Ponta"/>
    <s v="CATIVO"/>
    <x v="6"/>
    <n v="0"/>
    <n v="0"/>
    <n v="7.5679999999999996"/>
    <n v="7.5679999999999996"/>
    <n v="7.5679999999999996"/>
    <n v="7.5679999999999996"/>
    <m/>
    <n v="2740.31"/>
    <n v="144.41999999999999"/>
    <m/>
    <n v="21831.636639999997"/>
    <n v="21831.636639999997"/>
    <n v="21390.346559999998"/>
    <n v="0"/>
    <n v="404.27384642061133"/>
    <n v="0"/>
    <n v="0"/>
    <n v="0"/>
    <n v="5696.1521706559897"/>
    <n v="14515.481259454626"/>
    <n v="1092.984361235518"/>
    <n v="0"/>
    <n v="0"/>
    <n v="0"/>
    <n v="0"/>
    <n v="0"/>
    <n v="71.765494781705186"/>
    <m/>
    <n v="3.7664816197106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213742927879153"/>
    <n v="0"/>
    <n v="0"/>
    <n v="0"/>
    <n v="0"/>
    <n v="0"/>
    <m/>
    <m/>
    <m/>
    <m/>
    <m/>
    <m/>
    <m/>
    <m/>
    <m/>
    <n v="1140.1981041633971"/>
    <m/>
    <m/>
    <m/>
    <m/>
    <m/>
    <m/>
    <m/>
    <m/>
    <m/>
    <m/>
    <m/>
    <m/>
    <n v="21395.999400000001"/>
    <n v="-435.66723999999158"/>
    <m/>
    <m/>
    <m/>
    <m/>
    <n v="-485.48720000000066"/>
    <n v="44.197120000000027"/>
    <n v="31"/>
    <n v="212.48951316664443"/>
    <n v="0"/>
    <n v="0"/>
    <n v="0"/>
    <n v="0"/>
    <n v="0"/>
    <n v="0"/>
    <n v="0"/>
    <n v="238.39166736377956"/>
    <n v="0"/>
    <n v="0"/>
    <n v="44.19554887063714"/>
    <n v="0"/>
    <n v="0"/>
    <n v="0"/>
    <n v="1.9091190660548207"/>
    <n v="0"/>
    <n v="-62.109041814603302"/>
    <m/>
    <n v="0"/>
    <n v="0"/>
    <n v="0"/>
    <n v="0"/>
    <n v="-9.4432310305312157"/>
    <n v="-0.4545492886920024"/>
    <n v="0"/>
    <n v="0"/>
    <m/>
    <m/>
    <m/>
    <n v="14515.481259454626"/>
    <n v="0"/>
    <n v="0"/>
    <n v="-485.48719999999958"/>
    <n v="44.197120000000041"/>
    <n v="0"/>
    <n v="0"/>
    <n v="-653.7370754365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8"/>
    <s v="Regular"/>
    <s v="Verde"/>
    <s v="A4"/>
    <s v="Comercial"/>
    <s v="Não se aplica"/>
    <s v="Não se aplica"/>
    <s v="Não se aplica"/>
    <s v="Fora ponta"/>
    <s v="CATIVO"/>
    <x v="6"/>
    <n v="0"/>
    <n v="0"/>
    <n v="433.97800000000001"/>
    <n v="433.97800000000001"/>
    <n v="433.97800000000001"/>
    <n v="433.97800000000001"/>
    <m/>
    <n v="69.64"/>
    <n v="144.41999999999999"/>
    <m/>
    <n v="92897.330679999999"/>
    <n v="92897.330679999999"/>
    <n v="91413.125920000006"/>
    <n v="0"/>
    <n v="23182.605090106248"/>
    <n v="0"/>
    <n v="0"/>
    <n v="0"/>
    <n v="0"/>
    <n v="0"/>
    <n v="62675.89417551105"/>
    <n v="0"/>
    <n v="0"/>
    <n v="0"/>
    <n v="0"/>
    <n v="0"/>
    <n v="4115.3073327662332"/>
    <m/>
    <n v="215.98442922288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07.4161903217682"/>
    <n v="0"/>
    <n v="0"/>
    <n v="0"/>
    <n v="0"/>
    <n v="0"/>
    <m/>
    <m/>
    <m/>
    <m/>
    <m/>
    <m/>
    <m/>
    <m/>
    <m/>
    <n v="65383.310365832818"/>
    <m/>
    <m/>
    <m/>
    <m/>
    <m/>
    <m/>
    <m/>
    <m/>
    <m/>
    <m/>
    <m/>
    <m/>
    <n v="91413.547200000001"/>
    <n v="-1483.8134799999825"/>
    <m/>
    <m/>
    <m/>
    <m/>
    <n v="-4018.6362799999993"/>
    <n v="2534.4315200000015"/>
    <n v="31"/>
    <n v="-1485.3283660364687"/>
    <n v="0"/>
    <n v="0"/>
    <n v="0"/>
    <n v="0"/>
    <n v="0"/>
    <n v="0"/>
    <n v="0"/>
    <n v="0"/>
    <n v="0"/>
    <n v="0"/>
    <n v="2534.341425446808"/>
    <n v="0"/>
    <n v="0"/>
    <n v="0"/>
    <n v="109.47617257509773"/>
    <n v="0"/>
    <n v="-3561.5694699548003"/>
    <m/>
    <n v="0"/>
    <n v="0"/>
    <n v="0"/>
    <n v="0"/>
    <n v="-541.51090329913768"/>
    <n v="-26.065590804436795"/>
    <n v="0"/>
    <n v="0"/>
    <m/>
    <m/>
    <m/>
    <n v="0"/>
    <n v="0"/>
    <n v="0"/>
    <n v="-4018.6362799999988"/>
    <n v="2534.431520000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19"/>
    <s v="Regular"/>
    <s v="Verde"/>
    <s v="A4"/>
    <s v="Comercial"/>
    <s v="Não se aplica"/>
    <s v="Não se aplica"/>
    <s v="Não se aplica"/>
    <s v="Não se aplica"/>
    <s v="CATIVO"/>
    <x v="6"/>
    <n v="1865"/>
    <n v="1865"/>
    <n v="0"/>
    <n v="0"/>
    <n v="0"/>
    <n v="0"/>
    <n v="34.950000000000003"/>
    <m/>
    <m/>
    <n v="65181.750000000007"/>
    <m/>
    <n v="65181.750000000007"/>
    <n v="64305.2"/>
    <n v="0"/>
    <n v="0"/>
    <n v="0"/>
    <n v="0"/>
    <n v="0"/>
    <n v="23629.138788830005"/>
    <n v="41561.1669061865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905.100000000006"/>
    <n v="14"/>
    <m/>
    <m/>
    <m/>
    <m/>
    <m/>
    <m/>
    <m/>
    <m/>
    <m/>
    <n v="0"/>
    <m/>
    <m/>
    <m/>
    <m/>
    <m/>
    <m/>
    <m/>
    <m/>
    <m/>
    <m/>
    <m/>
    <m/>
    <n v="64305.2"/>
    <n v="-876.5800000000163"/>
    <m/>
    <m/>
    <m/>
    <m/>
    <n v="-876.5500000000111"/>
    <n v="0"/>
    <n v="31"/>
    <n v="988.91139588187798"/>
    <n v="0"/>
    <n v="0"/>
    <n v="0"/>
    <n v="0"/>
    <m/>
    <m/>
    <m/>
    <n v="988.91139588187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561.166906186503"/>
    <m/>
    <n v="0"/>
    <n v="0"/>
    <n v="-876.55000000001019"/>
    <m/>
    <n v="0"/>
    <m/>
    <n v="-1871.799854192366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20"/>
    <s v="Regular"/>
    <s v="Branca"/>
    <s v="B3"/>
    <s v="Comercial"/>
    <s v="Não se aplica"/>
    <s v="Não se aplica"/>
    <s v="Não se aplica"/>
    <s v="Ponta"/>
    <s v="CATIVO"/>
    <x v="6"/>
    <n v="0"/>
    <n v="0"/>
    <n v="8.2000000000000003E-2"/>
    <n v="8.2000000000000003E-2"/>
    <n v="8.2000000000000003E-2"/>
    <n v="8.2000000000000003E-2"/>
    <m/>
    <n v="1585.55"/>
    <n v="144.41999999999999"/>
    <m/>
    <n v="141.85754"/>
    <n v="141.85754"/>
    <n v="138.47914"/>
    <n v="0"/>
    <n v="5.0348799856762483"/>
    <n v="0"/>
    <n v="0"/>
    <n v="0"/>
    <n v="28.862049608601772"/>
    <n v="93.896487447974408"/>
    <n v="11.842589537699851"/>
    <n v="0"/>
    <n v="0"/>
    <n v="0"/>
    <n v="0"/>
    <n v="0"/>
    <n v="0.77758596354384579"/>
    <m/>
    <n v="0.11929812559717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249825931176415"/>
    <n v="0"/>
    <n v="0"/>
    <n v="0"/>
    <n v="0"/>
    <n v="0"/>
    <m/>
    <m/>
    <m/>
    <m/>
    <m/>
    <m/>
    <m/>
    <m/>
    <m/>
    <n v="13.167572130817494"/>
    <m/>
    <m/>
    <m/>
    <m/>
    <m/>
    <m/>
    <m/>
    <m/>
    <m/>
    <m/>
    <m/>
    <m/>
    <n v="135.10159999999999"/>
    <n v="-6.7859399999999823"/>
    <m/>
    <m/>
    <m/>
    <m/>
    <n v="-3.8572799999999972"/>
    <n v="0.47888000000000031"/>
    <n v="31"/>
    <n v="0.85012555815185209"/>
    <n v="0"/>
    <n v="0"/>
    <n v="0"/>
    <n v="0"/>
    <n v="0"/>
    <n v="0"/>
    <n v="0"/>
    <n v="1.2079157865858789"/>
    <n v="0"/>
    <n v="0"/>
    <n v="0.47886297666388167"/>
    <n v="0"/>
    <n v="0"/>
    <n v="0"/>
    <n v="5.3576551526019145E-2"/>
    <n v="0"/>
    <n v="-0.7735142263853696"/>
    <m/>
    <n v="0"/>
    <n v="0"/>
    <n v="0"/>
    <n v="0"/>
    <n v="-0.10231830662044916"/>
    <n v="-1.439722361811252E-2"/>
    <n v="0"/>
    <n v="0"/>
    <m/>
    <m/>
    <m/>
    <n v="93.896487447974408"/>
    <n v="0"/>
    <n v="0"/>
    <n v="-3.8572799999999887"/>
    <n v="0.47888000000000019"/>
    <n v="0"/>
    <n v="0"/>
    <n v="-4.2288377492152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1"/>
    <s v="Regular"/>
    <s v="Branca"/>
    <s v="B3"/>
    <s v="Comercial"/>
    <s v="Não se aplica"/>
    <s v="Não se aplica"/>
    <s v="Não se aplica"/>
    <s v="Fora ponta"/>
    <s v="CATIVO"/>
    <x v="6"/>
    <n v="0"/>
    <n v="0"/>
    <n v="6.3239999999999998"/>
    <n v="6.3239999999999998"/>
    <n v="6.3239999999999998"/>
    <n v="6.3239999999999998"/>
    <m/>
    <n v="387.88"/>
    <n v="144.41999999999999"/>
    <m/>
    <n v="3366.2651999999998"/>
    <n v="3366.2651999999998"/>
    <n v="3292.0846799999999"/>
    <n v="0"/>
    <n v="388.29976865142186"/>
    <n v="0"/>
    <n v="0"/>
    <n v="0"/>
    <n v="444.98822607733484"/>
    <n v="1448.2963205702345"/>
    <n v="913.32361263919336"/>
    <n v="0"/>
    <n v="0"/>
    <n v="0"/>
    <n v="0"/>
    <n v="0"/>
    <n v="59.968946749405866"/>
    <m/>
    <n v="9.2005042228848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18524291312151"/>
    <n v="0"/>
    <n v="0"/>
    <n v="0"/>
    <n v="0"/>
    <n v="0"/>
    <m/>
    <m/>
    <m/>
    <m/>
    <m/>
    <m/>
    <m/>
    <m/>
    <m/>
    <n v="1015.5088555523149"/>
    <m/>
    <m/>
    <m/>
    <m/>
    <m/>
    <m/>
    <m/>
    <m/>
    <m/>
    <m/>
    <m/>
    <m/>
    <n v="3290.0024000000003"/>
    <n v="-76.29280000000017"/>
    <m/>
    <m/>
    <m/>
    <m/>
    <n v="-111.11267999999995"/>
    <n v="36.932160000000017"/>
    <n v="31"/>
    <n v="-8.9701218286732001"/>
    <n v="0"/>
    <n v="0"/>
    <n v="0"/>
    <n v="0"/>
    <n v="0"/>
    <n v="0"/>
    <n v="0"/>
    <n v="18.623358715434563"/>
    <n v="0"/>
    <n v="0"/>
    <n v="36.930847127102311"/>
    <n v="0"/>
    <n v="0"/>
    <n v="0"/>
    <n v="4.1319281932993306"/>
    <n v="0"/>
    <n v="-59.654926434891138"/>
    <m/>
    <n v="0"/>
    <n v="0"/>
    <n v="0"/>
    <n v="0"/>
    <n v="-7.8909874520453798"/>
    <n v="-1.1103419775724834"/>
    <n v="0"/>
    <n v="0"/>
    <m/>
    <m/>
    <m/>
    <n v="1448.2963205702345"/>
    <n v="0"/>
    <n v="0"/>
    <n v="-111.11268000000018"/>
    <n v="36.932159999999953"/>
    <n v="0"/>
    <n v="0"/>
    <n v="-65.22725523540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2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78.75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23"/>
    <s v="Regular"/>
    <s v="Branca"/>
    <s v="B3"/>
    <s v="Comercial"/>
    <s v="Não se aplica"/>
    <s v="Não se aplica"/>
    <s v="Não se aplica"/>
    <s v="Intermediário"/>
    <s v="CATIVO"/>
    <x v="6"/>
    <n v="0"/>
    <n v="0"/>
    <n v="0.161"/>
    <n v="0.161"/>
    <n v="0.161"/>
    <n v="0.161"/>
    <m/>
    <n v="986.74"/>
    <n v="144.41999999999999"/>
    <m/>
    <n v="182.11676"/>
    <n v="182.11676"/>
    <n v="177.85508999999999"/>
    <n v="0"/>
    <n v="9.8855570450472676"/>
    <n v="0"/>
    <n v="0"/>
    <n v="0"/>
    <n v="34.002525669865108"/>
    <n v="110.61466205493741"/>
    <n v="23.251913604508246"/>
    <n v="0"/>
    <n v="0"/>
    <n v="0"/>
    <n v="0"/>
    <n v="0"/>
    <n v="1.5267236601287704"/>
    <m/>
    <n v="0.2342316856237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014902133163447"/>
    <n v="0"/>
    <n v="0"/>
    <n v="0"/>
    <n v="0"/>
    <n v="0"/>
    <m/>
    <m/>
    <m/>
    <m/>
    <m/>
    <m/>
    <m/>
    <m/>
    <m/>
    <n v="25.853403817824592"/>
    <m/>
    <m/>
    <m/>
    <m/>
    <m/>
    <m/>
    <m/>
    <m/>
    <m/>
    <m/>
    <m/>
    <m/>
    <n v="176.75039999999998"/>
    <n v="-5.3963599999999872"/>
    <m/>
    <m/>
    <m/>
    <m/>
    <n v="-5.2019100000000096"/>
    <n v="0.94024000000000052"/>
    <n v="31"/>
    <n v="0.72056108724778767"/>
    <n v="0"/>
    <n v="0"/>
    <n v="0"/>
    <n v="0"/>
    <n v="0"/>
    <n v="0"/>
    <n v="0"/>
    <n v="1.4230516577097134"/>
    <n v="0"/>
    <n v="0"/>
    <n v="0.94020657613274139"/>
    <n v="0"/>
    <n v="0"/>
    <n v="0"/>
    <n v="0.10519298531328181"/>
    <n v="0"/>
    <n v="-1.5187291518054202"/>
    <m/>
    <n v="0"/>
    <n v="0"/>
    <n v="0"/>
    <n v="0"/>
    <n v="-0.20089326055966228"/>
    <n v="-2.826771954287946E-2"/>
    <n v="0"/>
    <n v="0"/>
    <m/>
    <m/>
    <m/>
    <n v="110.61466205493741"/>
    <n v="0"/>
    <n v="0"/>
    <n v="-5.201909999999998"/>
    <n v="0.9402399999999993"/>
    <n v="0"/>
    <n v="0"/>
    <n v="-4.9817780326848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4"/>
    <s v="Regular"/>
    <s v="Convencional"/>
    <s v="B2"/>
    <s v="Rural"/>
    <s v="Não se aplica"/>
    <s v="Não se aplica"/>
    <s v="Não se aplica"/>
    <s v="Não se aplica"/>
    <s v="CATIVO"/>
    <x v="6"/>
    <n v="0"/>
    <n v="0"/>
    <n v="247.32499999999999"/>
    <n v="247.32499999999999"/>
    <n v="247.32499999999999"/>
    <n v="247.32499999999999"/>
    <m/>
    <n v="522.37"/>
    <n v="144.41999999999999"/>
    <m/>
    <n v="164913.83674999999"/>
    <n v="164913.83674999999"/>
    <n v="161191.5955"/>
    <n v="0"/>
    <n v="15185.99624948022"/>
    <n v="0"/>
    <n v="0"/>
    <n v="0"/>
    <n v="25218.160592158227"/>
    <n v="82088.952791210831"/>
    <n v="35719.127529409947"/>
    <n v="0"/>
    <n v="0"/>
    <n v="0"/>
    <n v="0"/>
    <n v="0"/>
    <n v="2345.3225418717275"/>
    <m/>
    <n v="359.8220599185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6.3575590587884"/>
    <n v="0"/>
    <n v="5.08"/>
    <n v="23.56"/>
    <n v="31543.8"/>
    <n v="753"/>
    <m/>
    <m/>
    <m/>
    <m/>
    <m/>
    <n v="19340.815000000002"/>
    <m/>
    <m/>
    <m/>
    <n v="39715.485088468733"/>
    <m/>
    <m/>
    <m/>
    <m/>
    <m/>
    <m/>
    <m/>
    <m/>
    <m/>
    <m/>
    <m/>
    <m/>
    <n v="141853.6482"/>
    <n v="-3269.2720499999996"/>
    <m/>
    <m/>
    <m/>
    <m/>
    <n v="-5166.6192499999961"/>
    <n v="1444.3780000000008"/>
    <n v="31"/>
    <n v="-23.737945696295355"/>
    <n v="0"/>
    <n v="0"/>
    <n v="0"/>
    <n v="0"/>
    <n v="0"/>
    <n v="0"/>
    <n v="0"/>
    <n v="1055.4141061018381"/>
    <n v="0"/>
    <n v="0"/>
    <n v="1444.326654919445"/>
    <n v="0"/>
    <n v="0"/>
    <n v="0"/>
    <n v="161.59537324600888"/>
    <n v="0"/>
    <n v="-2333.0415370824576"/>
    <m/>
    <n v="0"/>
    <n v="0"/>
    <n v="0"/>
    <n v="0"/>
    <n v="-308.60823396222668"/>
    <n v="-43.424308918898532"/>
    <n v="0"/>
    <n v="0"/>
    <m/>
    <m/>
    <m/>
    <n v="82088.952791210831"/>
    <n v="0"/>
    <n v="0"/>
    <n v="-5166.6192500000034"/>
    <n v="1444.3780000000042"/>
    <n v="0"/>
    <n v="0"/>
    <n v="-3697.0590891307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5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0.27300000000000002"/>
    <n v="-0.27300000000000002"/>
    <n v="-0.27300000000000002"/>
    <n v="-0.27300000000000002"/>
    <m/>
    <n v="522.37"/>
    <n v="144.41999999999999"/>
    <m/>
    <n v="-182.03367"/>
    <n v="-182.03367"/>
    <n v="-177.92502000000002"/>
    <n v="0"/>
    <n v="-16.762466293775802"/>
    <n v="0"/>
    <n v="0"/>
    <n v="0"/>
    <n v="-27.836077394760729"/>
    <n v="-90.610670623675574"/>
    <n v="-39.427157851122679"/>
    <n v="0"/>
    <n v="0"/>
    <n v="0"/>
    <n v="0"/>
    <n v="0"/>
    <n v="-2.5887922932618284"/>
    <m/>
    <n v="-0.3971754669271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4112225356233674"/>
    <n v="0"/>
    <n v="0"/>
    <n v="0"/>
    <n v="-50.79"/>
    <n v="0"/>
    <m/>
    <m/>
    <m/>
    <m/>
    <m/>
    <n v="-21.348600000000005"/>
    <m/>
    <m/>
    <m/>
    <n v="-43.838380386746046"/>
    <m/>
    <m/>
    <m/>
    <m/>
    <m/>
    <m/>
    <m/>
    <m/>
    <m/>
    <m/>
    <m/>
    <m/>
    <n v="-154.85580000000002"/>
    <n v="5.3024099999999805"/>
    <m/>
    <m/>
    <m/>
    <m/>
    <n v="5.702969999999997"/>
    <n v="-1.5943200000000011"/>
    <n v="31"/>
    <n v="2.6202200242963158E-2"/>
    <n v="0"/>
    <n v="0"/>
    <n v="0"/>
    <n v="0"/>
    <n v="0"/>
    <n v="0"/>
    <n v="0"/>
    <n v="-1.1649774627142477"/>
    <n v="0"/>
    <n v="0"/>
    <n v="-1.5942633247468265"/>
    <n v="0"/>
    <n v="0"/>
    <n v="0"/>
    <n v="-0.1783707142268689"/>
    <n v="0"/>
    <n v="2.5752363878439724"/>
    <m/>
    <n v="0"/>
    <n v="0"/>
    <n v="0"/>
    <n v="0"/>
    <n v="0.340645093992471"/>
    <n v="4.7932220094447808E-2"/>
    <n v="0"/>
    <n v="0"/>
    <m/>
    <m/>
    <m/>
    <n v="-90.610670623675574"/>
    <n v="0"/>
    <n v="0"/>
    <n v="5.7029699999999934"/>
    <n v="-1.5943200000000033"/>
    <n v="0"/>
    <n v="0"/>
    <n v="4.0808536594873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4.9139999999999997"/>
    <n v="4.9139999999999997"/>
    <n v="4.9139999999999997"/>
    <n v="4.9139999999999997"/>
    <m/>
    <n v="522.37"/>
    <n v="144.41999999999999"/>
    <m/>
    <n v="3276.6060600000001"/>
    <n v="3276.6060600000001"/>
    <n v="3202.6503599999996"/>
    <n v="0"/>
    <n v="301.7243932879644"/>
    <n v="0"/>
    <n v="0"/>
    <n v="0"/>
    <n v="501.04939310569307"/>
    <n v="1630.9920712261601"/>
    <n v="709.6888413202081"/>
    <n v="0"/>
    <n v="0"/>
    <n v="0"/>
    <n v="0"/>
    <n v="0"/>
    <n v="46.598261278712904"/>
    <m/>
    <n v="7.149158404689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402005641220597"/>
    <n v="0"/>
    <n v="0"/>
    <n v="0"/>
    <n v="1275.72"/>
    <n v="12"/>
    <m/>
    <m/>
    <m/>
    <m/>
    <m/>
    <n v="384.27480000000008"/>
    <m/>
    <m/>
    <m/>
    <n v="789.09084696142872"/>
    <m/>
    <m/>
    <m/>
    <m/>
    <m/>
    <m/>
    <m/>
    <m/>
    <m/>
    <m/>
    <m/>
    <m/>
    <n v="2816.0814"/>
    <n v="-67.336380000000645"/>
    <m/>
    <m/>
    <m/>
    <m/>
    <n v="-102.65345999999992"/>
    <n v="28.697760000000017"/>
    <n v="31"/>
    <n v="-0.47163960437319474"/>
    <n v="0"/>
    <n v="0"/>
    <n v="0"/>
    <n v="0"/>
    <n v="0"/>
    <n v="0"/>
    <n v="0"/>
    <n v="20.969594328856374"/>
    <n v="0"/>
    <n v="0"/>
    <n v="28.696739845442835"/>
    <n v="0"/>
    <n v="0"/>
    <n v="0"/>
    <n v="3.2106728560836473"/>
    <n v="0"/>
    <n v="-46.354254981191502"/>
    <m/>
    <n v="0"/>
    <n v="0"/>
    <n v="0"/>
    <n v="0"/>
    <n v="-6.1316116918644781"/>
    <n v="-0.86277996170005977"/>
    <n v="0"/>
    <n v="0"/>
    <m/>
    <m/>
    <m/>
    <n v="1630.9920712261601"/>
    <n v="0"/>
    <n v="0"/>
    <n v="-102.65346"/>
    <n v="28.697760000000017"/>
    <n v="0"/>
    <n v="0"/>
    <n v="-73.455365870772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7"/>
    <s v="Regular"/>
    <s v="Verde"/>
    <s v="A4"/>
    <s v="Rural"/>
    <s v="Não se aplica"/>
    <s v="Não se aplica"/>
    <s v="Não se aplica"/>
    <s v="Fora ponta"/>
    <s v="CATIVO"/>
    <x v="6"/>
    <n v="0"/>
    <n v="0"/>
    <n v="39.790999999999997"/>
    <n v="38.199359999999999"/>
    <n v="39.790999999999997"/>
    <n v="38.199359999999999"/>
    <m/>
    <n v="69.64"/>
    <n v="144.41999999999999"/>
    <m/>
    <n v="8517.6614599999994"/>
    <n v="8517.6614599999994"/>
    <n v="8381.5762399999985"/>
    <n v="0"/>
    <n v="2125.5894057772921"/>
    <n v="0"/>
    <n v="0"/>
    <n v="0"/>
    <n v="0"/>
    <n v="0"/>
    <n v="5746.6887840806676"/>
    <n v="0"/>
    <n v="0"/>
    <n v="0"/>
    <n v="0"/>
    <n v="0"/>
    <n v="377.32833018747766"/>
    <m/>
    <n v="19.803391930484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24022791269019"/>
    <n v="0"/>
    <n v="0"/>
    <n v="0"/>
    <n v="0"/>
    <n v="0"/>
    <m/>
    <m/>
    <m/>
    <m/>
    <m/>
    <n v="335.26304959999959"/>
    <m/>
    <m/>
    <m/>
    <n v="5994.9290119933576"/>
    <m/>
    <m/>
    <m/>
    <m/>
    <m/>
    <m/>
    <m/>
    <m/>
    <m/>
    <m/>
    <m/>
    <m/>
    <n v="8046.4480000000003"/>
    <n v="-130.53700159999971"/>
    <m/>
    <m/>
    <m/>
    <m/>
    <n v="-368.46465999999987"/>
    <n v="232.37944000000013"/>
    <n v="31"/>
    <n v="-136.18824229098573"/>
    <n v="0"/>
    <n v="0"/>
    <n v="0"/>
    <n v="0"/>
    <n v="0"/>
    <n v="0"/>
    <n v="0"/>
    <n v="0"/>
    <n v="0"/>
    <n v="0"/>
    <n v="232.37117932234742"/>
    <n v="0"/>
    <n v="0"/>
    <n v="0"/>
    <n v="10.037758556737259"/>
    <n v="0"/>
    <n v="-326.55667056618427"/>
    <m/>
    <n v="0"/>
    <n v="0"/>
    <n v="0"/>
    <n v="0"/>
    <n v="-49.650582179686523"/>
    <n v="-2.3899274241997155"/>
    <n v="0"/>
    <n v="0"/>
    <m/>
    <m/>
    <m/>
    <n v="0"/>
    <n v="0"/>
    <n v="0"/>
    <n v="-368.46466000000009"/>
    <n v="232.37944000000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28"/>
    <s v="Regular"/>
    <s v="Verde"/>
    <s v="A4"/>
    <s v="Rural"/>
    <s v="Não se aplica"/>
    <s v="Não se aplica"/>
    <s v="Não se aplica"/>
    <s v="Não se aplica"/>
    <s v="CATIVO"/>
    <x v="6"/>
    <n v="151"/>
    <n v="144.96"/>
    <n v="0"/>
    <n v="0"/>
    <n v="0"/>
    <n v="0"/>
    <n v="34.950000000000003"/>
    <m/>
    <m/>
    <n v="5277.4500000000007"/>
    <m/>
    <n v="5277.4500000000007"/>
    <n v="5206.4799999999996"/>
    <n v="0"/>
    <n v="0"/>
    <n v="0"/>
    <n v="0"/>
    <n v="0"/>
    <n v="1913.1367062269869"/>
    <n v="3365.0060068815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066.59"/>
    <n v="1"/>
    <m/>
    <m/>
    <m/>
    <m/>
    <m/>
    <n v="208.25919999999971"/>
    <m/>
    <m/>
    <m/>
    <n v="0"/>
    <m/>
    <m/>
    <m/>
    <m/>
    <m/>
    <m/>
    <m/>
    <m/>
    <m/>
    <m/>
    <m/>
    <m/>
    <n v="4998.2208000000001"/>
    <n v="-68.161200000001372"/>
    <m/>
    <m/>
    <m/>
    <m/>
    <n v="-70.970000000000908"/>
    <n v="0"/>
    <n v="31"/>
    <n v="80.067356985610559"/>
    <n v="0"/>
    <n v="0"/>
    <n v="0"/>
    <n v="0"/>
    <m/>
    <m/>
    <m/>
    <n v="80.0673569856105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65.0060068815883"/>
    <m/>
    <n v="0"/>
    <n v="0"/>
    <n v="-70.970000000001164"/>
    <m/>
    <n v="0"/>
    <m/>
    <n v="-151.5505511973442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29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15.595"/>
    <n v="115.595"/>
    <n v="115.595"/>
    <n v="115.595"/>
    <m/>
    <n v="522.37"/>
    <n v="144.41999999999999"/>
    <m/>
    <n v="77077.590049999999"/>
    <n v="77077.590049999999"/>
    <n v="75337.885299999994"/>
    <n v="0"/>
    <n v="7097.6457554176332"/>
    <n v="0"/>
    <n v="0"/>
    <n v="0"/>
    <n v="11786.488521785224"/>
    <n v="38366.814911149369"/>
    <n v="16694.440702566029"/>
    <n v="0"/>
    <n v="0"/>
    <n v="0"/>
    <n v="0"/>
    <n v="0"/>
    <n v="1096.1591397054983"/>
    <m/>
    <n v="168.17398571226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7.8214981882165"/>
    <n v="0"/>
    <n v="563.75"/>
    <n v="2605.29"/>
    <n v="23121.439999999999"/>
    <n v="125"/>
    <m/>
    <m/>
    <m/>
    <m/>
    <m/>
    <m/>
    <m/>
    <m/>
    <m/>
    <n v="18562.262200754245"/>
    <m/>
    <m/>
    <m/>
    <m/>
    <m/>
    <m/>
    <m/>
    <m/>
    <m/>
    <m/>
    <m/>
    <m/>
    <n v="75341.144"/>
    <n v="-1736.4760499999975"/>
    <m/>
    <m/>
    <m/>
    <m/>
    <n v="-2414.7795499999984"/>
    <n v="675.07480000000044"/>
    <n v="31"/>
    <n v="-11.094664238407859"/>
    <n v="0"/>
    <n v="0"/>
    <n v="0"/>
    <n v="0"/>
    <n v="0"/>
    <n v="0"/>
    <n v="0"/>
    <n v="493.28047546686139"/>
    <n v="0"/>
    <n v="0"/>
    <n v="675.05080228611405"/>
    <n v="0"/>
    <n v="0"/>
    <n v="0"/>
    <n v="75.526603337197457"/>
    <n v="0"/>
    <n v="-1090.4192316953267"/>
    <m/>
    <n v="0"/>
    <n v="0"/>
    <n v="0"/>
    <n v="0"/>
    <n v="-144.23761772915645"/>
    <n v="-20.295695904094117"/>
    <n v="0"/>
    <n v="0"/>
    <m/>
    <m/>
    <m/>
    <n v="38366.814911149369"/>
    <n v="0"/>
    <n v="0"/>
    <n v="-2414.7795499999993"/>
    <n v="675.07480000000214"/>
    <n v="0"/>
    <n v="0"/>
    <n v="-1727.9350870638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0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3.359"/>
    <n v="3.359"/>
    <n v="3.359"/>
    <n v="3.359"/>
    <m/>
    <n v="522.37"/>
    <n v="144.41999999999999"/>
    <m/>
    <n v="2239.7476099999999"/>
    <n v="2239.7476099999999"/>
    <n v="2189.1946600000001"/>
    <n v="0"/>
    <n v="206.24587648642094"/>
    <n v="0"/>
    <n v="0"/>
    <n v="0"/>
    <n v="342.49591197436365"/>
    <n v="1114.8763466114515"/>
    <n v="485.11290557480243"/>
    <n v="0"/>
    <n v="0"/>
    <n v="0"/>
    <n v="0"/>
    <n v="0"/>
    <n v="31.852576238338756"/>
    <m/>
    <n v="4.8868585839136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275811344904362"/>
    <n v="0"/>
    <n v="14.31"/>
    <n v="66.05"/>
    <n v="882.2"/>
    <n v="2"/>
    <m/>
    <m/>
    <m/>
    <m/>
    <m/>
    <m/>
    <m/>
    <m/>
    <m/>
    <n v="539.38871691970678"/>
    <m/>
    <m/>
    <m/>
    <m/>
    <m/>
    <m/>
    <m/>
    <m/>
    <m/>
    <m/>
    <m/>
    <m/>
    <n v="2189.8463999999999"/>
    <n v="-49.931210000000192"/>
    <m/>
    <m/>
    <m/>
    <m/>
    <n v="-70.16950999999996"/>
    <n v="19.61656000000001"/>
    <n v="31"/>
    <n v="-0.32239263961923825"/>
    <n v="0"/>
    <n v="0"/>
    <n v="0"/>
    <n v="0"/>
    <n v="0"/>
    <n v="0"/>
    <n v="0"/>
    <n v="14.333916839769813"/>
    <n v="0"/>
    <n v="0"/>
    <n v="19.615862666024157"/>
    <n v="0"/>
    <n v="0"/>
    <n v="0"/>
    <n v="2.1946784948280254"/>
    <n v="0"/>
    <n v="-31.685783980834827"/>
    <m/>
    <n v="0"/>
    <n v="0"/>
    <n v="0"/>
    <n v="0"/>
    <n v="-4.1913072187571778"/>
    <n v="-0.58975944064926811"/>
    <n v="0"/>
    <n v="0"/>
    <m/>
    <m/>
    <m/>
    <n v="1114.8763466114515"/>
    <n v="0"/>
    <n v="0"/>
    <n v="-70.169509999999946"/>
    <n v="19.616559999999993"/>
    <n v="0"/>
    <n v="0"/>
    <n v="-50.210943011787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1"/>
    <s v="Regular"/>
    <s v="Verde"/>
    <s v="A4"/>
    <s v="Poder público"/>
    <s v="Não se aplica"/>
    <s v="Não se aplica"/>
    <s v="Não se aplica"/>
    <s v="Ponta"/>
    <s v="CATIVO"/>
    <x v="6"/>
    <n v="0"/>
    <n v="0"/>
    <n v="8.4000000000000005E-2"/>
    <n v="8.4000000000000005E-2"/>
    <n v="8.4000000000000005E-2"/>
    <n v="8.4000000000000005E-2"/>
    <m/>
    <n v="2740.31"/>
    <n v="144.41999999999999"/>
    <m/>
    <n v="242.31732000000002"/>
    <n v="242.31732000000002"/>
    <n v="237.41927999999999"/>
    <n v="0"/>
    <n v="4.4871832847953694"/>
    <n v="0"/>
    <n v="0"/>
    <n v="0"/>
    <n v="63.223676312777904"/>
    <n v="161.11263554362958"/>
    <n v="12.131433184960823"/>
    <n v="0"/>
    <n v="0"/>
    <n v="0"/>
    <n v="0"/>
    <n v="0"/>
    <n v="0.79655147484979327"/>
    <m/>
    <n v="4.180555708981192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2404260120796109"/>
    <n v="0"/>
    <n v="0"/>
    <n v="0"/>
    <n v="0"/>
    <n v="0"/>
    <m/>
    <m/>
    <m/>
    <m/>
    <m/>
    <m/>
    <m/>
    <m/>
    <m/>
    <n v="12.655475786168784"/>
    <m/>
    <m/>
    <m/>
    <m/>
    <m/>
    <m/>
    <m/>
    <m/>
    <m/>
    <m/>
    <m/>
    <m/>
    <n v="226.11359999999999"/>
    <n v="-16.233720000000005"/>
    <m/>
    <m/>
    <m/>
    <m/>
    <n v="-5.3886000000000083"/>
    <n v="0.49056000000000033"/>
    <n v="31"/>
    <n v="2.3584988247883416"/>
    <n v="0"/>
    <n v="0"/>
    <n v="0"/>
    <n v="0"/>
    <n v="0"/>
    <n v="0"/>
    <n v="0"/>
    <n v="2.645996307948927"/>
    <n v="0"/>
    <n v="0"/>
    <n v="0.49054256146056296"/>
    <n v="0"/>
    <n v="0"/>
    <n v="0"/>
    <n v="2.1190010775449908E-2"/>
    <n v="0"/>
    <n v="-0.68937097151515303"/>
    <m/>
    <n v="0"/>
    <n v="0"/>
    <n v="0"/>
    <n v="0"/>
    <n v="-0.10481387507460649"/>
    <n v="-5.045208806835115E-3"/>
    <n v="0"/>
    <n v="0"/>
    <m/>
    <m/>
    <m/>
    <n v="161.11263554362958"/>
    <n v="0"/>
    <n v="0"/>
    <n v="-5.3886000000000251"/>
    <n v="0.49056000000000033"/>
    <n v="0"/>
    <n v="0"/>
    <n v="-7.256066904951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2"/>
    <s v="Regular"/>
    <s v="Verde"/>
    <s v="A4"/>
    <s v="Poder público"/>
    <s v="Não se aplica"/>
    <s v="Não se aplica"/>
    <s v="Não se aplica"/>
    <s v="Fora ponta"/>
    <s v="CATIVO"/>
    <x v="6"/>
    <n v="0"/>
    <n v="0"/>
    <n v="2.5779999999999998"/>
    <n v="2.5779999999999998"/>
    <n v="2.5779999999999998"/>
    <n v="2.5779999999999998"/>
    <m/>
    <n v="69.64"/>
    <n v="144.41999999999999"/>
    <m/>
    <n v="551.84667999999988"/>
    <n v="551.84667999999988"/>
    <n v="543.02991999999995"/>
    <n v="0"/>
    <n v="137.713791764315"/>
    <n v="0"/>
    <n v="0"/>
    <n v="0"/>
    <n v="0"/>
    <n v="0"/>
    <n v="372.31946131939287"/>
    <n v="0"/>
    <n v="0"/>
    <n v="0"/>
    <n v="0"/>
    <n v="0"/>
    <n v="24.446544073366272"/>
    <m/>
    <n v="1.283032454494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083116975168139"/>
    <n v="0"/>
    <n v="0"/>
    <n v="0"/>
    <n v="0"/>
    <n v="0"/>
    <m/>
    <m/>
    <m/>
    <m/>
    <m/>
    <m/>
    <m/>
    <m/>
    <m/>
    <n v="388.40257829456101"/>
    <m/>
    <m/>
    <m/>
    <m/>
    <m/>
    <m/>
    <m/>
    <m/>
    <m/>
    <m/>
    <m/>
    <m/>
    <n v="543.45119999999997"/>
    <n v="-8.4254799999998795"/>
    <m/>
    <m/>
    <m/>
    <m/>
    <n v="-23.872279999999993"/>
    <n v="15.055520000000008"/>
    <n v="31"/>
    <n v="-8.8234346617616666"/>
    <n v="0"/>
    <n v="0"/>
    <n v="0"/>
    <n v="0"/>
    <n v="0"/>
    <n v="0"/>
    <n v="0"/>
    <n v="0"/>
    <n v="0"/>
    <n v="0"/>
    <n v="15.054984802920558"/>
    <n v="0"/>
    <n v="0"/>
    <n v="0"/>
    <n v="0.65033152117987925"/>
    <n v="0"/>
    <n v="-21.157123387691243"/>
    <m/>
    <n v="0"/>
    <n v="0"/>
    <n v="0"/>
    <n v="0"/>
    <n v="-3.2167877374087546"/>
    <n v="-0.15483986076215395"/>
    <n v="0"/>
    <n v="0"/>
    <m/>
    <m/>
    <m/>
    <n v="0"/>
    <n v="0"/>
    <n v="0"/>
    <n v="-23.872279999999989"/>
    <n v="15.055520000000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3"/>
    <s v="Regular"/>
    <s v="Verde"/>
    <s v="A4"/>
    <s v="Poder público"/>
    <s v="Não se aplica"/>
    <s v="Não se aplica"/>
    <s v="Não se aplica"/>
    <s v="Não se aplica"/>
    <s v="CATIVO"/>
    <x v="6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66"/>
    <n v="109.22"/>
    <n v="803.61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1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34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420.53800000000001"/>
    <n v="420.53800000000001"/>
    <n v="420.53800000000001"/>
    <n v="420.53800000000001"/>
    <m/>
    <n v="287.3"/>
    <n v="79.430000000000007"/>
    <m/>
    <n v="154223.90074000001"/>
    <n v="154223.90074000001"/>
    <n v="150746.05147999999"/>
    <n v="0"/>
    <n v="14201.793874133837"/>
    <n v="0"/>
    <n v="0"/>
    <n v="0"/>
    <n v="23583.774994471933"/>
    <n v="76768.778796727434"/>
    <n v="33404.175676254607"/>
    <n v="0"/>
    <n v="0"/>
    <n v="0"/>
    <n v="0"/>
    <n v="0"/>
    <n v="2193.3225032346459"/>
    <m/>
    <n v="336.50204058917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7.3541629204783"/>
    <n v="0"/>
    <n v="1343.4"/>
    <n v="6200.44"/>
    <n v="68893.679999999993"/>
    <n v="6"/>
    <m/>
    <m/>
    <m/>
    <m/>
    <m/>
    <m/>
    <m/>
    <m/>
    <m/>
    <n v="37141.529839175084"/>
    <m/>
    <m/>
    <m/>
    <m/>
    <m/>
    <m/>
    <m/>
    <m/>
    <m/>
    <m/>
    <m/>
    <m/>
    <n v="150746.7684"/>
    <n v="-3477.1623400000099"/>
    <m/>
    <m/>
    <m/>
    <m/>
    <n v="-4827.7762400000074"/>
    <n v="1349.9269799999975"/>
    <n v="31"/>
    <n v="-22.199492627260042"/>
    <n v="0"/>
    <n v="0"/>
    <n v="0"/>
    <n v="0"/>
    <n v="0"/>
    <n v="0"/>
    <n v="0"/>
    <n v="987.01285977354928"/>
    <n v="0"/>
    <n v="0"/>
    <n v="1350.7200385870456"/>
    <n v="0"/>
    <n v="0"/>
    <n v="0"/>
    <n v="151.12239883057282"/>
    <n v="0"/>
    <n v="-2181.8374287147126"/>
    <m/>
    <n v="0"/>
    <n v="0"/>
    <n v="0"/>
    <n v="0"/>
    <n v="-288.60737580795762"/>
    <n v="-40.609985295764602"/>
    <n v="0"/>
    <n v="0"/>
    <m/>
    <m/>
    <m/>
    <n v="76768.778796727434"/>
    <n v="0"/>
    <n v="0"/>
    <n v="-4827.7762400000211"/>
    <n v="1349.9269799999965"/>
    <n v="0"/>
    <n v="0"/>
    <n v="-3457.453186591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5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22.068000000000001"/>
    <n v="20.743919999999999"/>
    <n v="22.068000000000001"/>
    <n v="20.743919999999999"/>
    <m/>
    <n v="522.37"/>
    <n v="144.41999999999999"/>
    <m/>
    <n v="14714.721720000001"/>
    <n v="14714.721720000001"/>
    <n v="14382.598320000001"/>
    <n v="0"/>
    <n v="1354.9967259012617"/>
    <n v="0"/>
    <n v="0"/>
    <n v="0"/>
    <n v="2250.1339045698892"/>
    <n v="7324.528495689643"/>
    <n v="3187.1008038775649"/>
    <n v="0"/>
    <n v="0"/>
    <n v="0"/>
    <n v="0"/>
    <n v="0"/>
    <n v="209.26545174982428"/>
    <m/>
    <n v="32.105744337543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.58190079170868"/>
    <n v="0"/>
    <n v="102.32"/>
    <n v="473.46"/>
    <n v="5525.79"/>
    <n v="35"/>
    <m/>
    <m/>
    <m/>
    <m/>
    <n v="862.95589920000145"/>
    <m/>
    <m/>
    <m/>
    <m/>
    <n v="3543.6827046692733"/>
    <m/>
    <m/>
    <m/>
    <m/>
    <m/>
    <m/>
    <m/>
    <m/>
    <m/>
    <m/>
    <m/>
    <m/>
    <n v="13517.087599999999"/>
    <n v="-314.78081680000105"/>
    <m/>
    <m/>
    <m/>
    <m/>
    <n v="-461.00051999999971"/>
    <n v="128.87712000000008"/>
    <n v="31"/>
    <n v="-2.1180591756838112"/>
    <n v="0"/>
    <n v="0"/>
    <n v="0"/>
    <n v="0"/>
    <n v="0"/>
    <n v="0"/>
    <n v="0"/>
    <n v="94.171145227758188"/>
    <n v="0"/>
    <n v="0"/>
    <n v="128.87253864656759"/>
    <n v="0"/>
    <n v="0"/>
    <n v="0"/>
    <n v="14.418626086295035"/>
    <n v="0"/>
    <n v="-208.16965790088216"/>
    <m/>
    <n v="0"/>
    <n v="0"/>
    <n v="0"/>
    <n v="0"/>
    <n v="-27.536102323171633"/>
    <n v="-3.8746089122500891"/>
    <n v="0"/>
    <n v="0"/>
    <m/>
    <m/>
    <m/>
    <n v="7324.528495689643"/>
    <n v="0"/>
    <n v="0"/>
    <n v="-461.0005199999996"/>
    <n v="128.8771200000001"/>
    <n v="0"/>
    <n v="0"/>
    <n v="-329.8764782328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6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0.40400000000000003"/>
    <n v="0.37975999999999999"/>
    <n v="0.40400000000000003"/>
    <n v="0.37975999999999999"/>
    <m/>
    <n v="2740.31"/>
    <n v="144.41999999999999"/>
    <m/>
    <n v="1165.43092"/>
    <n v="1165.43092"/>
    <n v="1141.8736800000001"/>
    <n v="0"/>
    <n v="21.581214845920588"/>
    <n v="0"/>
    <n v="0"/>
    <n v="0"/>
    <n v="304.07577655193182"/>
    <n v="774.87505666221841"/>
    <n v="58.346416746716343"/>
    <n v="0"/>
    <n v="0"/>
    <n v="0"/>
    <n v="0"/>
    <n v="0"/>
    <n v="3.831033283801387"/>
    <m/>
    <n v="0.201064822193857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203953677144795"/>
    <n v="0"/>
    <n v="0"/>
    <n v="0"/>
    <n v="0"/>
    <n v="0"/>
    <m/>
    <m/>
    <m/>
    <m/>
    <n v="68.5124208000001"/>
    <m/>
    <m/>
    <m/>
    <m/>
    <n v="60.866812114430822"/>
    <m/>
    <m/>
    <m/>
    <m/>
    <m/>
    <m/>
    <m/>
    <m/>
    <m/>
    <m/>
    <m/>
    <m/>
    <n v="1074.0396000000001"/>
    <n v="-21.495464799999809"/>
    <m/>
    <m/>
    <m/>
    <m/>
    <n v="-25.916600000000038"/>
    <n v="2.3593600000000015"/>
    <n v="31"/>
    <n v="11.343256252553488"/>
    <n v="0"/>
    <n v="0"/>
    <n v="0"/>
    <n v="0"/>
    <n v="0"/>
    <n v="0"/>
    <n v="0"/>
    <n v="12.725982242992472"/>
    <n v="0"/>
    <n v="0"/>
    <n v="2.3592761289293662"/>
    <n v="0"/>
    <n v="0"/>
    <n v="0"/>
    <n v="0.10191386134859259"/>
    <n v="0"/>
    <n v="-3.3155461010966896"/>
    <m/>
    <n v="0"/>
    <n v="0"/>
    <n v="0"/>
    <n v="0"/>
    <n v="-0.50410482773977394"/>
    <n v="-2.4265051880492716E-2"/>
    <n v="0"/>
    <n v="0"/>
    <m/>
    <m/>
    <m/>
    <n v="774.87505666221841"/>
    <n v="0"/>
    <n v="0"/>
    <n v="-25.916600000000017"/>
    <n v="2.3593599999999952"/>
    <n v="0"/>
    <n v="0"/>
    <n v="-34.89822654286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7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2.2210000000000001"/>
    <n v="2.0877400000000002"/>
    <n v="2.2210000000000001"/>
    <n v="2.0877400000000002"/>
    <m/>
    <n v="69.64"/>
    <n v="144.41999999999999"/>
    <m/>
    <n v="475.42726000000005"/>
    <n v="475.42726000000005"/>
    <n v="467.83144000000004"/>
    <n v="0"/>
    <n v="118.6432628039347"/>
    <n v="0"/>
    <n v="0"/>
    <n v="0"/>
    <n v="0"/>
    <n v="0"/>
    <n v="320.76087028330937"/>
    <n v="0"/>
    <n v="0"/>
    <n v="0"/>
    <n v="0"/>
    <n v="0"/>
    <n v="21.061200305254655"/>
    <m/>
    <n v="1.1053588368627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55935920034304"/>
    <n v="0"/>
    <n v="0"/>
    <n v="0"/>
    <n v="0"/>
    <n v="0"/>
    <m/>
    <m/>
    <m/>
    <m/>
    <n v="28.069886399999987"/>
    <m/>
    <m/>
    <m/>
    <m/>
    <n v="334.61680620334369"/>
    <m/>
    <m/>
    <m/>
    <m/>
    <m/>
    <m/>
    <m/>
    <m/>
    <m/>
    <m/>
    <m/>
    <m/>
    <n v="440.23759999999993"/>
    <n v="-6.694024400000103"/>
    <m/>
    <m/>
    <m/>
    <m/>
    <n v="-20.566459999999996"/>
    <n v="12.970640000000008"/>
    <n v="31"/>
    <n v="-7.601570358329127"/>
    <n v="0"/>
    <n v="0"/>
    <n v="0"/>
    <n v="0"/>
    <n v="0"/>
    <n v="0"/>
    <n v="0"/>
    <n v="0"/>
    <n v="0"/>
    <n v="0"/>
    <n v="12.970178916713223"/>
    <n v="0"/>
    <n v="0"/>
    <n v="0"/>
    <n v="0.5602739753842183"/>
    <n v="0"/>
    <n v="-18.227296758751848"/>
    <m/>
    <n v="0"/>
    <n v="0"/>
    <n v="0"/>
    <n v="0"/>
    <n v="-2.7713287683416787"/>
    <n v="-0.13339772333310473"/>
    <n v="0"/>
    <n v="0"/>
    <m/>
    <m/>
    <m/>
    <n v="0"/>
    <n v="0"/>
    <n v="0"/>
    <n v="-20.566460000000006"/>
    <n v="12.9706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38"/>
    <s v="Regular"/>
    <s v="Verde"/>
    <s v="A4"/>
    <s v="Serviço público"/>
    <s v="Água, esgoto e saneamento"/>
    <s v="Não se aplica"/>
    <s v="Não se aplica"/>
    <s v="Não se aplica"/>
    <s v="CATIVO"/>
    <x v="6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88"/>
    <n v="128.69"/>
    <n v="759.52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1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39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8.0239999999999991"/>
    <n v="8.0239999999999991"/>
    <n v="8.0239999999999991"/>
    <n v="8.0239999999999991"/>
    <m/>
    <n v="522.37"/>
    <n v="144.41999999999999"/>
    <m/>
    <n v="5350.3229599999995"/>
    <n v="5350.3229599999995"/>
    <n v="5229.5617599999996"/>
    <n v="0"/>
    <n v="492.68142689105139"/>
    <n v="0"/>
    <n v="0"/>
    <n v="0"/>
    <n v="818.1563553683518"/>
    <n v="2663.2235204555777"/>
    <n v="1158.8407128110196"/>
    <n v="0"/>
    <n v="0"/>
    <n v="0"/>
    <n v="0"/>
    <n v="0"/>
    <n v="76.089631359461194"/>
    <m/>
    <n v="11.673758046240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65439423385308"/>
    <n v="0"/>
    <n v="0"/>
    <n v="0"/>
    <n v="0"/>
    <n v="4"/>
    <m/>
    <m/>
    <m/>
    <m/>
    <m/>
    <m/>
    <m/>
    <m/>
    <m/>
    <n v="1288.4951070448726"/>
    <m/>
    <m/>
    <m/>
    <m/>
    <m/>
    <m/>
    <m/>
    <m/>
    <m/>
    <m/>
    <m/>
    <m/>
    <n v="5226.9547999999995"/>
    <n v="-123.39816000000064"/>
    <m/>
    <m/>
    <m/>
    <m/>
    <n v="-167.62135999999987"/>
    <n v="46.860160000000022"/>
    <n v="31"/>
    <n v="-0.77013353388110772"/>
    <n v="0"/>
    <n v="0"/>
    <n v="0"/>
    <n v="0"/>
    <n v="0"/>
    <n v="0"/>
    <n v="0"/>
    <n v="34.240949307029723"/>
    <n v="0"/>
    <n v="0"/>
    <n v="46.858494204280305"/>
    <n v="0"/>
    <n v="0"/>
    <n v="0"/>
    <n v="5.2426615785948627"/>
    <n v="0"/>
    <n v="-75.691196981904966"/>
    <m/>
    <n v="0"/>
    <n v="0"/>
    <n v="0"/>
    <n v="0"/>
    <n v="-10.012220638079071"/>
    <n v="-1.4088210038016449"/>
    <n v="0"/>
    <n v="0"/>
    <m/>
    <m/>
    <m/>
    <n v="2663.2235204555777"/>
    <n v="0"/>
    <n v="0"/>
    <n v="-167.6213600000001"/>
    <n v="46.860159999999951"/>
    <n v="0"/>
    <n v="0"/>
    <n v="-119.94421158874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53.26000000000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41"/>
    <s v="Regular"/>
    <s v="Convencional"/>
    <s v="B2"/>
    <s v="Rural"/>
    <s v="Agropecuária rural"/>
    <s v="IRRIG./AQUIC."/>
    <s v="Não se aplica"/>
    <s v="Não se aplica"/>
    <s v="CATIVO"/>
    <x v="6"/>
    <n v="0"/>
    <n v="0"/>
    <n v="8.2249999999999996"/>
    <n v="8.2249999999999996"/>
    <n v="8.2249999999999996"/>
    <n v="8.2249999999999996"/>
    <m/>
    <n v="522.37"/>
    <n v="144.41999999999999"/>
    <m/>
    <n v="5484.347749999999"/>
    <n v="5484.347749999999"/>
    <n v="5360.5614999999998"/>
    <n v="0"/>
    <n v="505.02302295350171"/>
    <n v="0"/>
    <n v="0"/>
    <n v="0"/>
    <n v="838.65104971394487"/>
    <n v="2729.9368713543276"/>
    <n v="1187.8694993607471"/>
    <n v="0"/>
    <n v="0"/>
    <n v="0"/>
    <n v="0"/>
    <n v="0"/>
    <n v="77.995665245708921"/>
    <m/>
    <n v="11.966183939473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90221741942196"/>
    <n v="0"/>
    <n v="0"/>
    <n v="0"/>
    <n v="0"/>
    <n v="0"/>
    <m/>
    <m/>
    <m/>
    <m/>
    <m/>
    <n v="643.19500000000016"/>
    <m/>
    <m/>
    <m/>
    <n v="1320.7717167801691"/>
    <m/>
    <m/>
    <m/>
    <m/>
    <m/>
    <m/>
    <m/>
    <m/>
    <m/>
    <m/>
    <m/>
    <m/>
    <n v="4720.2342000000008"/>
    <n v="-105.97904999999992"/>
    <m/>
    <m/>
    <m/>
    <m/>
    <n v="-171.82024999999987"/>
    <n v="48.034000000000027"/>
    <n v="31"/>
    <n v="-0.78942526372929933"/>
    <n v="0"/>
    <n v="0"/>
    <n v="0"/>
    <n v="0"/>
    <n v="0"/>
    <n v="0"/>
    <n v="0"/>
    <n v="35.098679966390819"/>
    <n v="0"/>
    <n v="0"/>
    <n v="48.032292476346811"/>
    <n v="0"/>
    <n v="0"/>
    <n v="0"/>
    <n v="5.3739894670915476"/>
    <n v="0"/>
    <n v="-77.587250146581255"/>
    <m/>
    <n v="0"/>
    <n v="0"/>
    <n v="0"/>
    <n v="0"/>
    <n v="-10.263025267721886"/>
    <n v="-1.444111759255799"/>
    <n v="0"/>
    <n v="0"/>
    <m/>
    <m/>
    <m/>
    <n v="2729.9368713543276"/>
    <n v="0"/>
    <n v="0"/>
    <n v="-171.82024999999976"/>
    <n v="48.033999999999878"/>
    <n v="0"/>
    <n v="0"/>
    <n v="-122.9487961512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2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0.876"/>
    <n v="0.35039999999999999"/>
    <n v="0.876"/>
    <n v="0.35039999999999999"/>
    <m/>
    <n v="522.37"/>
    <n v="144.41999999999999"/>
    <m/>
    <n v="584.10803999999996"/>
    <n v="584.10803999999996"/>
    <n v="570.92424000000005"/>
    <n v="0"/>
    <n v="53.787254481126752"/>
    <n v="0"/>
    <n v="0"/>
    <n v="0"/>
    <n v="89.320160431539918"/>
    <n v="290.75072331992601"/>
    <n v="126.51351750030572"/>
    <n v="0"/>
    <n v="0"/>
    <n v="0"/>
    <n v="0"/>
    <n v="0"/>
    <n v="8.3068939520049874"/>
    <m/>
    <n v="1.2744531466235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54692092329926"/>
    <n v="0"/>
    <n v="0"/>
    <n v="0"/>
    <n v="0"/>
    <n v="0"/>
    <m/>
    <m/>
    <m/>
    <m/>
    <m/>
    <m/>
    <n v="369.95582400000006"/>
    <m/>
    <m/>
    <n v="140.66820959263566"/>
    <m/>
    <m/>
    <m/>
    <m/>
    <m/>
    <m/>
    <m/>
    <m/>
    <m/>
    <m/>
    <m/>
    <m/>
    <n v="200.73899999999998"/>
    <n v="-4.8952079999999683"/>
    <m/>
    <m/>
    <m/>
    <m/>
    <n v="-18.299639999999989"/>
    <n v="5.1158400000000031"/>
    <n v="31"/>
    <n v="-8.4077389790650159E-2"/>
    <n v="0"/>
    <n v="0"/>
    <n v="0"/>
    <n v="0"/>
    <n v="0"/>
    <n v="0"/>
    <n v="0"/>
    <n v="3.738169440797364"/>
    <n v="0"/>
    <n v="0"/>
    <n v="5.1156581409458539"/>
    <n v="0"/>
    <n v="0"/>
    <n v="0"/>
    <n v="0.57235437971698566"/>
    <n v="0"/>
    <n v="-8.2633958818729738"/>
    <m/>
    <n v="0"/>
    <n v="0"/>
    <n v="0"/>
    <n v="0"/>
    <n v="-1.0930589829208968"/>
    <n v="-0.15380448645690925"/>
    <n v="0"/>
    <n v="0"/>
    <m/>
    <m/>
    <m/>
    <n v="290.75072331992601"/>
    <n v="0"/>
    <n v="0"/>
    <n v="-18.299639999999954"/>
    <n v="5.1158400000000057"/>
    <n v="0"/>
    <n v="0"/>
    <n v="-13.094607346926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3"/>
    <s v="Regular"/>
    <s v="Convencional"/>
    <s v="B1"/>
    <s v="Residencial"/>
    <s v="Residencial"/>
    <s v="Não se aplica"/>
    <s v="Não se aplica"/>
    <s v="Não se aplica"/>
    <s v="CATIVO"/>
    <x v="7"/>
    <n v="0"/>
    <n v="0"/>
    <n v="2415.0230000000001"/>
    <n v="2415.0230000000001"/>
    <n v="2415.0230000000001"/>
    <n v="2415.0230000000001"/>
    <m/>
    <n v="522.37"/>
    <n v="144.41999999999999"/>
    <m/>
    <n v="1610313.1861700001"/>
    <n v="1610313.1861700001"/>
    <n v="1573967.09002"/>
    <n v="0"/>
    <n v="148284.76789814403"/>
    <n v="0"/>
    <n v="0"/>
    <n v="0"/>
    <n v="246244.56827152835"/>
    <n v="801563.56630623026"/>
    <n v="348782.02576956718"/>
    <n v="0"/>
    <n v="0"/>
    <n v="0"/>
    <n v="0"/>
    <n v="0"/>
    <n v="22901.073005311577"/>
    <m/>
    <n v="3513.508746025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022.724841204217"/>
    <n v="0"/>
    <n v="533.86"/>
    <n v="2480.34"/>
    <n v="336384.35"/>
    <n v="12000"/>
    <m/>
    <m/>
    <m/>
    <m/>
    <m/>
    <m/>
    <m/>
    <m/>
    <m/>
    <n v="387804.75061077141"/>
    <m/>
    <m/>
    <m/>
    <m/>
    <m/>
    <m/>
    <m/>
    <m/>
    <m/>
    <m/>
    <m/>
    <m/>
    <n v="1573965.1347999999"/>
    <n v="-36348.081370000262"/>
    <m/>
    <m/>
    <m/>
    <m/>
    <n v="-50449.830469999972"/>
    <n v="14103.734320000009"/>
    <n v="30"/>
    <n v="-231.79090196813922"/>
    <n v="0"/>
    <n v="0"/>
    <n v="0"/>
    <n v="0"/>
    <n v="0"/>
    <n v="0"/>
    <n v="0"/>
    <n v="10305.668010756577"/>
    <n v="0"/>
    <n v="0"/>
    <n v="14103.232957216329"/>
    <n v="0"/>
    <n v="0"/>
    <n v="0"/>
    <n v="1577.909807268552"/>
    <n v="0"/>
    <n v="-22781.154238388699"/>
    <m/>
    <n v="0"/>
    <n v="0"/>
    <n v="0"/>
    <n v="0"/>
    <n v="-3013.4276074321606"/>
    <n v="-424.01983138884088"/>
    <n v="0"/>
    <n v="0"/>
    <m/>
    <m/>
    <m/>
    <n v="801563.56630623026"/>
    <n v="0"/>
    <n v="0"/>
    <n v="-50449.830470000161"/>
    <n v="14103.734319999989"/>
    <n v="0"/>
    <n v="0"/>
    <n v="-36100.203103648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4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2.2850000000000001"/>
    <n v="-2.2850000000000001"/>
    <n v="-2.2850000000000001"/>
    <n v="-2.2850000000000001"/>
    <m/>
    <n v="522.37"/>
    <n v="144.41999999999999"/>
    <m/>
    <n v="-1523.6151500000001"/>
    <n v="-1523.6151500000001"/>
    <n v="-1489.2259000000001"/>
    <n v="0"/>
    <n v="-140.30122886914913"/>
    <n v="0"/>
    <n v="0"/>
    <n v="0"/>
    <n v="-232.98694815761269"/>
    <n v="-758.40799404798054"/>
    <n v="-330.00386699566053"/>
    <n v="0"/>
    <n v="0"/>
    <n v="0"/>
    <n v="0"/>
    <n v="0"/>
    <n v="-21.668096667044974"/>
    <m/>
    <n v="-3.3243441096286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.921771039924522"/>
    <n v="0"/>
    <n v="0"/>
    <n v="0"/>
    <n v="-403.81"/>
    <n v="0"/>
    <m/>
    <m/>
    <m/>
    <m/>
    <m/>
    <m/>
    <m/>
    <m/>
    <m/>
    <n v="-366.92563803558505"/>
    <m/>
    <m/>
    <m/>
    <m/>
    <m/>
    <m/>
    <m/>
    <m/>
    <m/>
    <m/>
    <m/>
    <m/>
    <n v="-1492.4846"/>
    <n v="31.100550000000112"/>
    <m/>
    <m/>
    <m/>
    <m/>
    <n v="47.733649999999969"/>
    <n v="-13.344400000000009"/>
    <n v="30"/>
    <n v="0.21931145624614601"/>
    <n v="0"/>
    <n v="0"/>
    <n v="0"/>
    <n v="0"/>
    <n v="0"/>
    <n v="0"/>
    <n v="0"/>
    <n v="-9.7508186897510996"/>
    <n v="0"/>
    <n v="0"/>
    <n v="-13.343925630206911"/>
    <n v="0"/>
    <n v="0"/>
    <n v="0"/>
    <n v="-1.4929563443530967"/>
    <n v="0"/>
    <n v="21.554634235250859"/>
    <m/>
    <n v="0"/>
    <n v="0"/>
    <n v="0"/>
    <n v="0"/>
    <n v="2.8511869588747132"/>
    <n v="0.4011909264315503"/>
    <n v="0"/>
    <n v="0"/>
    <m/>
    <m/>
    <m/>
    <n v="-758.40799404798054"/>
    <n v="0"/>
    <n v="0"/>
    <n v="47.733649999999898"/>
    <n v="-13.344400000000007"/>
    <n v="0"/>
    <n v="0"/>
    <n v="34.15659564809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5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1.023"/>
    <n v="11.023"/>
    <n v="11.023"/>
    <n v="11.023"/>
    <m/>
    <n v="522.37"/>
    <n v="144.41999999999999"/>
    <m/>
    <n v="7350.0261699999992"/>
    <n v="7350.0261699999992"/>
    <n v="7184.1300200000005"/>
    <n v="0"/>
    <n v="676.82295222084497"/>
    <n v="0"/>
    <n v="0"/>
    <n v="0"/>
    <n v="1123.9453520968773"/>
    <n v="3658.6132684424019"/>
    <n v="1591.961761878847"/>
    <n v="0"/>
    <n v="0"/>
    <n v="0"/>
    <n v="0"/>
    <n v="0"/>
    <n v="104.52841556272942"/>
    <m/>
    <n v="16.036868761679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11320882848489"/>
    <n v="0"/>
    <n v="2.08"/>
    <n v="9.64"/>
    <n v="5713.75"/>
    <n v="97"/>
    <m/>
    <m/>
    <m/>
    <m/>
    <m/>
    <m/>
    <m/>
    <m/>
    <m/>
    <n v="1770.0749707073319"/>
    <m/>
    <m/>
    <m/>
    <m/>
    <m/>
    <m/>
    <m/>
    <m/>
    <m/>
    <m/>
    <m/>
    <m/>
    <n v="7182.1747999999989"/>
    <n v="-167.88137000000097"/>
    <m/>
    <m/>
    <m/>
    <m/>
    <n v="-230.27046999999985"/>
    <n v="64.37432000000004"/>
    <n v="30"/>
    <n v="-1.0579738215319594"/>
    <n v="0"/>
    <n v="0"/>
    <n v="0"/>
    <n v="0"/>
    <n v="0"/>
    <n v="0"/>
    <n v="0"/>
    <n v="47.03863213003342"/>
    <n v="0"/>
    <n v="0"/>
    <n v="64.372031606902056"/>
    <n v="0"/>
    <n v="0"/>
    <n v="0"/>
    <n v="7.2021259447720638"/>
    <n v="0"/>
    <n v="-103.98106484690163"/>
    <m/>
    <n v="0"/>
    <n v="0"/>
    <n v="0"/>
    <n v="0"/>
    <n v="-13.754325535087943"/>
    <n v="-1.9353731212494445"/>
    <n v="0"/>
    <n v="0"/>
    <m/>
    <m/>
    <m/>
    <n v="3658.6132684424019"/>
    <n v="0"/>
    <n v="0"/>
    <n v="-230.27046999999948"/>
    <n v="64.374320000000125"/>
    <n v="0"/>
    <n v="0"/>
    <n v="-164.77380911549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4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16.71"/>
    <n v="16.71"/>
    <n v="16.71"/>
    <n v="16.71"/>
    <m/>
    <n v="451.48"/>
    <n v="144.41999999999999"/>
    <m/>
    <n v="9957.4889999999996"/>
    <n v="9957.4889999999996"/>
    <n v="9884.6334000000006"/>
    <n v="0"/>
    <n v="0"/>
    <n v="0"/>
    <n v="0"/>
    <n v="0"/>
    <n v="1703.812649327662"/>
    <n v="5546.1696194931092"/>
    <n v="2413.2886728654212"/>
    <n v="0"/>
    <n v="0"/>
    <n v="0"/>
    <n v="0"/>
    <n v="0"/>
    <n v="0"/>
    <m/>
    <n v="24.31063022840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0.00559915848521"/>
    <n v="0"/>
    <n v="0.92"/>
    <n v="4.08"/>
    <n v="418.25"/>
    <n v="9"/>
    <m/>
    <m/>
    <m/>
    <m/>
    <m/>
    <m/>
    <m/>
    <n v="6424.9949999999999"/>
    <m/>
    <n v="2683.2942720239062"/>
    <m/>
    <m/>
    <m/>
    <m/>
    <m/>
    <m/>
    <m/>
    <m/>
    <m/>
    <m/>
    <m/>
    <m/>
    <n v="3459.6384000000003"/>
    <n v="-25.596300000001065"/>
    <m/>
    <m/>
    <m/>
    <m/>
    <n v="-170.44200000000077"/>
    <n v="97.586400000000069"/>
    <n v="30"/>
    <n v="176.87377580742577"/>
    <n v="0"/>
    <n v="0"/>
    <n v="0"/>
    <n v="0"/>
    <n v="0"/>
    <n v="0"/>
    <n v="0"/>
    <n v="71.306862278223662"/>
    <n v="0"/>
    <n v="0"/>
    <n v="97.58293097626165"/>
    <n v="0"/>
    <n v="0"/>
    <n v="0"/>
    <n v="10.917855804875387"/>
    <n v="0"/>
    <n v="0"/>
    <m/>
    <n v="0"/>
    <n v="0"/>
    <n v="0"/>
    <n v="0"/>
    <n v="0"/>
    <n v="-2.9338732519348838"/>
    <n v="0"/>
    <n v="0"/>
    <m/>
    <m/>
    <m/>
    <n v="5546.1696194931092"/>
    <n v="0"/>
    <n v="0"/>
    <n v="-170.44200000000001"/>
    <n v="97.58640000000014"/>
    <n v="0"/>
    <n v="0"/>
    <n v="-249.78411959719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37.302"/>
    <n v="37.302"/>
    <n v="37.302"/>
    <n v="37.302"/>
    <m/>
    <n v="451.48"/>
    <n v="144.41999999999999"/>
    <m/>
    <n v="22228.2618"/>
    <n v="22228.2618"/>
    <n v="22065.625079999998"/>
    <n v="0"/>
    <n v="0"/>
    <n v="0"/>
    <n v="0"/>
    <n v="0"/>
    <n v="3803.448201389614"/>
    <n v="12380.80306082178"/>
    <n v="5387.2228650643883"/>
    <n v="0"/>
    <n v="0"/>
    <n v="0"/>
    <n v="0"/>
    <n v="0"/>
    <n v="0"/>
    <m/>
    <n v="54.26900830519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2.7378132740763"/>
    <n v="0"/>
    <n v="3.48"/>
    <n v="16.059999999999999"/>
    <n v="1601.78"/>
    <n v="50"/>
    <m/>
    <m/>
    <m/>
    <m/>
    <m/>
    <m/>
    <m/>
    <n v="8826.0262199999997"/>
    <m/>
    <n v="5989.9606783384643"/>
    <m/>
    <m/>
    <m/>
    <m/>
    <m/>
    <m/>
    <m/>
    <m/>
    <m/>
    <m/>
    <m/>
    <m/>
    <n v="13238.888999999997"/>
    <n v="-98.098080000003392"/>
    <m/>
    <m/>
    <m/>
    <m/>
    <n v="-380.48040000000168"/>
    <n v="217.84368000000012"/>
    <n v="30"/>
    <n v="394.83815590476479"/>
    <n v="0"/>
    <n v="0"/>
    <n v="0"/>
    <n v="0"/>
    <n v="0"/>
    <n v="0"/>
    <n v="0"/>
    <n v="159.17944803724095"/>
    <n v="0"/>
    <n v="0"/>
    <n v="217.83593604287944"/>
    <n v="0"/>
    <n v="0"/>
    <n v="0"/>
    <n v="24.372103963702102"/>
    <n v="0"/>
    <n v="0"/>
    <m/>
    <n v="0"/>
    <n v="0"/>
    <n v="0"/>
    <n v="0"/>
    <n v="0"/>
    <n v="-6.5493321390589401"/>
    <n v="0"/>
    <n v="0"/>
    <m/>
    <m/>
    <m/>
    <n v="12380.80306082178"/>
    <n v="0"/>
    <n v="0"/>
    <n v="-380.48040000000037"/>
    <n v="217.84367999999995"/>
    <n v="0"/>
    <n v="0"/>
    <n v="-557.59708134137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4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44.447000000000003"/>
    <n v="44.447000000000003"/>
    <n v="44.447000000000003"/>
    <n v="44.447000000000003"/>
    <m/>
    <n v="451.48"/>
    <n v="144.41999999999999"/>
    <m/>
    <n v="26485.9673"/>
    <n v="26485.9673"/>
    <n v="26292.178379999998"/>
    <n v="0"/>
    <n v="0"/>
    <n v="0"/>
    <n v="0"/>
    <n v="0"/>
    <n v="4531.9785053660444"/>
    <n v="14752.280136302228"/>
    <n v="6419.116794904211"/>
    <n v="0"/>
    <n v="0"/>
    <n v="0"/>
    <n v="0"/>
    <n v="0"/>
    <n v="0"/>
    <m/>
    <n v="64.663948639241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8.18904044268061"/>
    <n v="0"/>
    <n v="5.3"/>
    <n v="24.97"/>
    <n v="4923.47"/>
    <n v="273"/>
    <m/>
    <m/>
    <m/>
    <m/>
    <m/>
    <m/>
    <m/>
    <n v="2629.0400499999992"/>
    <m/>
    <n v="7137.3058353468914"/>
    <m/>
    <m/>
    <m/>
    <m/>
    <m/>
    <m/>
    <m/>
    <m/>
    <m/>
    <m/>
    <m/>
    <m/>
    <n v="23664.735500000003"/>
    <n v="-173.10953999999401"/>
    <m/>
    <m/>
    <m/>
    <m/>
    <n v="-453.35940000000204"/>
    <n v="259.57048000000015"/>
    <n v="30"/>
    <n v="470.46730779848258"/>
    <n v="0"/>
    <n v="0"/>
    <n v="0"/>
    <n v="0"/>
    <n v="0"/>
    <n v="0"/>
    <n v="0"/>
    <n v="189.6694259533333"/>
    <n v="0"/>
    <n v="0"/>
    <n v="259.56125272901954"/>
    <n v="0"/>
    <n v="0"/>
    <n v="0"/>
    <n v="29.040451044841234"/>
    <n v="0"/>
    <n v="0"/>
    <m/>
    <n v="0"/>
    <n v="0"/>
    <n v="0"/>
    <n v="0"/>
    <n v="0"/>
    <n v="-7.8038219287103274"/>
    <n v="0"/>
    <n v="0"/>
    <m/>
    <m/>
    <m/>
    <n v="14752.280136302228"/>
    <n v="0"/>
    <n v="0"/>
    <n v="-453.35940000000119"/>
    <n v="259.57047999999941"/>
    <n v="0"/>
    <n v="0"/>
    <n v="-664.40184103748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9.66"/>
    <n v="19.66"/>
    <n v="19.66"/>
    <n v="19.66"/>
    <m/>
    <n v="451.48"/>
    <n v="144.41999999999999"/>
    <m/>
    <n v="11715.394"/>
    <n v="11715.394"/>
    <n v="11629.6764"/>
    <n v="0"/>
    <n v="0"/>
    <n v="0"/>
    <n v="0"/>
    <n v="0"/>
    <n v="2004.6054270366149"/>
    <n v="6525.2959137782482"/>
    <n v="2839.3330525753545"/>
    <n v="0"/>
    <n v="0"/>
    <n v="0"/>
    <n v="0"/>
    <n v="0"/>
    <n v="0"/>
    <m/>
    <n v="28.602453039518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.67265586210766"/>
    <n v="0"/>
    <n v="1.41"/>
    <n v="6.74"/>
    <n v="3447"/>
    <n v="225"/>
    <m/>
    <m/>
    <m/>
    <m/>
    <m/>
    <m/>
    <m/>
    <m/>
    <m/>
    <n v="3157.0057084374621"/>
    <m/>
    <m/>
    <m/>
    <m/>
    <m/>
    <m/>
    <m/>
    <m/>
    <m/>
    <m/>
    <m/>
    <m/>
    <n v="11629.6764"/>
    <n v="-85.747600000000602"/>
    <m/>
    <m/>
    <m/>
    <m/>
    <n v="-200.53200000000089"/>
    <n v="114.81440000000006"/>
    <n v="30"/>
    <n v="208.09924789790603"/>
    <n v="0"/>
    <n v="0"/>
    <n v="0"/>
    <n v="0"/>
    <n v="0"/>
    <n v="0"/>
    <n v="0"/>
    <n v="83.895446582278964"/>
    <n v="0"/>
    <n v="0"/>
    <n v="114.81031855136507"/>
    <n v="0"/>
    <n v="0"/>
    <n v="0"/>
    <n v="12.8453049146529"/>
    <n v="0"/>
    <n v="0"/>
    <m/>
    <n v="0"/>
    <n v="0"/>
    <n v="0"/>
    <n v="0"/>
    <n v="0"/>
    <n v="-3.4518221503913686"/>
    <n v="0"/>
    <n v="0"/>
    <m/>
    <m/>
    <m/>
    <n v="6525.2959137782482"/>
    <n v="0"/>
    <n v="0"/>
    <n v="-200.53200000000106"/>
    <n v="114.81439999999975"/>
    <n v="0"/>
    <n v="0"/>
    <n v="-293.8812562107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1"/>
    <s v="Regular"/>
    <s v="Convencional"/>
    <s v="B3"/>
    <s v="Industrial"/>
    <s v="Não se aplica"/>
    <s v="Não se aplica"/>
    <s v="Não se aplica"/>
    <s v="Não se aplica"/>
    <s v="CATIVO"/>
    <x v="7"/>
    <n v="0"/>
    <n v="0"/>
    <n v="372.767"/>
    <n v="372.767"/>
    <n v="372.767"/>
    <n v="372.767"/>
    <m/>
    <n v="522.37"/>
    <n v="144.41999999999999"/>
    <m/>
    <n v="248557.30793000001"/>
    <n v="248557.30793000001"/>
    <n v="242947.16457999998"/>
    <n v="0"/>
    <n v="22888.257410007049"/>
    <n v="0"/>
    <n v="0"/>
    <n v="0"/>
    <n v="38008.685209570591"/>
    <n v="123724.05808196215"/>
    <n v="53835.689929265369"/>
    <n v="0"/>
    <n v="0"/>
    <n v="0"/>
    <n v="0"/>
    <n v="0"/>
    <n v="3534.8583764920581"/>
    <m/>
    <n v="542.32200468882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23.2900766912662"/>
    <n v="0"/>
    <n v="30.88"/>
    <n v="144.06"/>
    <n v="84319.61"/>
    <n v="566"/>
    <m/>
    <m/>
    <m/>
    <m/>
    <m/>
    <m/>
    <m/>
    <m/>
    <m/>
    <n v="59858.980005956633"/>
    <m/>
    <m/>
    <m/>
    <m/>
    <m/>
    <m/>
    <m/>
    <m/>
    <m/>
    <m/>
    <m/>
    <m/>
    <n v="242949.11979999999"/>
    <n v="-5608.218130000052"/>
    <m/>
    <m/>
    <m/>
    <m/>
    <n v="-7787.1026299999949"/>
    <n v="2176.9592800000014"/>
    <n v="30"/>
    <n v="-35.777712739785784"/>
    <n v="0"/>
    <n v="0"/>
    <n v="0"/>
    <n v="0"/>
    <n v="0"/>
    <n v="0"/>
    <n v="0"/>
    <n v="1590.7148492439592"/>
    <n v="0"/>
    <n v="0"/>
    <n v="2176.881892952013"/>
    <n v="0"/>
    <n v="0"/>
    <n v="0"/>
    <n v="243.55573637438556"/>
    <n v="0"/>
    <n v="-3516.3485076462821"/>
    <m/>
    <n v="0"/>
    <n v="0"/>
    <n v="0"/>
    <n v="0"/>
    <n v="-465.13278297542638"/>
    <n v="-65.448900688450578"/>
    <n v="0"/>
    <n v="0"/>
    <m/>
    <m/>
    <m/>
    <n v="123724.05808196215"/>
    <n v="0"/>
    <n v="0"/>
    <n v="-7787.1026300000085"/>
    <n v="2176.9592800000028"/>
    <n v="0"/>
    <n v="0"/>
    <n v="-5572.188923392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2"/>
    <s v="Refaturamento - Regular"/>
    <s v="Convencional"/>
    <s v="B3"/>
    <s v="Industrial"/>
    <s v="Não se aplica"/>
    <s v="Não se aplica"/>
    <s v="Não se aplica"/>
    <s v="Não se aplica"/>
    <s v="CATIVO"/>
    <x v="7"/>
    <n v="0"/>
    <n v="0"/>
    <n v="-0.17499999999999999"/>
    <n v="-0.17499999999999999"/>
    <n v="-0.17499999999999999"/>
    <n v="-0.17499999999999999"/>
    <m/>
    <n v="522.37"/>
    <n v="144.41999999999999"/>
    <m/>
    <n v="-116.68825"/>
    <n v="-116.68825"/>
    <n v="-114.05449999999999"/>
    <n v="0"/>
    <n v="-10.745170701138335"/>
    <n v="0"/>
    <n v="0"/>
    <n v="0"/>
    <n v="-17.843639355615849"/>
    <n v="-58.083763220304846"/>
    <n v="-25.273819135335046"/>
    <n v="0"/>
    <n v="0"/>
    <n v="0"/>
    <n v="0"/>
    <n v="0"/>
    <n v="-1.6594822392704025"/>
    <m/>
    <n v="-0.25459965828666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8277067536047222"/>
    <n v="0"/>
    <n v="0"/>
    <n v="0"/>
    <n v="-42.22"/>
    <n v="0"/>
    <m/>
    <m/>
    <m/>
    <m/>
    <m/>
    <m/>
    <m/>
    <m/>
    <m/>
    <n v="-28.101525888939769"/>
    <m/>
    <m/>
    <m/>
    <m/>
    <m/>
    <m/>
    <m/>
    <m/>
    <m/>
    <m/>
    <m/>
    <m/>
    <n v="-117.31319999999999"/>
    <n v="-0.65495000000001369"/>
    <m/>
    <m/>
    <m/>
    <m/>
    <n v="3.6557499999999972"/>
    <n v="-1.0220000000000005"/>
    <n v="30"/>
    <n v="1.6796282207025115E-2"/>
    <n v="0"/>
    <n v="0"/>
    <n v="0"/>
    <n v="0"/>
    <n v="0"/>
    <n v="0"/>
    <n v="0"/>
    <n v="-0.74678042481682283"/>
    <n v="0"/>
    <n v="0"/>
    <n v="-1.0219636697095034"/>
    <n v="0"/>
    <n v="0"/>
    <n v="0"/>
    <n v="-0.11434020142747991"/>
    <n v="0"/>
    <n v="1.6507925563102397"/>
    <m/>
    <n v="0"/>
    <n v="0"/>
    <n v="0"/>
    <n v="0"/>
    <n v="0.21836223973876345"/>
    <n v="3.0725782111825473E-2"/>
    <n v="0"/>
    <n v="0"/>
    <m/>
    <m/>
    <m/>
    <n v="-58.083763220304846"/>
    <n v="0"/>
    <n v="0"/>
    <n v="3.6557499999999976"/>
    <n v="-1.022000000000002"/>
    <n v="0"/>
    <n v="0"/>
    <n v="2.615931833004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3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4.6829999999999998"/>
    <n v="4.6829999999999998"/>
    <n v="4.6829999999999998"/>
    <n v="4.6829999999999998"/>
    <m/>
    <n v="522.37"/>
    <n v="144.41999999999999"/>
    <m/>
    <n v="3122.5775699999999"/>
    <n v="3122.5775699999999"/>
    <n v="3052.0984199999998"/>
    <n v="0"/>
    <n v="287.54076796246181"/>
    <n v="0"/>
    <n v="0"/>
    <n v="0"/>
    <n v="477.49578915628013"/>
    <n v="1554.3215037753578"/>
    <n v="676.32740006156587"/>
    <n v="0"/>
    <n v="0"/>
    <n v="0"/>
    <n v="0"/>
    <n v="0"/>
    <n v="44.407744722875975"/>
    <m/>
    <n v="6.8130868557510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669432726462375"/>
    <n v="0"/>
    <n v="0"/>
    <n v="0"/>
    <n v="5181.87"/>
    <n v="9"/>
    <m/>
    <m/>
    <m/>
    <m/>
    <m/>
    <m/>
    <m/>
    <m/>
    <m/>
    <n v="751.9968327880282"/>
    <m/>
    <m/>
    <m/>
    <m/>
    <m/>
    <m/>
    <m/>
    <m/>
    <m/>
    <m/>
    <m/>
    <m/>
    <n v="3050.1431999999995"/>
    <n v="-72.464370000001054"/>
    <m/>
    <m/>
    <m/>
    <m/>
    <n v="-97.827869999999933"/>
    <n v="27.348720000000014"/>
    <n v="30"/>
    <n v="-0.44946851186000458"/>
    <n v="0"/>
    <n v="0"/>
    <n v="0"/>
    <n v="0"/>
    <n v="0"/>
    <n v="0"/>
    <n v="0"/>
    <n v="19.983844168098244"/>
    <n v="0"/>
    <n v="0"/>
    <n v="27.347747801426294"/>
    <n v="0"/>
    <n v="0"/>
    <n v="0"/>
    <n v="3.0597437901993629"/>
    <n v="0"/>
    <n v="-44.175208806862003"/>
    <m/>
    <n v="0"/>
    <n v="0"/>
    <n v="0"/>
    <n v="0"/>
    <n v="-5.843373535409313"/>
    <n v="-0.82222192931244997"/>
    <n v="0"/>
    <n v="0"/>
    <m/>
    <m/>
    <m/>
    <n v="1554.3215037753578"/>
    <n v="0"/>
    <n v="0"/>
    <n v="-97.827870000000075"/>
    <n v="27.348719999999958"/>
    <n v="0"/>
    <n v="0"/>
    <n v="-70.002335851205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4"/>
    <s v="Regular"/>
    <s v="Azul"/>
    <s v="A4"/>
    <s v="Industrial"/>
    <s v="Não se aplica"/>
    <s v="Não se aplica"/>
    <s v="Não se aplica"/>
    <s v="Ponta"/>
    <s v="CATIVO"/>
    <x v="7"/>
    <n v="298"/>
    <n v="298"/>
    <n v="7.0860000000000003"/>
    <n v="7.0860000000000003"/>
    <n v="7.0860000000000003"/>
    <n v="7.0860000000000003"/>
    <n v="111"/>
    <n v="69.64"/>
    <n v="144.41999999999999"/>
    <n v="33078"/>
    <n v="1516.82916"/>
    <n v="34594.829160000001"/>
    <n v="33888.175039999995"/>
    <n v="0"/>
    <n v="378.52596138166655"/>
    <n v="0"/>
    <n v="0"/>
    <n v="0"/>
    <n v="9311.1025950511339"/>
    <n v="23765.820449471714"/>
    <n v="1023.3730422456238"/>
    <n v="0"/>
    <n v="0"/>
    <n v="0"/>
    <n v="0"/>
    <n v="0"/>
    <n v="67.194806556971855"/>
    <m/>
    <n v="3.5265973516477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206736573328719"/>
    <n v="0"/>
    <n v="0"/>
    <n v="0"/>
    <n v="0"/>
    <n v="0"/>
    <m/>
    <m/>
    <m/>
    <m/>
    <m/>
    <m/>
    <m/>
    <m/>
    <m/>
    <n v="1067.5797788189525"/>
    <m/>
    <m/>
    <m/>
    <m/>
    <m/>
    <m/>
    <m/>
    <m/>
    <m/>
    <m/>
    <m/>
    <m/>
    <n v="33889.017599999999"/>
    <n v="-705.84156000000803"/>
    <m/>
    <m/>
    <m/>
    <m/>
    <n v="-748.03636000000188"/>
    <n v="41.382240000000024"/>
    <n v="30"/>
    <n v="365.42976239875497"/>
    <n v="0"/>
    <n v="0"/>
    <n v="0"/>
    <n v="0"/>
    <n v="0"/>
    <n v="0"/>
    <n v="0"/>
    <n v="389.68222865680036"/>
    <n v="0"/>
    <n v="0"/>
    <n v="41.380768934637445"/>
    <n v="0"/>
    <n v="0"/>
    <n v="0"/>
    <n v="1.7875287661290216"/>
    <n v="0"/>
    <n v="-58.153365525671177"/>
    <m/>
    <n v="0"/>
    <n v="0"/>
    <n v="0"/>
    <n v="0"/>
    <n v="-8.8417990330793117"/>
    <n v="-0.42559940006230512"/>
    <n v="0"/>
    <n v="0"/>
    <m/>
    <m/>
    <n v="23765.820449471714"/>
    <n v="0"/>
    <n v="0"/>
    <n v="0"/>
    <n v="-748.03636000000552"/>
    <n v="41.382240000000024"/>
    <n v="0"/>
    <n v="0"/>
    <n v="-1070.3467338272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5"/>
    <s v="Regular"/>
    <s v="Azul"/>
    <s v="A4"/>
    <s v="Industrial"/>
    <s v="Não se aplica"/>
    <s v="Não se aplica"/>
    <s v="Não se aplica"/>
    <s v="Fora ponta"/>
    <s v="CATIVO"/>
    <x v="7"/>
    <n v="3402"/>
    <n v="3402"/>
    <n v="1128.9059999999999"/>
    <n v="1128.9059999999999"/>
    <n v="1128.9059999999999"/>
    <n v="1128.9059999999999"/>
    <n v="34.950000000000003"/>
    <n v="69.64"/>
    <n v="144.41999999999999"/>
    <n v="118899.90000000001"/>
    <n v="241653.61835999996"/>
    <n v="360553.51835999999"/>
    <n v="355093.71983999998"/>
    <n v="0"/>
    <n v="60304.85872982382"/>
    <n v="0"/>
    <n v="0"/>
    <n v="0"/>
    <n v="43102.589897908671"/>
    <n v="75812.91679080241"/>
    <n v="163038.6632273974"/>
    <n v="0"/>
    <n v="0"/>
    <n v="0"/>
    <n v="0"/>
    <n v="0"/>
    <n v="10705.139753175961"/>
    <m/>
    <n v="561.83981228608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42.7956757056481"/>
    <n v="0"/>
    <n v="0"/>
    <n v="0"/>
    <n v="0"/>
    <n v="0"/>
    <m/>
    <m/>
    <m/>
    <m/>
    <m/>
    <m/>
    <m/>
    <m/>
    <m/>
    <n v="170081.45890310305"/>
    <m/>
    <m/>
    <m/>
    <m/>
    <m/>
    <m/>
    <m/>
    <m/>
    <m/>
    <m/>
    <m/>
    <m/>
    <n v="355094.5624"/>
    <n v="-5458.98596000002"/>
    <m/>
    <m/>
    <m/>
    <m/>
    <n v="-12052.609560000017"/>
    <n v="6592.8110400000032"/>
    <n v="30"/>
    <n v="-2059.8797084037215"/>
    <n v="0"/>
    <n v="0"/>
    <n v="0"/>
    <n v="0"/>
    <n v="0"/>
    <n v="0"/>
    <n v="0"/>
    <n v="1803.9016454638913"/>
    <n v="0"/>
    <n v="0"/>
    <n v="6592.5766772404604"/>
    <n v="0"/>
    <n v="0"/>
    <n v="0"/>
    <n v="284.78012267226313"/>
    <n v="0"/>
    <n v="-9264.7026901105419"/>
    <m/>
    <n v="0"/>
    <n v="0"/>
    <n v="0"/>
    <n v="0"/>
    <n v="-1408.6311006544493"/>
    <n v="-67.804363015345245"/>
    <n v="0"/>
    <n v="0"/>
    <m/>
    <m/>
    <n v="75812.91679080241"/>
    <n v="0"/>
    <n v="0"/>
    <n v="0"/>
    <n v="-12052.609560000012"/>
    <n v="6592.8110400000296"/>
    <n v="0"/>
    <n v="0"/>
    <n v="-3414.403809095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6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9753.35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57"/>
    <s v="Regular"/>
    <s v="Verde"/>
    <s v="A4"/>
    <s v="Industrial"/>
    <s v="Não se aplica"/>
    <s v="Não se aplica"/>
    <s v="Não se aplica"/>
    <s v="Ponta"/>
    <s v="CATIVO"/>
    <x v="7"/>
    <n v="0"/>
    <n v="0"/>
    <n v="94.688999999999993"/>
    <n v="94.688999999999993"/>
    <n v="94.688999999999993"/>
    <n v="94.688999999999993"/>
    <m/>
    <n v="2740.31"/>
    <n v="144.41999999999999"/>
    <m/>
    <n v="273152.19896999997"/>
    <n v="273152.19896999997"/>
    <n v="267630.88337999996"/>
    <n v="0"/>
    <n v="5058.1773577855793"/>
    <n v="0"/>
    <n v="0"/>
    <n v="0"/>
    <n v="71268.889123578891"/>
    <n v="181614.21841655642"/>
    <n v="13675.158057747087"/>
    <n v="0"/>
    <n v="0"/>
    <n v="0"/>
    <n v="0"/>
    <n v="0"/>
    <n v="897.91265002442935"/>
    <m/>
    <n v="47.125314229490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0.72702221167401"/>
    <n v="0"/>
    <n v="0"/>
    <n v="0"/>
    <n v="0"/>
    <n v="0"/>
    <m/>
    <m/>
    <m/>
    <m/>
    <m/>
    <m/>
    <m/>
    <m/>
    <m/>
    <n v="14265.88507995876"/>
    <m/>
    <m/>
    <m/>
    <m/>
    <m/>
    <m/>
    <m/>
    <m/>
    <m/>
    <m/>
    <m/>
    <m/>
    <n v="267633.70980000001"/>
    <n v="-5518.519169999985"/>
    <m/>
    <m/>
    <m/>
    <m/>
    <n v="-6074.2993500000084"/>
    <n v="552.9837600000003"/>
    <n v="30"/>
    <n v="2658.6178002426313"/>
    <n v="0"/>
    <n v="0"/>
    <n v="0"/>
    <n v="0"/>
    <n v="0"/>
    <n v="0"/>
    <n v="0"/>
    <n v="2982.6993381354114"/>
    <n v="0"/>
    <n v="0"/>
    <n v="552.96410240641853"/>
    <n v="0"/>
    <n v="0"/>
    <n v="0"/>
    <n v="23.886439646625945"/>
    <n v="0"/>
    <n v="-777.09342764045596"/>
    <m/>
    <n v="0"/>
    <n v="0"/>
    <n v="0"/>
    <n v="0"/>
    <n v="-118.15144067785013"/>
    <n v="-5.6872116275048867"/>
    <n v="0"/>
    <n v="0"/>
    <m/>
    <m/>
    <m/>
    <n v="181614.21841655642"/>
    <n v="0"/>
    <n v="0"/>
    <n v="-6074.2993500000157"/>
    <n v="552.98375999999917"/>
    <n v="0"/>
    <n v="0"/>
    <n v="-8179.401418606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8"/>
    <s v="Sistema de Compensação"/>
    <s v="Verde"/>
    <s v="A4"/>
    <s v="Industrial"/>
    <s v="Não se aplica"/>
    <s v="Não se aplica"/>
    <s v="Não se aplica"/>
    <s v="Ponta"/>
    <s v="CATIVO"/>
    <x v="7"/>
    <n v="0"/>
    <n v="0"/>
    <n v="0.40100000000000002"/>
    <n v="0.40100000000000002"/>
    <n v="0.40100000000000002"/>
    <n v="0.40100000000000002"/>
    <m/>
    <n v="2740.31"/>
    <n v="144.41999999999999"/>
    <m/>
    <n v="1156.77673"/>
    <n v="1156.77673"/>
    <n v="1133.3944199999999"/>
    <n v="0"/>
    <n v="21.420958300035039"/>
    <n v="0"/>
    <n v="0"/>
    <n v="0"/>
    <n v="301.81778811218976"/>
    <n v="769.12103396423163"/>
    <n v="57.913151275824887"/>
    <n v="0"/>
    <n v="0"/>
    <n v="0"/>
    <n v="0"/>
    <n v="0"/>
    <n v="3.8025850168424657"/>
    <m/>
    <n v="0.19957176658350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016795605284807"/>
    <n v="0"/>
    <n v="0"/>
    <n v="0"/>
    <n v="0"/>
    <n v="0"/>
    <m/>
    <m/>
    <m/>
    <m/>
    <m/>
    <m/>
    <m/>
    <m/>
    <m/>
    <n v="60.414830836353367"/>
    <m/>
    <m/>
    <m/>
    <m/>
    <m/>
    <m/>
    <m/>
    <m/>
    <m/>
    <m/>
    <m/>
    <m/>
    <n v="1130.568"/>
    <n v="-26.238730000000032"/>
    <m/>
    <m/>
    <m/>
    <m/>
    <n v="-25.724150000000037"/>
    <n v="2.3418400000000017"/>
    <n v="30"/>
    <n v="11.259024151668143"/>
    <n v="0"/>
    <n v="0"/>
    <n v="0"/>
    <n v="0"/>
    <n v="0"/>
    <n v="0"/>
    <n v="0"/>
    <n v="12.63148237485143"/>
    <n v="0"/>
    <n v="0"/>
    <n v="2.3417567517343443"/>
    <n v="0"/>
    <n v="0"/>
    <n v="0"/>
    <n v="0.10115707524946949"/>
    <n v="0"/>
    <n v="-3.2909257092568645"/>
    <m/>
    <n v="0"/>
    <n v="0"/>
    <n v="0"/>
    <n v="0"/>
    <n v="-0.50036147505853812"/>
    <n v="-2.4084865851677184E-2"/>
    <n v="0"/>
    <n v="0"/>
    <m/>
    <m/>
    <m/>
    <n v="769.12103396423163"/>
    <n v="0"/>
    <n v="0"/>
    <n v="-25.724150000000009"/>
    <n v="2.3418400000000048"/>
    <n v="0"/>
    <n v="0"/>
    <n v="-34.6390812962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59"/>
    <s v="Regular"/>
    <s v="Verde"/>
    <s v="A4"/>
    <s v="Industrial"/>
    <s v="Não se aplica"/>
    <s v="Não se aplica"/>
    <s v="Não se aplica"/>
    <s v="Fora ponta"/>
    <s v="CATIVO"/>
    <x v="7"/>
    <n v="0"/>
    <n v="0"/>
    <n v="5949.9269999999997"/>
    <n v="5949.9269999999997"/>
    <n v="5949.9269999999997"/>
    <n v="5949.9269999999997"/>
    <m/>
    <n v="69.64"/>
    <n v="144.41999999999999"/>
    <m/>
    <n v="1273641.3736199997"/>
    <n v="1273641.3736199997"/>
    <n v="1253292.6232799999"/>
    <n v="0"/>
    <n v="317838.24976372207"/>
    <n v="0"/>
    <n v="0"/>
    <n v="0"/>
    <n v="0"/>
    <n v="0"/>
    <n v="859299.3078082666"/>
    <n v="0"/>
    <n v="0"/>
    <n v="0"/>
    <n v="0"/>
    <n v="0"/>
    <n v="56421.703894031023"/>
    <m/>
    <n v="2961.1906295084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19.228834255715"/>
    <n v="0"/>
    <n v="0"/>
    <n v="0"/>
    <n v="0"/>
    <n v="0"/>
    <m/>
    <m/>
    <m/>
    <m/>
    <m/>
    <m/>
    <m/>
    <m/>
    <m/>
    <n v="896418.53664252232"/>
    <m/>
    <m/>
    <m/>
    <m/>
    <m/>
    <m/>
    <m/>
    <m/>
    <m/>
    <m/>
    <m/>
    <m/>
    <n v="1253293.2552"/>
    <n v="-20348.14841999975"/>
    <m/>
    <m/>
    <m/>
    <m/>
    <n v="-55096.324019999985"/>
    <n v="34747.573680000016"/>
    <n v="30"/>
    <n v="-20364.155208204407"/>
    <n v="0"/>
    <n v="0"/>
    <n v="0"/>
    <n v="0"/>
    <n v="0"/>
    <n v="0"/>
    <n v="0"/>
    <n v="0"/>
    <n v="0"/>
    <n v="0"/>
    <n v="34746.338465278037"/>
    <n v="0"/>
    <n v="0"/>
    <n v="0"/>
    <n v="1500.9406814659524"/>
    <n v="0"/>
    <n v="-48829.844719455228"/>
    <m/>
    <n v="0"/>
    <n v="0"/>
    <n v="0"/>
    <n v="0"/>
    <n v="-7424.2250628693873"/>
    <n v="-357.36457262411977"/>
    <n v="0"/>
    <n v="0"/>
    <m/>
    <m/>
    <m/>
    <n v="0"/>
    <n v="0"/>
    <n v="0"/>
    <n v="-55096.32402"/>
    <n v="34747.5736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0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2.472"/>
    <n v="2.472"/>
    <n v="2.472"/>
    <n v="2.472"/>
    <m/>
    <n v="69.64"/>
    <n v="144.41999999999999"/>
    <m/>
    <n v="529.15632000000005"/>
    <n v="529.15632000000005"/>
    <n v="520.70208000000002"/>
    <n v="0"/>
    <n v="132.05139380969229"/>
    <n v="0"/>
    <n v="0"/>
    <n v="0"/>
    <n v="0"/>
    <n v="0"/>
    <n v="357.01074801456139"/>
    <n v="0"/>
    <n v="0"/>
    <n v="0"/>
    <n v="0"/>
    <n v="0"/>
    <n v="23.44137197415106"/>
    <m/>
    <n v="1.230277822928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421825121262854"/>
    <n v="0"/>
    <n v="0"/>
    <n v="0"/>
    <n v="0"/>
    <n v="0"/>
    <m/>
    <m/>
    <m/>
    <m/>
    <m/>
    <m/>
    <m/>
    <m/>
    <m/>
    <n v="372.43257313582421"/>
    <m/>
    <m/>
    <m/>
    <m/>
    <m/>
    <m/>
    <m/>
    <m/>
    <m/>
    <m/>
    <m/>
    <m/>
    <n v="520.2808"/>
    <n v="-8.9055200000000241"/>
    <m/>
    <m/>
    <m/>
    <m/>
    <n v="-22.890719999999995"/>
    <n v="14.436480000000008"/>
    <n v="30"/>
    <n v="-8.4606402187256435"/>
    <n v="0"/>
    <n v="0"/>
    <n v="0"/>
    <n v="0"/>
    <n v="0"/>
    <n v="0"/>
    <n v="0"/>
    <n v="0"/>
    <n v="0"/>
    <n v="0"/>
    <n v="14.435966808696492"/>
    <n v="0"/>
    <n v="0"/>
    <n v="0"/>
    <n v="0.6235917456775244"/>
    <n v="0"/>
    <n v="-20.287202876017361"/>
    <m/>
    <n v="0"/>
    <n v="0"/>
    <n v="0"/>
    <n v="0"/>
    <n v="-3.0845226093384213"/>
    <n v="-0.14847328774400492"/>
    <n v="0"/>
    <n v="0"/>
    <m/>
    <m/>
    <m/>
    <n v="0"/>
    <n v="0"/>
    <n v="0"/>
    <n v="-22.890719999999988"/>
    <n v="14.43647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1"/>
    <s v="Regular"/>
    <s v="Verde"/>
    <s v="A4"/>
    <s v="Industrial"/>
    <s v="Não se aplica"/>
    <s v="Não se aplica"/>
    <s v="Não se aplica"/>
    <s v="Não se aplica"/>
    <s v="CATIVO"/>
    <x v="7"/>
    <n v="21330"/>
    <n v="21330"/>
    <n v="0"/>
    <n v="0"/>
    <n v="0"/>
    <n v="0"/>
    <n v="34.950000000000003"/>
    <m/>
    <m/>
    <n v="745483.50000000012"/>
    <m/>
    <n v="745483.50000000012"/>
    <n v="735458.39999999991"/>
    <n v="0"/>
    <n v="0"/>
    <n v="0"/>
    <n v="0"/>
    <n v="0"/>
    <n v="270246.39697895118"/>
    <n v="475334.954482015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9.63"/>
    <n v="829.08"/>
    <n v="982867.92"/>
    <n v="70"/>
    <m/>
    <m/>
    <m/>
    <m/>
    <m/>
    <m/>
    <m/>
    <m/>
    <m/>
    <n v="0"/>
    <m/>
    <m/>
    <m/>
    <m/>
    <m/>
    <m/>
    <m/>
    <m/>
    <m/>
    <m/>
    <m/>
    <m/>
    <n v="735458.39999999991"/>
    <n v="-10025.130000000237"/>
    <m/>
    <m/>
    <m/>
    <m/>
    <n v="-10025.100000000128"/>
    <n v="0"/>
    <n v="30"/>
    <n v="11310.176983464102"/>
    <n v="0"/>
    <n v="0"/>
    <n v="0"/>
    <n v="0"/>
    <m/>
    <m/>
    <m/>
    <n v="11310.1769834641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5334.95448201511"/>
    <m/>
    <n v="0"/>
    <n v="0"/>
    <n v="-10025.10000000021"/>
    <m/>
    <n v="0"/>
    <m/>
    <n v="-21407.76991416793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62"/>
    <s v="Sistema de Compensação"/>
    <s v="Verde"/>
    <s v="A4"/>
    <s v="Industrial"/>
    <s v="Não se aplica"/>
    <s v="Não se aplica"/>
    <s v="Não se aplica"/>
    <s v="Não se aplica"/>
    <s v="CATIVO"/>
    <x v="7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008.77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0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63"/>
    <s v="Regular"/>
    <s v="Convencional"/>
    <s v="B3"/>
    <s v="Comercial"/>
    <s v="Não se aplica"/>
    <s v="Não se aplica"/>
    <s v="Não se aplica"/>
    <s v="Não se aplica"/>
    <s v="CATIVO"/>
    <x v="7"/>
    <n v="0"/>
    <n v="0"/>
    <n v="678.78099999999995"/>
    <n v="678.78099999999995"/>
    <n v="678.78099999999995"/>
    <n v="678.78099999999995"/>
    <m/>
    <n v="522.37"/>
    <n v="144.41999999999999"/>
    <m/>
    <n v="452604.38298999995"/>
    <n v="452604.38298999995"/>
    <n v="442388.72893999994"/>
    <n v="0"/>
    <n v="41677.815506796454"/>
    <n v="0"/>
    <n v="0"/>
    <n v="0"/>
    <n v="69210.990659681614"/>
    <n v="225292.31361395281"/>
    <n v="98030.789865724902"/>
    <n v="0"/>
    <n v="0"/>
    <n v="0"/>
    <n v="0"/>
    <n v="0"/>
    <n v="6436.7143648811607"/>
    <m/>
    <n v="987.52806086558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67.963530963239"/>
    <n v="0"/>
    <n v="242.14"/>
    <n v="1119.8699999999999"/>
    <n v="153662.5"/>
    <n v="1220"/>
    <m/>
    <m/>
    <m/>
    <m/>
    <m/>
    <m/>
    <m/>
    <m/>
    <m/>
    <n v="108998.75339668815"/>
    <m/>
    <m/>
    <m/>
    <m/>
    <m/>
    <m/>
    <m/>
    <m/>
    <m/>
    <m/>
    <m/>
    <m/>
    <n v="442388.0772"/>
    <n v="-10216.335789999983"/>
    <m/>
    <m/>
    <m/>
    <m/>
    <n v="-14179.735089999989"/>
    <n v="3964.0810400000018"/>
    <n v="30"/>
    <n v="-65.148555615771329"/>
    <n v="0"/>
    <n v="0"/>
    <n v="0"/>
    <n v="0"/>
    <n v="0"/>
    <n v="0"/>
    <n v="0"/>
    <n v="2896.5735059290746"/>
    <n v="0"/>
    <n v="0"/>
    <n v="3963.9401239376457"/>
    <n v="0"/>
    <n v="0"/>
    <n v="0"/>
    <n v="443.49689294369455"/>
    <n v="0"/>
    <n v="-6403.0092695132626"/>
    <m/>
    <n v="0"/>
    <n v="0"/>
    <n v="0"/>
    <n v="0"/>
    <n v="-846.97222544067245"/>
    <n v="-119.17758347226868"/>
    <n v="0"/>
    <n v="0"/>
    <m/>
    <m/>
    <m/>
    <n v="225292.31361395281"/>
    <n v="0"/>
    <n v="0"/>
    <n v="-14179.735089999973"/>
    <n v="3964.0810400000046"/>
    <n v="0"/>
    <n v="0"/>
    <n v="-10146.5418602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4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39.656999999999996"/>
    <n v="39.656999999999996"/>
    <n v="39.656999999999996"/>
    <n v="39.656999999999996"/>
    <m/>
    <n v="522.37"/>
    <n v="144.41999999999999"/>
    <m/>
    <n v="26442.891029999999"/>
    <n v="26442.891029999999"/>
    <n v="25846.053179999995"/>
    <n v="0"/>
    <n v="2434.9784828288166"/>
    <n v="0"/>
    <n v="0"/>
    <n v="0"/>
    <n v="4043.5726052894724"/>
    <n v="13162.444560157881"/>
    <n v="5727.3362597141822"/>
    <n v="0"/>
    <n v="0"/>
    <n v="0"/>
    <n v="0"/>
    <n v="0"/>
    <n v="376.05764092997913"/>
    <m/>
    <n v="57.695192278137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0.79066701544264"/>
    <n v="0"/>
    <n v="0.47"/>
    <n v="2.16"/>
    <n v="15761.16"/>
    <n v="48"/>
    <m/>
    <m/>
    <m/>
    <m/>
    <m/>
    <m/>
    <m/>
    <m/>
    <m/>
    <n v="6368.1269267296248"/>
    <m/>
    <m/>
    <m/>
    <m/>
    <m/>
    <m/>
    <m/>
    <m/>
    <m/>
    <m/>
    <m/>
    <m/>
    <n v="25848.008399999999"/>
    <n v="-594.91262999999526"/>
    <m/>
    <m/>
    <m/>
    <m/>
    <n v="-828.43472999999938"/>
    <n v="231.59688000000011"/>
    <n v="30"/>
    <n v="-3.8062295056224684"/>
    <n v="0"/>
    <n v="0"/>
    <n v="0"/>
    <n v="0"/>
    <n v="0"/>
    <n v="0"/>
    <n v="0"/>
    <n v="169.22897889691922"/>
    <n v="0"/>
    <n v="0"/>
    <n v="231.58864714097035"/>
    <n v="0"/>
    <n v="0"/>
    <n v="0"/>
    <n v="25.910796388626181"/>
    <n v="0"/>
    <n v="-374.08845946054407"/>
    <m/>
    <n v="0"/>
    <n v="0"/>
    <n v="0"/>
    <n v="0"/>
    <n v="-49.483379093257952"/>
    <n v="-6.9628133783352197"/>
    <n v="0"/>
    <n v="0"/>
    <m/>
    <m/>
    <m/>
    <n v="13162.444560157881"/>
    <n v="0"/>
    <n v="0"/>
    <n v="-828.43473000000085"/>
    <n v="231.59688000000006"/>
    <n v="0"/>
    <n v="0"/>
    <n v="-592.8000497226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5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66"/>
    <s v="Regular"/>
    <s v="Verde"/>
    <s v="A4"/>
    <s v="Comercial"/>
    <s v="Não se aplica"/>
    <s v="Não se aplica"/>
    <s v="Não se aplica"/>
    <s v="Ponta"/>
    <s v="CATIVO"/>
    <x v="7"/>
    <n v="0"/>
    <n v="0"/>
    <n v="8.1709999999999994"/>
    <n v="8.1709999999999994"/>
    <n v="8.1709999999999994"/>
    <n v="8.1709999999999994"/>
    <m/>
    <n v="2740.31"/>
    <n v="144.41999999999999"/>
    <m/>
    <n v="23571.128829999998"/>
    <n v="23571.128829999998"/>
    <n v="23094.677819999997"/>
    <n v="0"/>
    <n v="436.48541214360665"/>
    <n v="0"/>
    <n v="0"/>
    <n v="0"/>
    <n v="6150.0078470441449"/>
    <n v="15672.039821749966"/>
    <n v="1180.0707208847009"/>
    <n v="0"/>
    <n v="0"/>
    <n v="0"/>
    <n v="0"/>
    <n v="0"/>
    <n v="77.483596440448338"/>
    <m/>
    <n v="4.0665857973911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975620172264875"/>
    <n v="0"/>
    <n v="0"/>
    <n v="0"/>
    <n v="0"/>
    <n v="0"/>
    <m/>
    <m/>
    <m/>
    <m/>
    <m/>
    <m/>
    <m/>
    <m/>
    <m/>
    <n v="1231.0463410569657"/>
    <m/>
    <m/>
    <m/>
    <m/>
    <m/>
    <m/>
    <m/>
    <m/>
    <m/>
    <m/>
    <m/>
    <m/>
    <n v="23091.851399999996"/>
    <n v="-479.30742999999711"/>
    <m/>
    <m/>
    <m/>
    <m/>
    <n v="-524.16965000000073"/>
    <n v="47.718640000000022"/>
    <n v="30"/>
    <n v="229.42016544458966"/>
    <n v="0"/>
    <n v="0"/>
    <n v="0"/>
    <n v="0"/>
    <n v="0"/>
    <n v="0"/>
    <n v="0"/>
    <n v="257.38614086012694"/>
    <n v="0"/>
    <n v="0"/>
    <n v="47.71694368683643"/>
    <n v="0"/>
    <n v="0"/>
    <n v="0"/>
    <n v="2.0612330719785845"/>
    <n v="0"/>
    <n v="-67.057740574408513"/>
    <m/>
    <n v="0"/>
    <n v="0"/>
    <n v="0"/>
    <n v="0"/>
    <n v="-10.195644919459639"/>
    <n v="-0.49076668048392591"/>
    <n v="0"/>
    <n v="0"/>
    <m/>
    <m/>
    <m/>
    <n v="15672.039821749966"/>
    <n v="0"/>
    <n v="0"/>
    <n v="-524.16964999999982"/>
    <n v="47.71864000000005"/>
    <n v="0"/>
    <n v="0"/>
    <n v="-705.82527000427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7"/>
    <s v="Regular"/>
    <s v="Verde"/>
    <s v="A4"/>
    <s v="Comercial"/>
    <s v="Não se aplica"/>
    <s v="Não se aplica"/>
    <s v="Não se aplica"/>
    <s v="Fora ponta"/>
    <s v="CATIVO"/>
    <x v="7"/>
    <n v="0"/>
    <n v="0"/>
    <n v="455.69799999999998"/>
    <n v="455.69799999999998"/>
    <n v="455.69799999999998"/>
    <n v="455.69799999999998"/>
    <m/>
    <n v="69.64"/>
    <n v="144.41999999999999"/>
    <m/>
    <n v="97546.713879999996"/>
    <n v="97546.713879999996"/>
    <n v="95988.226720000006"/>
    <n v="0"/>
    <n v="24342.862482317621"/>
    <n v="0"/>
    <n v="0"/>
    <n v="0"/>
    <n v="0"/>
    <n v="0"/>
    <n v="65812.736184765206"/>
    <n v="0"/>
    <n v="0"/>
    <n v="0"/>
    <n v="0"/>
    <n v="0"/>
    <n v="4321.272785548822"/>
    <m/>
    <n v="226.79415184182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2.918634348398"/>
    <n v="0"/>
    <n v="0"/>
    <n v="0"/>
    <n v="0"/>
    <n v="0"/>
    <m/>
    <m/>
    <m/>
    <m/>
    <m/>
    <m/>
    <m/>
    <m/>
    <m/>
    <n v="68655.65481911361"/>
    <m/>
    <m/>
    <m/>
    <m/>
    <m/>
    <m/>
    <m/>
    <m/>
    <m/>
    <m/>
    <m/>
    <m/>
    <n v="95988.647999999986"/>
    <n v="-1558.0958799999935"/>
    <m/>
    <m/>
    <m/>
    <m/>
    <n v="-4219.7634799999987"/>
    <n v="2661.2763200000013"/>
    <n v="30"/>
    <n v="-1559.6670009679947"/>
    <n v="0"/>
    <n v="0"/>
    <n v="0"/>
    <n v="0"/>
    <n v="0"/>
    <n v="0"/>
    <n v="0"/>
    <n v="0"/>
    <n v="0"/>
    <n v="0"/>
    <n v="2661.1817163387459"/>
    <n v="0"/>
    <n v="0"/>
    <n v="0"/>
    <n v="114.95530393274976"/>
    <n v="0"/>
    <n v="-3739.821106875148"/>
    <m/>
    <n v="0"/>
    <n v="0"/>
    <n v="0"/>
    <n v="0"/>
    <n v="-568.61277671128573"/>
    <n v="-27.370137653061335"/>
    <n v="0"/>
    <n v="0"/>
    <m/>
    <m/>
    <m/>
    <n v="0"/>
    <n v="0"/>
    <n v="0"/>
    <n v="-4219.7634799999978"/>
    <n v="2661.276320000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68"/>
    <s v="Regular"/>
    <s v="Verde"/>
    <s v="A4"/>
    <s v="Comercial"/>
    <s v="Não se aplica"/>
    <s v="Não se aplica"/>
    <s v="Não se aplica"/>
    <s v="Não se aplica"/>
    <s v="CATIVO"/>
    <x v="7"/>
    <n v="1885"/>
    <n v="1885"/>
    <n v="0"/>
    <n v="0"/>
    <n v="0"/>
    <n v="0"/>
    <n v="34.950000000000003"/>
    <m/>
    <m/>
    <n v="65880.75"/>
    <m/>
    <n v="65880.75"/>
    <n v="64994.799999999996"/>
    <n v="0"/>
    <n v="0"/>
    <n v="0"/>
    <n v="0"/>
    <n v="0"/>
    <n v="23882.534379058743"/>
    <n v="42006.8630660383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162.91"/>
    <n v="14"/>
    <m/>
    <m/>
    <m/>
    <m/>
    <m/>
    <m/>
    <m/>
    <m/>
    <m/>
    <n v="0"/>
    <m/>
    <m/>
    <m/>
    <m/>
    <m/>
    <m/>
    <m/>
    <m/>
    <m/>
    <m/>
    <m/>
    <m/>
    <n v="64994.799999999996"/>
    <n v="-885.97999999998865"/>
    <m/>
    <m/>
    <m/>
    <m/>
    <n v="-885.9500000000113"/>
    <n v="0"/>
    <n v="30"/>
    <n v="999.51634382699558"/>
    <n v="0"/>
    <n v="0"/>
    <n v="0"/>
    <n v="0"/>
    <m/>
    <m/>
    <m/>
    <n v="999.516343826995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006.863066038371"/>
    <m/>
    <n v="0"/>
    <n v="0"/>
    <n v="-885.95000000000437"/>
    <m/>
    <n v="0"/>
    <m/>
    <n v="-1891.8727748807578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69"/>
    <s v="Regular"/>
    <s v="Branca"/>
    <s v="B3"/>
    <s v="Comercial"/>
    <s v="Não se aplica"/>
    <s v="Não se aplica"/>
    <s v="Não se aplica"/>
    <s v="Ponta"/>
    <s v="CATIVO"/>
    <x v="7"/>
    <n v="0"/>
    <n v="0"/>
    <n v="6.6000000000000003E-2"/>
    <n v="6.6000000000000003E-2"/>
    <n v="6.6000000000000003E-2"/>
    <n v="6.6000000000000003E-2"/>
    <m/>
    <n v="1585.55"/>
    <n v="144.41999999999999"/>
    <m/>
    <n v="114.17802"/>
    <n v="114.17802"/>
    <n v="111.45882"/>
    <n v="0"/>
    <n v="4.0524643787150296"/>
    <n v="0"/>
    <n v="0"/>
    <n v="0"/>
    <n v="23.230430172777037"/>
    <n v="75.575221604467202"/>
    <n v="9.531840359612076"/>
    <n v="0"/>
    <n v="0"/>
    <n v="0"/>
    <n v="0"/>
    <n v="0"/>
    <n v="0.62586187309626617"/>
    <m/>
    <n v="9.602044255382634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664494042166381"/>
    <n v="0"/>
    <n v="0"/>
    <n v="0"/>
    <n v="0"/>
    <n v="0"/>
    <m/>
    <m/>
    <m/>
    <m/>
    <m/>
    <m/>
    <m/>
    <m/>
    <m/>
    <n v="10.598289763828713"/>
    <m/>
    <m/>
    <m/>
    <m/>
    <m/>
    <m/>
    <m/>
    <m/>
    <m/>
    <m/>
    <m/>
    <m/>
    <n v="118.21390000000002"/>
    <n v="4.0058800000000048"/>
    <m/>
    <m/>
    <m/>
    <m/>
    <n v="-3.1046399999999976"/>
    <n v="0.38544000000000023"/>
    <n v="30"/>
    <n v="0.6842474004636756"/>
    <n v="0"/>
    <n v="0"/>
    <n v="0"/>
    <n v="0"/>
    <n v="0"/>
    <n v="0"/>
    <n v="0"/>
    <n v="0.97222490139839124"/>
    <n v="0"/>
    <n v="0"/>
    <n v="0.38542629829044195"/>
    <n v="0"/>
    <n v="0"/>
    <n v="0"/>
    <n v="4.3122590252649751E-2"/>
    <n v="0"/>
    <n v="-0.6225846212370052"/>
    <m/>
    <n v="0"/>
    <n v="0"/>
    <n v="0"/>
    <n v="0"/>
    <n v="-8.2353758987190773E-2"/>
    <n v="-1.158800925360276E-2"/>
    <n v="0"/>
    <n v="0"/>
    <m/>
    <m/>
    <m/>
    <n v="75.575221604467202"/>
    <n v="0"/>
    <n v="0"/>
    <n v="-3.1046399999999892"/>
    <n v="0.38543999999999912"/>
    <n v="0"/>
    <n v="0"/>
    <n v="-3.403698676197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0"/>
    <s v="Regular"/>
    <s v="Branca"/>
    <s v="B3"/>
    <s v="Comercial"/>
    <s v="Não se aplica"/>
    <s v="Não se aplica"/>
    <s v="Não se aplica"/>
    <s v="Fora ponta"/>
    <s v="CATIVO"/>
    <x v="7"/>
    <n v="0"/>
    <n v="0"/>
    <n v="6.3140000000000001"/>
    <n v="6.3140000000000001"/>
    <n v="6.3140000000000001"/>
    <n v="6.3140000000000001"/>
    <m/>
    <n v="387.88"/>
    <n v="144.41999999999999"/>
    <m/>
    <n v="3360.9422"/>
    <n v="3360.9422"/>
    <n v="3286.8789800000004"/>
    <n v="0"/>
    <n v="387.68575889707114"/>
    <n v="0"/>
    <n v="0"/>
    <n v="0"/>
    <n v="444.28457613097601"/>
    <n v="1446.0061619355567"/>
    <n v="911.87939440288858"/>
    <n v="0"/>
    <n v="0"/>
    <n v="0"/>
    <n v="0"/>
    <n v="0"/>
    <n v="59.87411919287613"/>
    <m/>
    <n v="9.1859556709827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02365967005839"/>
    <n v="0"/>
    <n v="0"/>
    <n v="0"/>
    <n v="0"/>
    <n v="0"/>
    <m/>
    <m/>
    <m/>
    <m/>
    <m/>
    <m/>
    <m/>
    <m/>
    <m/>
    <n v="1013.9030540729469"/>
    <m/>
    <m/>
    <m/>
    <m/>
    <m/>
    <m/>
    <m/>
    <m/>
    <m/>
    <m/>
    <m/>
    <m/>
    <n v="3284.7966999999994"/>
    <n v="-76.175500000001193"/>
    <m/>
    <m/>
    <m/>
    <m/>
    <n v="-110.93697999999996"/>
    <n v="36.873760000000019"/>
    <n v="30"/>
    <n v="-8.955937575307189"/>
    <n v="0"/>
    <n v="0"/>
    <n v="0"/>
    <n v="0"/>
    <n v="0"/>
    <n v="0"/>
    <n v="0"/>
    <n v="18.593910014113533"/>
    <n v="0"/>
    <n v="0"/>
    <n v="36.87244920311889"/>
    <n v="0"/>
    <n v="0"/>
    <n v="0"/>
    <n v="4.1253944675034688"/>
    <n v="0"/>
    <n v="-59.560595431673448"/>
    <m/>
    <n v="0"/>
    <n v="0"/>
    <n v="0"/>
    <n v="0"/>
    <n v="-7.8785096097745893"/>
    <n v="-1.1085862185946649"/>
    <n v="0"/>
    <n v="0"/>
    <m/>
    <m/>
    <m/>
    <n v="1446.0061619355567"/>
    <n v="0"/>
    <n v="0"/>
    <n v="-110.93697999999995"/>
    <n v="36.873760000000061"/>
    <n v="0"/>
    <n v="0"/>
    <n v="-65.124112833068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1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37.31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72"/>
    <s v="Regular"/>
    <s v="Branca"/>
    <s v="B3"/>
    <s v="Comercial"/>
    <s v="Não se aplica"/>
    <s v="Não se aplica"/>
    <s v="Não se aplica"/>
    <s v="Intermediário"/>
    <s v="CATIVO"/>
    <x v="7"/>
    <n v="0"/>
    <n v="0"/>
    <n v="0.1"/>
    <n v="0.1"/>
    <n v="0.1"/>
    <n v="0.1"/>
    <m/>
    <n v="986.74"/>
    <n v="144.41999999999999"/>
    <m/>
    <n v="113.11600000000001"/>
    <n v="113.11600000000001"/>
    <n v="110.46899999999999"/>
    <n v="0"/>
    <n v="6.1400975435076202"/>
    <n v="0"/>
    <n v="0"/>
    <n v="0"/>
    <n v="21.119581161406899"/>
    <n v="68.704759040333798"/>
    <n v="14.4421823630486"/>
    <n v="0"/>
    <n v="0"/>
    <n v="0"/>
    <n v="0"/>
    <n v="0"/>
    <n v="0.948275565297373"/>
    <m/>
    <n v="0.145485519020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158324306312701"/>
    <n v="0"/>
    <n v="0"/>
    <n v="0"/>
    <n v="0"/>
    <n v="0"/>
    <m/>
    <m/>
    <m/>
    <m/>
    <m/>
    <m/>
    <m/>
    <m/>
    <m/>
    <n v="16.05801479367987"/>
    <m/>
    <m/>
    <m/>
    <m/>
    <m/>
    <m/>
    <m/>
    <m/>
    <m/>
    <m/>
    <m/>
    <m/>
    <n v="110.46899999999999"/>
    <n v="-2.6770000000000351"/>
    <m/>
    <m/>
    <m/>
    <m/>
    <n v="-3.2310000000000061"/>
    <n v="0.58400000000000041"/>
    <n v="30"/>
    <n v="0.44755347034023885"/>
    <n v="0"/>
    <n v="0"/>
    <n v="0"/>
    <n v="0"/>
    <n v="0"/>
    <n v="0"/>
    <n v="0"/>
    <n v="0.88388301721100504"/>
    <n v="0"/>
    <n v="0"/>
    <n v="0.58397923983400268"/>
    <n v="0"/>
    <n v="0"/>
    <n v="0"/>
    <n v="6.5337257958560047E-2"/>
    <n v="0"/>
    <n v="-0.94331003217727982"/>
    <m/>
    <n v="0"/>
    <n v="0"/>
    <n v="0"/>
    <n v="0"/>
    <n v="-0.12477842270786488"/>
    <n v="-1.7557589778186E-2"/>
    <n v="0"/>
    <n v="0"/>
    <m/>
    <m/>
    <m/>
    <n v="68.704759040333798"/>
    <n v="0"/>
    <n v="0"/>
    <n v="-3.2310000000000088"/>
    <n v="0.58399999999999963"/>
    <n v="0"/>
    <n v="0"/>
    <n v="-3.094272069990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3"/>
    <s v="Regular"/>
    <s v="Convencional"/>
    <s v="B2"/>
    <s v="Rural"/>
    <s v="Não se aplica"/>
    <s v="Não se aplica"/>
    <s v="Não se aplica"/>
    <s v="Não se aplica"/>
    <s v="CATIVO"/>
    <x v="7"/>
    <n v="0"/>
    <n v="0"/>
    <n v="226.661"/>
    <n v="226.661"/>
    <n v="226.661"/>
    <n v="226.661"/>
    <m/>
    <n v="522.37"/>
    <n v="144.41999999999999"/>
    <m/>
    <n v="151135.28818999999"/>
    <n v="151135.28818999999"/>
    <n v="147724.04014"/>
    <n v="0"/>
    <n v="13917.206493089807"/>
    <n v="0"/>
    <n v="0"/>
    <n v="0"/>
    <n v="23111.18365704711"/>
    <n v="75230.42203015725"/>
    <n v="32734.794965909587"/>
    <n v="0"/>
    <n v="0"/>
    <n v="0"/>
    <n v="0"/>
    <n v="0"/>
    <n v="2149.3708790586784"/>
    <m/>
    <n v="329.75893226807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62.4619455931429"/>
    <n v="0"/>
    <n v="5.29"/>
    <n v="24.59"/>
    <n v="26564.11"/>
    <n v="756"/>
    <m/>
    <m/>
    <m/>
    <m/>
    <m/>
    <n v="17724.890200000005"/>
    <m/>
    <m/>
    <m/>
    <n v="36397.256911502729"/>
    <m/>
    <m/>
    <m/>
    <m/>
    <m/>
    <m/>
    <m/>
    <m/>
    <m/>
    <m/>
    <m/>
    <m/>
    <n v="129998.57639999999"/>
    <n v="-2999.3285700000124"/>
    <m/>
    <m/>
    <m/>
    <m/>
    <n v="-4734.9482899999966"/>
    <n v="1323.7002400000008"/>
    <n v="30"/>
    <n v="-21.754640693296096"/>
    <n v="0"/>
    <n v="0"/>
    <n v="0"/>
    <n v="0"/>
    <n v="0"/>
    <n v="0"/>
    <n v="0"/>
    <n v="967.23427353946681"/>
    <n v="0"/>
    <n v="0"/>
    <n v="1323.6531848001432"/>
    <n v="0"/>
    <n v="0"/>
    <n v="0"/>
    <n v="148.0940822614516"/>
    <n v="0"/>
    <n v="-2138.115952033344"/>
    <m/>
    <n v="0"/>
    <n v="0"/>
    <n v="0"/>
    <n v="0"/>
    <n v="-282.82402069387354"/>
    <n v="-39.796208567134158"/>
    <n v="0"/>
    <n v="0"/>
    <m/>
    <m/>
    <m/>
    <n v="75230.42203015725"/>
    <n v="0"/>
    <n v="0"/>
    <n v="-4734.9482900000003"/>
    <n v="1323.7002400000019"/>
    <n v="0"/>
    <n v="0"/>
    <n v="-3388.169858289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4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0.55200000000000005"/>
    <n v="-0.55200000000000005"/>
    <n v="-0.55200000000000005"/>
    <n v="-0.55200000000000005"/>
    <m/>
    <n v="522.37"/>
    <n v="144.41999999999999"/>
    <m/>
    <n v="-368.06808000000001"/>
    <n v="-368.06808000000001"/>
    <n v="-359.76048000000003"/>
    <n v="0"/>
    <n v="-33.893338440162061"/>
    <n v="0"/>
    <n v="0"/>
    <n v="0"/>
    <n v="-56.283936710285431"/>
    <n v="-183.21278455776161"/>
    <n v="-79.720846644028271"/>
    <n v="0"/>
    <n v="0"/>
    <n v="0"/>
    <n v="0"/>
    <n v="0"/>
    <n v="-5.2344811204414992"/>
    <m/>
    <n v="-0.80308006499563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9193950170846108"/>
    <n v="0"/>
    <n v="0"/>
    <n v="0"/>
    <n v="-118.46"/>
    <n v="0"/>
    <m/>
    <m/>
    <m/>
    <m/>
    <m/>
    <n v="-43.16640000000001"/>
    <m/>
    <m/>
    <m/>
    <n v="-88.640241661112881"/>
    <m/>
    <m/>
    <m/>
    <m/>
    <m/>
    <m/>
    <m/>
    <m/>
    <m/>
    <m/>
    <m/>
    <m/>
    <n v="-315.447"/>
    <n v="8.4200400000000855"/>
    <m/>
    <m/>
    <m/>
    <m/>
    <n v="11.531279999999994"/>
    <n v="-3.2236800000000021"/>
    <n v="30"/>
    <n v="5.2980273018704338E-2"/>
    <n v="0"/>
    <n v="0"/>
    <n v="0"/>
    <n v="0"/>
    <n v="0"/>
    <n v="0"/>
    <n v="0"/>
    <n v="-2.3555588257079236"/>
    <n v="0"/>
    <n v="0"/>
    <n v="-3.2235654038836969"/>
    <n v="0"/>
    <n v="0"/>
    <n v="0"/>
    <n v="-0.36066166393125165"/>
    <n v="0"/>
    <n v="5.2070713776185826"/>
    <m/>
    <n v="0"/>
    <n v="0"/>
    <n v="0"/>
    <n v="0"/>
    <n v="0.68877689334741454"/>
    <n v="9.6917895575586721E-2"/>
    <n v="0"/>
    <n v="0"/>
    <m/>
    <m/>
    <m/>
    <n v="-183.21278455776161"/>
    <n v="0"/>
    <n v="0"/>
    <n v="11.531279999999981"/>
    <n v="-3.2236800000000017"/>
    <n v="0"/>
    <n v="0"/>
    <n v="8.2513964103919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5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4.5819999999999999"/>
    <n v="4.5819999999999999"/>
    <n v="4.5819999999999999"/>
    <n v="4.5819999999999999"/>
    <m/>
    <n v="522.37"/>
    <n v="144.41999999999999"/>
    <m/>
    <n v="3055.2317799999996"/>
    <n v="3055.2317799999996"/>
    <n v="2986.27268"/>
    <n v="0"/>
    <n v="281.33926944351913"/>
    <n v="0"/>
    <n v="0"/>
    <n v="0"/>
    <n v="467.19746015675327"/>
    <n v="1520.7988747167817"/>
    <n v="661.74079587488677"/>
    <n v="0"/>
    <n v="0"/>
    <n v="0"/>
    <n v="0"/>
    <n v="0"/>
    <n v="43.449986401925628"/>
    <m/>
    <n v="6.666146481539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037441971524785"/>
    <n v="0"/>
    <n v="0"/>
    <n v="0"/>
    <n v="1294.56"/>
    <n v="12"/>
    <m/>
    <m/>
    <m/>
    <m/>
    <m/>
    <n v="358.31240000000003"/>
    <m/>
    <m/>
    <m/>
    <n v="735.77823784641157"/>
    <m/>
    <m/>
    <m/>
    <m/>
    <m/>
    <m/>
    <m/>
    <m/>
    <m/>
    <m/>
    <m/>
    <m/>
    <n v="2626.8132000000001"/>
    <n v="-61.796940000000632"/>
    <m/>
    <m/>
    <m/>
    <m/>
    <n v="-95.71797999999994"/>
    <n v="26.758880000000016"/>
    <n v="30"/>
    <n v="-0.43977465755756384"/>
    <n v="0"/>
    <n v="0"/>
    <n v="0"/>
    <n v="0"/>
    <n v="0"/>
    <n v="0"/>
    <n v="0"/>
    <n v="19.55284518006107"/>
    <n v="0"/>
    <n v="0"/>
    <n v="26.757928769193995"/>
    <n v="0"/>
    <n v="0"/>
    <n v="0"/>
    <n v="2.9937531596612246"/>
    <n v="0"/>
    <n v="-43.222465674362951"/>
    <m/>
    <n v="0"/>
    <n v="0"/>
    <n v="0"/>
    <n v="0"/>
    <n v="-5.7173473284743679"/>
    <n v="-0.80448876363648303"/>
    <n v="0"/>
    <n v="0"/>
    <m/>
    <m/>
    <m/>
    <n v="1520.7988747167817"/>
    <n v="0"/>
    <n v="0"/>
    <n v="-95.717979999999898"/>
    <n v="26.75888000000009"/>
    <n v="0"/>
    <n v="0"/>
    <n v="-68.49256947901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6"/>
    <s v="Regular"/>
    <s v="Verde"/>
    <s v="A4"/>
    <s v="Rural"/>
    <s v="Não se aplica"/>
    <s v="Não se aplica"/>
    <s v="Não se aplica"/>
    <s v="Fora ponta"/>
    <s v="CATIVO"/>
    <x v="7"/>
    <n v="0"/>
    <n v="0"/>
    <n v="38.433"/>
    <n v="36.895679999999999"/>
    <n v="38.433"/>
    <n v="36.895679999999999"/>
    <m/>
    <n v="69.64"/>
    <n v="144.41999999999999"/>
    <m/>
    <n v="8226.9679799999994"/>
    <n v="8226.9679799999994"/>
    <n v="8095.5271200000007"/>
    <n v="0"/>
    <n v="2053.0466093397672"/>
    <n v="0"/>
    <n v="0"/>
    <n v="0"/>
    <n v="0"/>
    <n v="0"/>
    <n v="5550.5639475904682"/>
    <n v="0"/>
    <n v="0"/>
    <n v="0"/>
    <n v="0"/>
    <n v="0"/>
    <n v="364.45074801073935"/>
    <m/>
    <n v="19.127535424199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.76820585982819"/>
    <n v="0"/>
    <n v="0"/>
    <n v="0"/>
    <n v="0"/>
    <n v="0"/>
    <m/>
    <m/>
    <m/>
    <m/>
    <m/>
    <n v="323.82108480000022"/>
    <m/>
    <m/>
    <m/>
    <n v="5790.3321534502966"/>
    <m/>
    <m/>
    <m/>
    <m/>
    <m/>
    <m/>
    <m/>
    <m/>
    <m/>
    <m/>
    <m/>
    <m/>
    <n v="7772.6159999999991"/>
    <n v="-125.30326080000032"/>
    <m/>
    <m/>
    <m/>
    <m/>
    <n v="-355.88957999999991"/>
    <n v="224.44872000000012"/>
    <n v="30"/>
    <n v="-131.54036631322288"/>
    <n v="0"/>
    <n v="0"/>
    <n v="0"/>
    <n v="0"/>
    <n v="0"/>
    <n v="0"/>
    <n v="0"/>
    <n v="0"/>
    <n v="0"/>
    <n v="0"/>
    <n v="224.44074124540202"/>
    <n v="0"/>
    <n v="0"/>
    <n v="0"/>
    <n v="9.6951867158674645"/>
    <n v="0"/>
    <n v="-315.41183986002261"/>
    <m/>
    <n v="0"/>
    <n v="0"/>
    <n v="0"/>
    <n v="0"/>
    <n v="-47.956091199313732"/>
    <n v="-2.3083632151558824"/>
    <n v="0"/>
    <n v="0"/>
    <m/>
    <m/>
    <m/>
    <n v="0"/>
    <n v="0"/>
    <n v="0"/>
    <n v="-355.88957999999957"/>
    <n v="224.4487200000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7"/>
    <s v="Regular"/>
    <s v="Verde"/>
    <s v="A4"/>
    <s v="Rural"/>
    <s v="Não se aplica"/>
    <s v="Não se aplica"/>
    <s v="Não se aplica"/>
    <s v="Não se aplica"/>
    <s v="CATIVO"/>
    <x v="7"/>
    <n v="151"/>
    <n v="144.96"/>
    <n v="0"/>
    <n v="0"/>
    <n v="0"/>
    <n v="0"/>
    <n v="34.950000000000003"/>
    <m/>
    <m/>
    <n v="5277.4500000000007"/>
    <m/>
    <n v="5277.4500000000007"/>
    <n v="5206.4799999999996"/>
    <n v="0"/>
    <n v="0"/>
    <n v="0"/>
    <n v="0"/>
    <n v="0"/>
    <n v="1913.1367062269869"/>
    <n v="3365.0060068815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13.41"/>
    <n v="1"/>
    <m/>
    <m/>
    <m/>
    <m/>
    <m/>
    <n v="208.25919999999971"/>
    <m/>
    <m/>
    <m/>
    <n v="0"/>
    <m/>
    <m/>
    <m/>
    <m/>
    <m/>
    <m/>
    <m/>
    <m/>
    <m/>
    <m/>
    <m/>
    <m/>
    <n v="4998.2208000000001"/>
    <n v="-68.161200000001372"/>
    <m/>
    <m/>
    <m/>
    <m/>
    <n v="-70.970000000000908"/>
    <n v="0"/>
    <n v="30"/>
    <n v="80.067356985610559"/>
    <n v="0"/>
    <n v="0"/>
    <n v="0"/>
    <n v="0"/>
    <m/>
    <m/>
    <m/>
    <n v="80.0673569856105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65.0060068815883"/>
    <m/>
    <n v="0"/>
    <n v="0"/>
    <n v="-70.970000000001164"/>
    <m/>
    <n v="0"/>
    <m/>
    <n v="-151.5505511973442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78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81.400000000000006"/>
    <n v="81.400000000000006"/>
    <n v="81.400000000000006"/>
    <n v="81.400000000000006"/>
    <m/>
    <n v="522.37"/>
    <n v="144.41999999999999"/>
    <m/>
    <n v="54276.706000000006"/>
    <n v="54276.706000000006"/>
    <n v="53051.635999999999"/>
    <n v="0"/>
    <n v="4998.0394004152031"/>
    <n v="0"/>
    <n v="0"/>
    <n v="0"/>
    <n v="8299.841391697888"/>
    <n v="27017.247577901802"/>
    <n v="11755.936443521561"/>
    <n v="0"/>
    <n v="0"/>
    <n v="0"/>
    <n v="0"/>
    <n v="0"/>
    <n v="771.89631015206157"/>
    <m/>
    <n v="118.42521248305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5.287598533854"/>
    <n v="0"/>
    <n v="371.59"/>
    <n v="1718.16"/>
    <n v="15515.31"/>
    <n v="128"/>
    <m/>
    <m/>
    <m/>
    <m/>
    <m/>
    <m/>
    <m/>
    <m/>
    <m/>
    <n v="13071.224042055415"/>
    <m/>
    <m/>
    <m/>
    <m/>
    <m/>
    <m/>
    <m/>
    <m/>
    <m/>
    <m/>
    <m/>
    <m/>
    <n v="53051.635999999999"/>
    <n v="-1225.1000000000131"/>
    <m/>
    <m/>
    <m/>
    <m/>
    <n v="-1700.445999999999"/>
    <n v="475.37600000000032"/>
    <n v="30"/>
    <n v="-7.8126706951552478"/>
    <n v="0"/>
    <n v="0"/>
    <n v="0"/>
    <n v="0"/>
    <n v="0"/>
    <n v="0"/>
    <n v="0"/>
    <n v="347.35958045765437"/>
    <n v="0"/>
    <n v="0"/>
    <n v="475.35910122487621"/>
    <n v="0"/>
    <n v="0"/>
    <n v="0"/>
    <n v="53.184527978267852"/>
    <n v="0"/>
    <n v="-767.85436619230586"/>
    <m/>
    <n v="0"/>
    <n v="0"/>
    <n v="0"/>
    <n v="0"/>
    <n v="-101.56963608420199"/>
    <n v="-14.291878079443407"/>
    <n v="0"/>
    <n v="0"/>
    <m/>
    <m/>
    <m/>
    <n v="27017.247577901802"/>
    <n v="0"/>
    <n v="0"/>
    <n v="-1700.4460000000036"/>
    <n v="475.3760000000002"/>
    <n v="0"/>
    <n v="0"/>
    <n v="-1216.7820068947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79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2.669"/>
    <n v="2.669"/>
    <n v="2.669"/>
    <n v="2.669"/>
    <m/>
    <n v="522.37"/>
    <n v="144.41999999999999"/>
    <m/>
    <n v="1779.6625099999999"/>
    <n v="1779.6625099999999"/>
    <n v="1739.49406"/>
    <n v="0"/>
    <n v="163.87920343621838"/>
    <n v="0"/>
    <n v="0"/>
    <n v="0"/>
    <n v="272.14099108650692"/>
    <n v="885.86036591424943"/>
    <n v="385.46184726976713"/>
    <n v="0"/>
    <n v="0"/>
    <n v="0"/>
    <n v="0"/>
    <n v="0"/>
    <n v="25.309474837786883"/>
    <m/>
    <n v="3.8830085026691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126567573548598"/>
    <n v="0"/>
    <n v="10.51"/>
    <n v="48.54"/>
    <n v="670.98"/>
    <n v="2"/>
    <m/>
    <m/>
    <m/>
    <m/>
    <m/>
    <m/>
    <m/>
    <m/>
    <m/>
    <n v="428.58841484331572"/>
    <m/>
    <m/>
    <m/>
    <m/>
    <m/>
    <m/>
    <m/>
    <m/>
    <m/>
    <m/>
    <m/>
    <m/>
    <n v="1740.1458"/>
    <n v="-39.546709999999848"/>
    <m/>
    <m/>
    <m/>
    <m/>
    <n v="-55.755409999999962"/>
    <n v="15.58696000000001"/>
    <n v="30"/>
    <n v="-0.25616729834598573"/>
    <n v="0"/>
    <n v="0"/>
    <n v="0"/>
    <n v="0"/>
    <n v="0"/>
    <n v="0"/>
    <n v="0"/>
    <n v="11.389468307634843"/>
    <n v="0"/>
    <n v="0"/>
    <n v="15.586405911169493"/>
    <n v="0"/>
    <n v="0"/>
    <n v="0"/>
    <n v="1.7438514149139621"/>
    <n v="0"/>
    <n v="-25.176944758811601"/>
    <m/>
    <n v="0"/>
    <n v="0"/>
    <n v="0"/>
    <n v="0"/>
    <n v="-3.3303361020729128"/>
    <n v="-0.46861207117978454"/>
    <n v="0"/>
    <n v="0"/>
    <m/>
    <m/>
    <m/>
    <n v="885.86036591424943"/>
    <n v="0"/>
    <n v="0"/>
    <n v="-55.755409999999983"/>
    <n v="15.586959999999976"/>
    <n v="0"/>
    <n v="0"/>
    <n v="-39.896697498797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0"/>
    <s v="Regular"/>
    <s v="Verde"/>
    <s v="A4"/>
    <s v="Poder público"/>
    <s v="Não se aplica"/>
    <s v="Não se aplica"/>
    <s v="Não se aplica"/>
    <s v="Ponta"/>
    <s v="CATIVO"/>
    <x v="7"/>
    <n v="0"/>
    <n v="0"/>
    <n v="0.14299999999999999"/>
    <n v="0.14299999999999999"/>
    <n v="0.14299999999999999"/>
    <n v="0.14299999999999999"/>
    <m/>
    <n v="2740.31"/>
    <n v="144.41999999999999"/>
    <m/>
    <n v="412.51638999999994"/>
    <n v="412.51638999999994"/>
    <n v="404.17805999999996"/>
    <n v="0"/>
    <n v="7.6388953538778308"/>
    <n v="0"/>
    <n v="0"/>
    <n v="0"/>
    <n v="107.6307822943719"/>
    <n v="274.27508193736935"/>
    <n v="20.652320779159496"/>
    <n v="0"/>
    <n v="0"/>
    <n v="0"/>
    <n v="0"/>
    <n v="0"/>
    <n v="1.3560340583752433"/>
    <m/>
    <n v="7.11689840933703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921201425326003"/>
    <n v="0"/>
    <n v="0"/>
    <n v="0"/>
    <n v="0"/>
    <n v="0"/>
    <m/>
    <m/>
    <m/>
    <m/>
    <m/>
    <m/>
    <m/>
    <m/>
    <m/>
    <n v="21.544440921692097"/>
    <m/>
    <m/>
    <m/>
    <m/>
    <m/>
    <m/>
    <m/>
    <m/>
    <m/>
    <m/>
    <m/>
    <m/>
    <n v="395.69880000000001"/>
    <n v="-16.847589999999911"/>
    <m/>
    <m/>
    <m/>
    <m/>
    <n v="-9.1734500000000114"/>
    <n v="0.83512000000000042"/>
    <n v="30"/>
    <n v="4.0150634755325711"/>
    <n v="0"/>
    <n v="0"/>
    <n v="0"/>
    <n v="0"/>
    <n v="0"/>
    <n v="0"/>
    <n v="0"/>
    <n v="4.504493714722571"/>
    <n v="0"/>
    <n v="0"/>
    <n v="0.83509031296262393"/>
    <n v="0"/>
    <n v="0"/>
    <n v="0"/>
    <n v="3.6073470724873102E-2"/>
    <n v="0"/>
    <n v="-1.1735720110317489"/>
    <m/>
    <n v="0"/>
    <n v="0"/>
    <n v="0"/>
    <n v="0"/>
    <n v="-0.1784331444722469"/>
    <n v="-8.58886737354074E-3"/>
    <n v="0"/>
    <n v="0"/>
    <m/>
    <m/>
    <m/>
    <n v="274.27508193736935"/>
    <n v="0"/>
    <n v="0"/>
    <n v="-9.1734500000000025"/>
    <n v="0.83512000000000342"/>
    <n v="0"/>
    <n v="0"/>
    <n v="-12.352590088191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1"/>
    <s v="Regular"/>
    <s v="Verde"/>
    <s v="A4"/>
    <s v="Poder público"/>
    <s v="Não se aplica"/>
    <s v="Não se aplica"/>
    <s v="Não se aplica"/>
    <s v="Fora ponta"/>
    <s v="CATIVO"/>
    <x v="7"/>
    <n v="0"/>
    <n v="0"/>
    <n v="4.1619999999999999"/>
    <n v="4.1619999999999999"/>
    <n v="4.1619999999999999"/>
    <n v="4.1619999999999999"/>
    <m/>
    <n v="69.64"/>
    <n v="144.41999999999999"/>
    <m/>
    <n v="890.91771999999992"/>
    <n v="890.91771999999992"/>
    <n v="876.68367999999998"/>
    <n v="0"/>
    <n v="222.32924799188484"/>
    <n v="0"/>
    <n v="0"/>
    <n v="0"/>
    <n v="0"/>
    <n v="0"/>
    <n v="601.0836299500827"/>
    <n v="0"/>
    <n v="0"/>
    <n v="0"/>
    <n v="0"/>
    <n v="0"/>
    <n v="39.467229027676659"/>
    <m/>
    <n v="2.0713658167594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965063169375405"/>
    <n v="0"/>
    <n v="0"/>
    <n v="0"/>
    <n v="0"/>
    <n v="0"/>
    <m/>
    <m/>
    <m/>
    <m/>
    <m/>
    <m/>
    <m/>
    <m/>
    <m/>
    <n v="627.04869311945811"/>
    <m/>
    <m/>
    <m/>
    <m/>
    <m/>
    <m/>
    <m/>
    <m/>
    <m/>
    <m/>
    <m/>
    <m/>
    <n v="876.26240000000007"/>
    <n v="-14.68531999999982"/>
    <m/>
    <m/>
    <m/>
    <m/>
    <n v="-38.540119999999987"/>
    <n v="24.306080000000012"/>
    <n v="30"/>
    <n v="-14.244815772790048"/>
    <n v="0"/>
    <n v="0"/>
    <n v="0"/>
    <n v="0"/>
    <n v="0"/>
    <n v="0"/>
    <n v="0"/>
    <n v="0"/>
    <n v="0"/>
    <n v="0"/>
    <n v="24.305215961891122"/>
    <n v="0"/>
    <n v="0"/>
    <n v="0"/>
    <n v="1.0499145815169335"/>
    <n v="0"/>
    <n v="-34.156690279119857"/>
    <m/>
    <n v="0"/>
    <n v="0"/>
    <n v="0"/>
    <n v="0"/>
    <n v="-5.1932779531013367"/>
    <n v="-0.24997808397675891"/>
    <n v="0"/>
    <n v="0"/>
    <m/>
    <m/>
    <m/>
    <n v="0"/>
    <n v="0"/>
    <n v="0"/>
    <n v="-38.540120000000002"/>
    <n v="24.30608000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2"/>
    <s v="Regular"/>
    <s v="Verde"/>
    <s v="A4"/>
    <s v="Poder público"/>
    <s v="Não se aplica"/>
    <s v="Não se aplica"/>
    <s v="Não se aplica"/>
    <s v="Não se aplica"/>
    <s v="CATIVO"/>
    <x v="7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38"/>
    <n v="131.02000000000001"/>
    <n v="1101.21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0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8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452.99599999999998"/>
    <n v="452.99599999999998"/>
    <n v="452.99599999999998"/>
    <n v="452.99599999999998"/>
    <m/>
    <n v="287.3"/>
    <n v="79.430000000000007"/>
    <m/>
    <n v="166127.22308"/>
    <n v="166127.22308"/>
    <n v="162380.94615999999"/>
    <n v="0"/>
    <n v="15297.917947503272"/>
    <n v="0"/>
    <n v="0"/>
    <n v="0"/>
    <n v="25404.019939686325"/>
    <n v="82693.953268913479"/>
    <n v="35982.37962952369"/>
    <n v="0"/>
    <n v="0"/>
    <n v="0"/>
    <n v="0"/>
    <n v="0"/>
    <n v="2362.6077088759675"/>
    <m/>
    <n v="362.4739699592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5.8109526043422"/>
    <n v="0"/>
    <n v="1267.52"/>
    <n v="5850.2"/>
    <n v="65002.43"/>
    <n v="6"/>
    <m/>
    <m/>
    <m/>
    <m/>
    <m/>
    <m/>
    <m/>
    <m/>
    <m/>
    <n v="40008.190582128031"/>
    <m/>
    <m/>
    <m/>
    <m/>
    <m/>
    <m/>
    <m/>
    <m/>
    <m/>
    <m/>
    <m/>
    <m/>
    <n v="162382.38"/>
    <n v="-3744.8730799999903"/>
    <m/>
    <m/>
    <m/>
    <m/>
    <n v="-5200.3940800000082"/>
    <n v="1454.1171599999971"/>
    <n v="30"/>
    <n v="-23.91289577203861"/>
    <n v="0"/>
    <n v="0"/>
    <n v="0"/>
    <n v="0"/>
    <n v="0"/>
    <n v="0"/>
    <n v="0"/>
    <n v="1063.1925710066134"/>
    <n v="0"/>
    <n v="0"/>
    <n v="1454.971428502955"/>
    <n v="0"/>
    <n v="0"/>
    <n v="0"/>
    <n v="162.78634078407731"/>
    <n v="0"/>
    <n v="-2350.2361923489661"/>
    <m/>
    <n v="0"/>
    <n v="0"/>
    <n v="0"/>
    <n v="0"/>
    <n v="-310.88269505134303"/>
    <n v="-43.744348665376663"/>
    <n v="0"/>
    <n v="0"/>
    <m/>
    <m/>
    <m/>
    <n v="82693.953268913479"/>
    <n v="0"/>
    <n v="0"/>
    <n v="-5200.3940799999982"/>
    <n v="1454.1171599999943"/>
    <n v="0"/>
    <n v="0"/>
    <n v="-3724.3066351032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0.841000000000001"/>
    <n v="19.590540000000001"/>
    <n v="20.841000000000001"/>
    <n v="19.590540000000001"/>
    <m/>
    <n v="522.37"/>
    <n v="144.41999999999999"/>
    <m/>
    <n v="13896.570390000001"/>
    <n v="13896.570390000001"/>
    <n v="13582.913339999999"/>
    <n v="0"/>
    <n v="1279.6577290424232"/>
    <n v="0"/>
    <n v="0"/>
    <n v="0"/>
    <n v="2125.024501773657"/>
    <n v="6917.2783387107056"/>
    <n v="3009.8952262829584"/>
    <n v="0"/>
    <n v="0"/>
    <n v="0"/>
    <n v="0"/>
    <n v="0"/>
    <n v="197.63011056362549"/>
    <m/>
    <n v="30.320637019155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75563686786302"/>
    <n v="0"/>
    <n v="91.41"/>
    <n v="422.81"/>
    <n v="4949.34"/>
    <n v="35"/>
    <m/>
    <m/>
    <m/>
    <m/>
    <n v="814.97480040000028"/>
    <m/>
    <m/>
    <m/>
    <m/>
    <n v="3346.6508631508214"/>
    <m/>
    <m/>
    <m/>
    <m/>
    <m/>
    <m/>
    <m/>
    <m/>
    <m/>
    <m/>
    <m/>
    <m/>
    <n v="12767.586600000001"/>
    <n v="-295.21956660000069"/>
    <m/>
    <m/>
    <m/>
    <m/>
    <n v="-435.36848999999972"/>
    <n v="121.71144000000008"/>
    <n v="30"/>
    <n v="-2.0002932427223641"/>
    <n v="0"/>
    <n v="0"/>
    <n v="0"/>
    <n v="0"/>
    <n v="0"/>
    <n v="0"/>
    <n v="0"/>
    <n v="88.935147620613861"/>
    <n v="0"/>
    <n v="0"/>
    <n v="121.70711337380453"/>
    <n v="0"/>
    <n v="0"/>
    <n v="0"/>
    <n v="13.616937931143468"/>
    <n v="0"/>
    <n v="-196.59524380606695"/>
    <m/>
    <n v="0"/>
    <n v="0"/>
    <n v="0"/>
    <n v="0"/>
    <n v="-26.005071076546102"/>
    <n v="-3.6591772856717455"/>
    <n v="0"/>
    <n v="0"/>
    <m/>
    <m/>
    <m/>
    <n v="6917.2783387107056"/>
    <n v="0"/>
    <n v="0"/>
    <n v="-435.36849000000075"/>
    <n v="121.71144000000004"/>
    <n v="0"/>
    <n v="0"/>
    <n v="-311.5350590380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0.68500000000000005"/>
    <n v="0.64390000000000003"/>
    <n v="0.68500000000000005"/>
    <n v="0.64390000000000003"/>
    <m/>
    <n v="2740.31"/>
    <n v="144.41999999999999"/>
    <m/>
    <n v="1976.0400500000001"/>
    <n v="1976.0400500000001"/>
    <n v="1936.0977"/>
    <n v="0"/>
    <n v="36.591911310533668"/>
    <n v="0"/>
    <n v="0"/>
    <n v="0"/>
    <n v="515.57402707443885"/>
    <n v="1313.8351827069794"/>
    <n v="98.928949186882903"/>
    <n v="0"/>
    <n v="0"/>
    <n v="0"/>
    <n v="0"/>
    <n v="0"/>
    <n v="6.4956876222870052"/>
    <m/>
    <n v="0.340914364363347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734426408030162"/>
    <n v="0"/>
    <n v="0"/>
    <n v="0"/>
    <n v="0"/>
    <n v="0"/>
    <m/>
    <m/>
    <m/>
    <m/>
    <n v="116.16586200000006"/>
    <m/>
    <m/>
    <m/>
    <m/>
    <n v="103.20239182768591"/>
    <m/>
    <m/>
    <m/>
    <m/>
    <m/>
    <m/>
    <m/>
    <m/>
    <m/>
    <m/>
    <m/>
    <m/>
    <n v="1808.9087999999999"/>
    <n v="-48.598847000000205"/>
    <m/>
    <m/>
    <m/>
    <m/>
    <n v="-43.942750000000068"/>
    <n v="4.0004000000000026"/>
    <n v="30"/>
    <n v="19.232996368809722"/>
    <n v="0"/>
    <n v="0"/>
    <n v="0"/>
    <n v="0"/>
    <n v="0"/>
    <n v="0"/>
    <n v="0"/>
    <n v="21.577469892202544"/>
    <n v="0"/>
    <n v="0"/>
    <n v="4.000257792862925"/>
    <n v="0"/>
    <n v="0"/>
    <n v="0"/>
    <n v="0.17279949263313288"/>
    <n v="0"/>
    <n v="-5.6216561367604747"/>
    <m/>
    <n v="0"/>
    <n v="0"/>
    <n v="0"/>
    <n v="0"/>
    <n v="-0.85473219554887425"/>
    <n v="-4.1142476579548337E-2"/>
    <n v="0"/>
    <n v="0"/>
    <m/>
    <m/>
    <m/>
    <n v="1313.8351827069794"/>
    <n v="0"/>
    <n v="0"/>
    <n v="-43.94275000000016"/>
    <n v="4.0003999999999991"/>
    <n v="0"/>
    <n v="0"/>
    <n v="-59.171497974902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4.6870000000000003"/>
    <n v="4.40578"/>
    <n v="4.6870000000000003"/>
    <n v="4.40578"/>
    <m/>
    <n v="69.64"/>
    <n v="144.41999999999999"/>
    <m/>
    <n v="1003.29922"/>
    <n v="1003.29922"/>
    <n v="987.26968000000011"/>
    <n v="0"/>
    <n v="250.37414352185593"/>
    <n v="0"/>
    <n v="0"/>
    <n v="0"/>
    <n v="0"/>
    <n v="0"/>
    <n v="676.90508735608785"/>
    <n v="0"/>
    <n v="0"/>
    <n v="0"/>
    <n v="0"/>
    <n v="0"/>
    <n v="44.445675745487875"/>
    <m/>
    <n v="2.3326505485708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240329426925161"/>
    <n v="0"/>
    <n v="0"/>
    <n v="0"/>
    <n v="0"/>
    <n v="0"/>
    <m/>
    <m/>
    <m/>
    <m/>
    <n v="59.236180800000049"/>
    <m/>
    <m/>
    <m/>
    <m/>
    <n v="706.14541678301305"/>
    <m/>
    <m/>
    <m/>
    <m/>
    <m/>
    <m/>
    <m/>
    <m/>
    <m/>
    <m/>
    <m/>
    <m/>
    <n v="928.92240000000004"/>
    <n v="-14.20886680000001"/>
    <m/>
    <m/>
    <m/>
    <m/>
    <n v="-43.401619999999994"/>
    <n v="27.372080000000018"/>
    <n v="30"/>
    <n v="-16.041675042543488"/>
    <n v="0"/>
    <n v="0"/>
    <n v="0"/>
    <n v="0"/>
    <n v="0"/>
    <n v="0"/>
    <n v="0"/>
    <n v="0"/>
    <n v="0"/>
    <n v="0"/>
    <n v="27.371106971019685"/>
    <n v="0"/>
    <n v="0"/>
    <n v="0"/>
    <n v="1.1823521488634974"/>
    <n v="0"/>
    <n v="-38.465258851089573"/>
    <m/>
    <n v="0"/>
    <n v="0"/>
    <n v="0"/>
    <n v="0"/>
    <n v="-5.8483646723176292"/>
    <n v="-0.28151063901947859"/>
    <n v="0"/>
    <n v="0"/>
    <m/>
    <m/>
    <m/>
    <n v="0"/>
    <n v="0"/>
    <n v="0"/>
    <n v="-43.40161999999998"/>
    <n v="27.372080000000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7"/>
    <s v="Regular"/>
    <s v="Verde"/>
    <s v="A4"/>
    <s v="Serviço público"/>
    <s v="Água, esgoto e saneamento"/>
    <s v="Não se aplica"/>
    <s v="Não se aplica"/>
    <s v="Não se aplica"/>
    <s v="CATIVO"/>
    <x v="7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28"/>
    <n v="176.72"/>
    <n v="1385.05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0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38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6.7210000000000001"/>
    <n v="6.7210000000000001"/>
    <n v="6.7210000000000001"/>
    <n v="6.7210000000000001"/>
    <m/>
    <n v="522.37"/>
    <n v="144.41999999999999"/>
    <m/>
    <n v="4481.4955900000004"/>
    <n v="4481.4955900000004"/>
    <n v="4380.3445400000001"/>
    <n v="0"/>
    <n v="412.67595589914714"/>
    <n v="0"/>
    <n v="0"/>
    <n v="0"/>
    <n v="685.29771490910935"/>
    <n v="2230.7484148781082"/>
    <n v="970.65907662049631"/>
    <n v="0"/>
    <n v="0"/>
    <n v="0"/>
    <n v="0"/>
    <n v="0"/>
    <n v="63.733600743636437"/>
    <m/>
    <n v="9.7780817333979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60009766272766"/>
    <n v="0"/>
    <n v="0"/>
    <n v="0"/>
    <n v="0"/>
    <n v="4"/>
    <m/>
    <m/>
    <m/>
    <m/>
    <m/>
    <m/>
    <m/>
    <m/>
    <m/>
    <n v="1079.259174283224"/>
    <m/>
    <m/>
    <m/>
    <m/>
    <m/>
    <m/>
    <m/>
    <m/>
    <m/>
    <m/>
    <m/>
    <m/>
    <n v="4379.6927999999998"/>
    <n v="-101.8327900000013"/>
    <m/>
    <m/>
    <m/>
    <m/>
    <n v="-140.40168999999992"/>
    <n v="39.250640000000026"/>
    <n v="30"/>
    <n v="-0.64507321550490815"/>
    <n v="0"/>
    <n v="0"/>
    <n v="0"/>
    <n v="0"/>
    <n v="0"/>
    <n v="0"/>
    <n v="0"/>
    <n v="28.680635629679273"/>
    <n v="0"/>
    <n v="0"/>
    <n v="39.249244709243385"/>
    <n v="0"/>
    <n v="0"/>
    <n v="0"/>
    <n v="4.3913171073948121"/>
    <n v="0"/>
    <n v="-63.399867262634984"/>
    <m/>
    <n v="0"/>
    <n v="0"/>
    <n v="0"/>
    <n v="0"/>
    <n v="-8.3863577901955964"/>
    <n v="-1.1800456089918825"/>
    <n v="0"/>
    <n v="0"/>
    <m/>
    <m/>
    <m/>
    <n v="2230.7484148781082"/>
    <n v="0"/>
    <n v="0"/>
    <n v="-140.40168999999969"/>
    <n v="39.250639999999976"/>
    <n v="0"/>
    <n v="0"/>
    <n v="-100.46673056928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8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66.6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90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370.8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391"/>
    <s v="Regular"/>
    <s v="Convencional"/>
    <s v="B2"/>
    <s v="Rural"/>
    <s v="Agropecuária rural"/>
    <s v="IRRIG./AQUIC."/>
    <s v="Não se aplica"/>
    <s v="Não se aplica"/>
    <s v="CATIVO"/>
    <x v="7"/>
    <n v="0"/>
    <n v="0"/>
    <n v="2.2810000000000001"/>
    <n v="2.2810000000000001"/>
    <n v="2.2810000000000001"/>
    <n v="2.2810000000000001"/>
    <m/>
    <n v="522.37"/>
    <n v="144.41999999999999"/>
    <m/>
    <n v="1520.9479900000001"/>
    <n v="1520.9479900000001"/>
    <n v="1486.6189400000001"/>
    <n v="0"/>
    <n v="140.05562496740882"/>
    <n v="0"/>
    <n v="0"/>
    <n v="0"/>
    <n v="232.57909354377003"/>
    <n v="757.08036517437358"/>
    <n v="329.42617970113855"/>
    <n v="0"/>
    <n v="0"/>
    <n v="0"/>
    <n v="0"/>
    <n v="0"/>
    <n v="21.630165644433077"/>
    <m/>
    <n v="3.3185246888678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857137742699273"/>
    <n v="0"/>
    <n v="0"/>
    <n v="0"/>
    <n v="0"/>
    <n v="0"/>
    <m/>
    <m/>
    <m/>
    <m/>
    <m/>
    <n v="178.37420000000003"/>
    <m/>
    <m/>
    <m/>
    <n v="366.2833174438378"/>
    <m/>
    <m/>
    <m/>
    <m/>
    <m/>
    <m/>
    <m/>
    <m/>
    <m/>
    <m/>
    <m/>
    <m/>
    <n v="1307.6711999999998"/>
    <n v="-30.781170000000202"/>
    <m/>
    <m/>
    <m/>
    <m/>
    <n v="-47.65008999999997"/>
    <n v="13.321040000000009"/>
    <n v="30"/>
    <n v="-0.21892754122404767"/>
    <n v="0"/>
    <n v="0"/>
    <n v="0"/>
    <n v="0"/>
    <n v="0"/>
    <n v="0"/>
    <n v="0"/>
    <n v="9.7337494228981711"/>
    <n v="0"/>
    <n v="0"/>
    <n v="13.320566460613577"/>
    <n v="0"/>
    <n v="0"/>
    <n v="0"/>
    <n v="1.4903428540347505"/>
    <n v="0"/>
    <n v="-21.516901833963757"/>
    <m/>
    <n v="0"/>
    <n v="0"/>
    <n v="0"/>
    <n v="0"/>
    <n v="-2.846195821966397"/>
    <n v="-0.40048862284042253"/>
    <n v="0"/>
    <n v="0"/>
    <m/>
    <m/>
    <m/>
    <n v="757.08036517437358"/>
    <n v="0"/>
    <n v="0"/>
    <n v="-47.650090000000091"/>
    <n v="13.321040000000039"/>
    <n v="0"/>
    <n v="0"/>
    <n v="-34.09680292047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2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-5.9180000000000001"/>
    <n v="-5.9180000000000001"/>
    <n v="-5.9180000000000001"/>
    <n v="-5.9180000000000001"/>
    <m/>
    <n v="522.37"/>
    <n v="144.41999999999999"/>
    <m/>
    <n v="-3946.06322"/>
    <n v="-3946.06322"/>
    <n v="-3856.9973199999999"/>
    <n v="0"/>
    <n v="-363.37097262478096"/>
    <n v="0"/>
    <n v="0"/>
    <n v="0"/>
    <n v="-603.42090118019769"/>
    <n v="-1964.2269185015093"/>
    <n v="-854.68835224521615"/>
    <n v="0"/>
    <n v="0"/>
    <n v="0"/>
    <n v="0"/>
    <n v="0"/>
    <n v="-56.118947954298534"/>
    <m/>
    <n v="-8.6098330156597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5.624963244758561"/>
    <n v="0"/>
    <n v="0"/>
    <n v="0"/>
    <n v="0"/>
    <n v="0"/>
    <m/>
    <m/>
    <m/>
    <m/>
    <m/>
    <n v="-462.78760000000011"/>
    <m/>
    <m/>
    <m/>
    <n v="-950.31331548997468"/>
    <m/>
    <m/>
    <m/>
    <m/>
    <m/>
    <m/>
    <m/>
    <m/>
    <m/>
    <m/>
    <m/>
    <m/>
    <n v="-3395.3567999999996"/>
    <n v="77.118060000000241"/>
    <m/>
    <m/>
    <m/>
    <m/>
    <n v="123.62701999999992"/>
    <n v="-34.561120000000024"/>
    <n v="30"/>
    <n v="0.568002274863602"/>
    <n v="0"/>
    <n v="0"/>
    <n v="0"/>
    <n v="0"/>
    <n v="0"/>
    <n v="0"/>
    <n v="0"/>
    <n v="-25.253980308948485"/>
    <n v="0"/>
    <n v="0"/>
    <n v="-34.559891413376249"/>
    <n v="0"/>
    <n v="0"/>
    <n v="0"/>
    <n v="-3.8666589259875792"/>
    <n v="0"/>
    <n v="55.825087704251416"/>
    <m/>
    <n v="0"/>
    <n v="0"/>
    <n v="0"/>
    <n v="0"/>
    <n v="7.3843870558514411"/>
    <n v="1.0390581630730473"/>
    <n v="0"/>
    <n v="0"/>
    <m/>
    <m/>
    <m/>
    <n v="-1964.2269185015093"/>
    <n v="0"/>
    <n v="0"/>
    <n v="123.6270199999999"/>
    <n v="-34.56111999999996"/>
    <n v="0"/>
    <n v="0"/>
    <n v="88.463340501267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3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0.67900000000000005"/>
    <n v="0.27160000000000001"/>
    <n v="0.67900000000000005"/>
    <n v="0.27160000000000001"/>
    <m/>
    <n v="522.37"/>
    <n v="144.41999999999999"/>
    <m/>
    <n v="452.75040999999999"/>
    <n v="452.75040999999999"/>
    <n v="442.53146000000004"/>
    <n v="0"/>
    <n v="41.69126232041674"/>
    <n v="0"/>
    <n v="0"/>
    <n v="0"/>
    <n v="69.233320699789502"/>
    <n v="225.36500129478284"/>
    <n v="98.062418245099991"/>
    <n v="0"/>
    <n v="0"/>
    <n v="0"/>
    <n v="0"/>
    <n v="0"/>
    <n v="6.4387910883691628"/>
    <m/>
    <n v="0.9878466741522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971502203986324"/>
    <n v="0"/>
    <n v="0"/>
    <n v="0"/>
    <n v="0"/>
    <n v="0"/>
    <m/>
    <m/>
    <m/>
    <m/>
    <m/>
    <m/>
    <n v="286.75799600000005"/>
    <m/>
    <m/>
    <n v="109.03392044908631"/>
    <m/>
    <m/>
    <m/>
    <m/>
    <m/>
    <m/>
    <m/>
    <m/>
    <m/>
    <m/>
    <m/>
    <m/>
    <n v="154.85580000000002"/>
    <n v="-4.540931999999998"/>
    <m/>
    <m/>
    <m/>
    <m/>
    <n v="-14.184309999999991"/>
    <n v="3.9653600000000027"/>
    <n v="30"/>
    <n v="-6.5169574963249488E-2"/>
    <n v="0"/>
    <n v="0"/>
    <n v="0"/>
    <n v="0"/>
    <n v="0"/>
    <n v="0"/>
    <n v="0"/>
    <n v="2.8975080482892821"/>
    <n v="0"/>
    <n v="0"/>
    <n v="3.9652190384728812"/>
    <n v="0"/>
    <n v="0"/>
    <n v="0"/>
    <n v="0.44363998153862205"/>
    <n v="0"/>
    <n v="-6.4050751184837296"/>
    <m/>
    <n v="0"/>
    <n v="0"/>
    <n v="0"/>
    <n v="0"/>
    <n v="-0.84724549018640261"/>
    <n v="-0.11921603459388286"/>
    <n v="0"/>
    <n v="0"/>
    <m/>
    <m/>
    <m/>
    <n v="225.36500129478284"/>
    <n v="0"/>
    <n v="0"/>
    <n v="-14.184309999999982"/>
    <n v="3.965360000000004"/>
    <n v="0"/>
    <n v="0"/>
    <n v="-10.149815512058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4"/>
    <s v="Regular"/>
    <s v="Convencional"/>
    <s v="B1"/>
    <s v="Residencial"/>
    <s v="Residencial"/>
    <s v="Não se aplica"/>
    <s v="Não se aplica"/>
    <s v="Não se aplica"/>
    <s v="CATIVO"/>
    <x v="8"/>
    <n v="0"/>
    <n v="0"/>
    <n v="2203.4090000000001"/>
    <n v="2203.4090000000001"/>
    <n v="2203.4090000000001"/>
    <n v="2203.4090000000001"/>
    <m/>
    <n v="522.37"/>
    <n v="144.41999999999999"/>
    <m/>
    <n v="1469211.08711"/>
    <n v="1469211.08711"/>
    <n v="1436049.7816600001"/>
    <n v="0"/>
    <n v="135291.46188242582"/>
    <n v="0"/>
    <n v="0"/>
    <n v="0"/>
    <n v="224667.63170810381"/>
    <n v="731327.35219136393"/>
    <n v="318220.34598382551"/>
    <n v="0"/>
    <n v="0"/>
    <n v="0"/>
    <n v="0"/>
    <n v="0"/>
    <n v="20894.389150563195"/>
    <m/>
    <n v="3205.64101980430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03.397201448162"/>
    <n v="0"/>
    <n v="406.38"/>
    <n v="1892.92"/>
    <n v="254527.27"/>
    <n v="11959"/>
    <m/>
    <m/>
    <m/>
    <m/>
    <m/>
    <m/>
    <m/>
    <m/>
    <m/>
    <n v="353823.74318527366"/>
    <m/>
    <m/>
    <m/>
    <m/>
    <m/>
    <m/>
    <m/>
    <m/>
    <m/>
    <m/>
    <m/>
    <m/>
    <n v="1436050.4334"/>
    <n v="-33160.683710000012"/>
    <m/>
    <m/>
    <m/>
    <m/>
    <n v="-46029.214009999974"/>
    <n v="12867.908560000009"/>
    <n v="31"/>
    <n v="-211.48045360832475"/>
    <n v="0"/>
    <n v="0"/>
    <n v="0"/>
    <n v="0"/>
    <n v="0"/>
    <n v="0"/>
    <n v="0"/>
    <n v="9402.6440518012387"/>
    <n v="0"/>
    <n v="0"/>
    <n v="12867.451128633984"/>
    <n v="0"/>
    <n v="0"/>
    <n v="0"/>
    <n v="1439.6470222121279"/>
    <n v="0"/>
    <n v="-20784.97814689709"/>
    <m/>
    <n v="0"/>
    <n v="0"/>
    <n v="0"/>
    <n v="0"/>
    <n v="-2749.378996003139"/>
    <n v="-386.86551335563036"/>
    <n v="0"/>
    <n v="0"/>
    <m/>
    <m/>
    <m/>
    <n v="731327.35219136393"/>
    <n v="0"/>
    <n v="0"/>
    <n v="-46029.214009999996"/>
    <n v="12867.908560000011"/>
    <n v="0"/>
    <n v="0"/>
    <n v="-32936.958538451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5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3.4849999999999999"/>
    <n v="-3.4849999999999999"/>
    <n v="-3.4849999999999999"/>
    <n v="-3.4849999999999999"/>
    <m/>
    <n v="522.37"/>
    <n v="144.41999999999999"/>
    <m/>
    <n v="-2323.7631499999998"/>
    <n v="-2323.7631499999998"/>
    <n v="-2271.3139000000001"/>
    <n v="0"/>
    <n v="-213.98239939124053"/>
    <n v="0"/>
    <n v="0"/>
    <n v="0"/>
    <n v="-355.34333231040705"/>
    <n v="-1156.6966561300708"/>
    <n v="-503.31005535224364"/>
    <n v="0"/>
    <n v="0"/>
    <n v="0"/>
    <n v="0"/>
    <n v="0"/>
    <n v="-33.047403450613444"/>
    <m/>
    <n v="-5.0701703378800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6.311760207499759"/>
    <n v="0"/>
    <n v="-0.95"/>
    <n v="-4.4400000000000004"/>
    <n v="-513.04999999999995"/>
    <n v="0"/>
    <m/>
    <m/>
    <m/>
    <m/>
    <m/>
    <m/>
    <m/>
    <m/>
    <m/>
    <n v="-559.62181555974337"/>
    <m/>
    <m/>
    <m/>
    <m/>
    <m/>
    <m/>
    <m/>
    <m/>
    <m/>
    <m/>
    <m/>
    <m/>
    <n v="-2274.5726000000004"/>
    <n v="49.160549999999603"/>
    <m/>
    <m/>
    <m/>
    <m/>
    <n v="72.801649999999952"/>
    <n v="-20.35240000000001"/>
    <n v="31"/>
    <n v="0.33448596280845777"/>
    <n v="0"/>
    <n v="0"/>
    <n v="0"/>
    <n v="0"/>
    <n v="0"/>
    <n v="0"/>
    <n v="0"/>
    <n v="-14.871598745637925"/>
    <n v="0"/>
    <n v="0"/>
    <n v="-20.351676508215007"/>
    <n v="0"/>
    <n v="0"/>
    <n v="0"/>
    <n v="-2.277003439855811"/>
    <n v="0"/>
    <n v="32.874354621378188"/>
    <m/>
    <n v="0"/>
    <n v="0"/>
    <n v="0"/>
    <n v="0"/>
    <n v="4.3485280313690886"/>
    <n v="0.6118820037697823"/>
    <n v="0"/>
    <n v="0"/>
    <m/>
    <m/>
    <m/>
    <n v="-1156.6966561300708"/>
    <n v="0"/>
    <n v="0"/>
    <n v="72.801650000000109"/>
    <n v="-20.352399999999989"/>
    <n v="0"/>
    <n v="0"/>
    <n v="52.09441393155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6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3.932"/>
    <n v="13.932"/>
    <n v="13.932"/>
    <n v="13.932"/>
    <m/>
    <n v="522.37"/>
    <n v="144.41999999999999"/>
    <m/>
    <n v="9289.7182799999991"/>
    <n v="9289.7182799999991"/>
    <n v="9080.0416800000003"/>
    <n v="0"/>
    <n v="855.43838976148163"/>
    <n v="0"/>
    <n v="0"/>
    <n v="0"/>
    <n v="1420.5576200139431"/>
    <n v="4624.1313667730701"/>
    <n v="2012.0848468199308"/>
    <n v="0"/>
    <n v="0"/>
    <n v="0"/>
    <n v="0"/>
    <n v="0"/>
    <n v="132.11375175723001"/>
    <m/>
    <n v="20.269042509998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11777423554855"/>
    <n v="0"/>
    <n v="2.63"/>
    <n v="12.27"/>
    <n v="5897.35"/>
    <n v="112"/>
    <m/>
    <m/>
    <m/>
    <m/>
    <m/>
    <m/>
    <m/>
    <m/>
    <m/>
    <n v="2237.2026210554795"/>
    <m/>
    <m/>
    <m/>
    <m/>
    <m/>
    <m/>
    <m/>
    <m/>
    <m/>
    <m/>
    <m/>
    <m/>
    <n v="9078.7381999999998"/>
    <n v="-211.01008000000002"/>
    <m/>
    <m/>
    <m/>
    <m/>
    <n v="-291.0394799999998"/>
    <n v="81.362880000000047"/>
    <n v="31"/>
    <n v="-1.337176021189407"/>
    <n v="0"/>
    <n v="0"/>
    <n v="0"/>
    <n v="0"/>
    <n v="0"/>
    <n v="0"/>
    <n v="0"/>
    <n v="59.452256448845674"/>
    <n v="0"/>
    <n v="0"/>
    <n v="81.35998769367302"/>
    <n v="0"/>
    <n v="0"/>
    <n v="0"/>
    <n v="9.1027867787865659"/>
    <n v="0"/>
    <n v="-131.42195368293869"/>
    <m/>
    <n v="0"/>
    <n v="0"/>
    <n v="0"/>
    <n v="0"/>
    <n v="-17.384129851659736"/>
    <n v="-2.4461234078968737"/>
    <n v="0"/>
    <n v="0"/>
    <m/>
    <m/>
    <m/>
    <n v="4624.1313667730701"/>
    <n v="0"/>
    <n v="0"/>
    <n v="-291.03947999999946"/>
    <n v="81.362880000000359"/>
    <n v="0"/>
    <n v="0"/>
    <n v="-208.25807027098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7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8.239999999999998"/>
    <n v="18.239999999999998"/>
    <n v="18.239999999999998"/>
    <n v="18.239999999999998"/>
    <m/>
    <n v="451.48"/>
    <n v="144.41999999999999"/>
    <m/>
    <n v="10869.215999999999"/>
    <n v="10869.215999999999"/>
    <n v="10789.689599999998"/>
    <n v="0"/>
    <n v="0"/>
    <n v="0"/>
    <n v="0"/>
    <n v="0"/>
    <n v="1859.8170391224749"/>
    <n v="6053.9876636477738"/>
    <n v="2634.2540630200642"/>
    <n v="0"/>
    <n v="0"/>
    <n v="0"/>
    <n v="0"/>
    <n v="0"/>
    <n v="0"/>
    <m/>
    <n v="26.536558669421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.72783534714364"/>
    <n v="0"/>
    <n v="1.01"/>
    <n v="4.3899999999999997"/>
    <n v="456.54"/>
    <n v="12"/>
    <m/>
    <m/>
    <m/>
    <m/>
    <m/>
    <m/>
    <m/>
    <n v="7013.2799999999988"/>
    <m/>
    <n v="2928.981898367208"/>
    <m/>
    <m/>
    <m/>
    <m/>
    <m/>
    <m/>
    <m/>
    <m/>
    <m/>
    <m/>
    <m/>
    <m/>
    <n v="3776.4095999999995"/>
    <n v="-27.937200000000757"/>
    <m/>
    <m/>
    <m/>
    <m/>
    <n v="-186.04800000000083"/>
    <n v="106.52160000000005"/>
    <n v="31"/>
    <n v="193.06868167130142"/>
    <n v="0"/>
    <n v="0"/>
    <n v="0"/>
    <n v="0"/>
    <n v="0"/>
    <n v="0"/>
    <n v="0"/>
    <n v="77.835856849479114"/>
    <n v="0"/>
    <n v="0"/>
    <n v="106.51781334572206"/>
    <n v="0"/>
    <n v="0"/>
    <n v="0"/>
    <n v="11.917515851641326"/>
    <n v="0"/>
    <n v="0"/>
    <m/>
    <n v="0"/>
    <n v="0"/>
    <n v="0"/>
    <n v="0"/>
    <n v="0"/>
    <n v="-3.2025043755411247"/>
    <n v="0"/>
    <n v="0"/>
    <m/>
    <m/>
    <m/>
    <n v="6053.9876636477738"/>
    <n v="0"/>
    <n v="0"/>
    <n v="-186.04800000000068"/>
    <n v="106.52160000000003"/>
    <n v="0"/>
    <n v="0"/>
    <n v="-272.6548379086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8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38.965000000000003"/>
    <n v="38.965000000000003"/>
    <n v="38.965000000000003"/>
    <n v="38.965000000000003"/>
    <m/>
    <n v="451.48"/>
    <n v="144.41999999999999"/>
    <m/>
    <n v="23219.243500000004"/>
    <n v="23219.243500000004"/>
    <n v="23049.356100000001"/>
    <n v="0"/>
    <n v="0"/>
    <n v="0"/>
    <n v="0"/>
    <n v="0"/>
    <n v="3973.0137570946954"/>
    <n v="12932.764765023878"/>
    <n v="5627.396357761887"/>
    <n v="0"/>
    <n v="0"/>
    <n v="0"/>
    <n v="0"/>
    <n v="0"/>
    <n v="0"/>
    <m/>
    <n v="56.688432486512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9.60910659547437"/>
    <n v="0"/>
    <n v="3.67"/>
    <n v="16.940000000000001"/>
    <n v="1673.18"/>
    <n v="97"/>
    <m/>
    <m/>
    <m/>
    <m/>
    <m/>
    <m/>
    <m/>
    <n v="9219.5086499999998"/>
    <m/>
    <n v="6257.0054643573612"/>
    <m/>
    <m/>
    <m/>
    <m/>
    <m/>
    <m/>
    <m/>
    <m/>
    <m/>
    <m/>
    <m/>
    <m/>
    <n v="13831.622099999999"/>
    <n v="-99.954000000001543"/>
    <m/>
    <m/>
    <m/>
    <m/>
    <n v="-397.4430000000018"/>
    <n v="227.55560000000014"/>
    <n v="31"/>
    <n v="412.44085423915749"/>
    <n v="0"/>
    <n v="0"/>
    <n v="0"/>
    <n v="0"/>
    <n v="0"/>
    <n v="0"/>
    <n v="0"/>
    <n v="166.2759957313574"/>
    <n v="0"/>
    <n v="0"/>
    <n v="227.54751080131882"/>
    <n v="0"/>
    <n v="0"/>
    <n v="0"/>
    <n v="25.458662563552934"/>
    <n v="0"/>
    <n v="0"/>
    <m/>
    <n v="0"/>
    <n v="0"/>
    <n v="0"/>
    <n v="0"/>
    <n v="0"/>
    <n v="-6.8413148570701736"/>
    <n v="0"/>
    <n v="0"/>
    <m/>
    <m/>
    <m/>
    <n v="12932.764765023878"/>
    <n v="0"/>
    <n v="0"/>
    <n v="-397.44300000000294"/>
    <n v="227.55559999999969"/>
    <n v="0"/>
    <n v="0"/>
    <n v="-582.45590784587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399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40.914999999999999"/>
    <n v="40.914999999999999"/>
    <n v="40.914999999999999"/>
    <n v="40.914999999999999"/>
    <m/>
    <n v="451.48"/>
    <n v="144.41999999999999"/>
    <m/>
    <n v="24381.248499999998"/>
    <n v="24381.248499999998"/>
    <n v="24202.859100000001"/>
    <n v="0"/>
    <n v="0"/>
    <n v="0"/>
    <n v="0"/>
    <n v="0"/>
    <n v="4171.8428813429855"/>
    <n v="13579.983840907274"/>
    <n v="5909.0189138413343"/>
    <n v="0"/>
    <n v="0"/>
    <n v="0"/>
    <n v="0"/>
    <n v="0"/>
    <n v="0"/>
    <m/>
    <n v="59.525400107421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11783899278407"/>
    <n v="0"/>
    <n v="5.45"/>
    <n v="25.89"/>
    <n v="4436.5200000000004"/>
    <n v="311"/>
    <m/>
    <m/>
    <m/>
    <m/>
    <m/>
    <m/>
    <m/>
    <n v="2420.122249999999"/>
    <m/>
    <n v="6570.1367528341179"/>
    <m/>
    <m/>
    <m/>
    <m/>
    <m/>
    <m/>
    <m/>
    <m/>
    <m/>
    <m/>
    <m/>
    <m/>
    <n v="21785.398800000003"/>
    <n v="-158.16399999999339"/>
    <m/>
    <m/>
    <m/>
    <m/>
    <n v="-417.33300000000185"/>
    <n v="238.94360000000015"/>
    <n v="31"/>
    <n v="433.08142053625488"/>
    <n v="0"/>
    <n v="0"/>
    <n v="0"/>
    <n v="0"/>
    <n v="0"/>
    <n v="0"/>
    <n v="0"/>
    <n v="174.5972633221736"/>
    <n v="0"/>
    <n v="0"/>
    <n v="238.93510597808199"/>
    <n v="0"/>
    <n v="0"/>
    <n v="0"/>
    <n v="26.73273909374484"/>
    <n v="0"/>
    <n v="0"/>
    <m/>
    <n v="0"/>
    <n v="0"/>
    <n v="0"/>
    <n v="0"/>
    <n v="0"/>
    <n v="-7.1836878577448005"/>
    <n v="0"/>
    <n v="0"/>
    <m/>
    <m/>
    <m/>
    <n v="13579.983840907274"/>
    <n v="0"/>
    <n v="0"/>
    <n v="-417.33299999999872"/>
    <n v="238.94360000000052"/>
    <n v="0"/>
    <n v="0"/>
    <n v="-611.6048625564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0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3.004"/>
    <n v="13.004"/>
    <n v="13.004"/>
    <n v="13.004"/>
    <m/>
    <n v="451.48"/>
    <n v="144.41999999999999"/>
    <m/>
    <n v="7749.0835999999999"/>
    <n v="7749.0835999999999"/>
    <n v="7692.3861599999991"/>
    <n v="0"/>
    <n v="0"/>
    <n v="0"/>
    <n v="0"/>
    <n v="0"/>
    <n v="1325.9353496024487"/>
    <n v="4316.121468096253"/>
    <n v="1878.0613944908398"/>
    <n v="0"/>
    <n v="0"/>
    <n v="0"/>
    <n v="0"/>
    <n v="0"/>
    <n v="0"/>
    <m/>
    <n v="18.918936893484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.12284927929034"/>
    <n v="0"/>
    <n v="0.73"/>
    <n v="3.58"/>
    <n v="2279.62"/>
    <n v="186"/>
    <m/>
    <m/>
    <m/>
    <m/>
    <m/>
    <m/>
    <m/>
    <m/>
    <m/>
    <n v="2088.1842437701303"/>
    <m/>
    <m/>
    <m/>
    <m/>
    <m/>
    <m/>
    <m/>
    <m/>
    <m/>
    <m/>
    <m/>
    <m/>
    <n v="7690.0199999999995"/>
    <n v="-59.093600000001061"/>
    <m/>
    <m/>
    <m/>
    <m/>
    <n v="-132.64080000000058"/>
    <n v="75.943360000000041"/>
    <n v="31"/>
    <n v="137.64611493714938"/>
    <n v="0"/>
    <n v="0"/>
    <n v="0"/>
    <n v="0"/>
    <n v="0"/>
    <n v="0"/>
    <n v="0"/>
    <n v="55.492186538959913"/>
    <n v="0"/>
    <n v="0"/>
    <n v="75.94066034801358"/>
    <n v="0"/>
    <n v="0"/>
    <n v="0"/>
    <n v="8.4964570249311464"/>
    <n v="0"/>
    <n v="0"/>
    <m/>
    <n v="0"/>
    <n v="0"/>
    <n v="0"/>
    <n v="0"/>
    <n v="0"/>
    <n v="-2.2831889747553085"/>
    <n v="0"/>
    <n v="0"/>
    <m/>
    <m/>
    <m/>
    <n v="4316.121468096253"/>
    <n v="0"/>
    <n v="0"/>
    <n v="-132.64080000000104"/>
    <n v="75.943360000000212"/>
    <n v="0"/>
    <n v="0"/>
    <n v="-194.38615746510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1"/>
    <s v="Regular"/>
    <s v="Convencional"/>
    <s v="B3"/>
    <s v="Industrial"/>
    <s v="Não se aplica"/>
    <s v="Não se aplica"/>
    <s v="Não se aplica"/>
    <s v="Não se aplica"/>
    <s v="CATIVO"/>
    <x v="8"/>
    <n v="0"/>
    <n v="0"/>
    <n v="346.29300000000001"/>
    <n v="346.29300000000001"/>
    <n v="346.29300000000001"/>
    <n v="346.29300000000001"/>
    <m/>
    <n v="522.37"/>
    <n v="144.41999999999999"/>
    <m/>
    <n v="230904.70947"/>
    <n v="230904.70947"/>
    <n v="225692.99982000003"/>
    <n v="0"/>
    <n v="21262.727986338843"/>
    <n v="0"/>
    <n v="0"/>
    <n v="0"/>
    <n v="35309.299447853024"/>
    <n v="114937.14638199445"/>
    <n v="50012.266570471882"/>
    <n v="0"/>
    <n v="0"/>
    <n v="0"/>
    <n v="0"/>
    <n v="0"/>
    <n v="3283.8119033352318"/>
    <m/>
    <n v="503.80616838321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95.5145990059436"/>
    <n v="0"/>
    <n v="25.3"/>
    <n v="119.04"/>
    <n v="67208.899999999994"/>
    <n v="567"/>
    <m/>
    <m/>
    <m/>
    <m/>
    <m/>
    <m/>
    <m/>
    <m/>
    <m/>
    <n v="55607.781169477828"/>
    <m/>
    <m/>
    <m/>
    <m/>
    <m/>
    <m/>
    <m/>
    <m/>
    <m/>
    <m/>
    <m/>
    <m/>
    <n v="225691.04460000002"/>
    <n v="-5213.6948700000066"/>
    <m/>
    <m/>
    <m/>
    <m/>
    <n v="-7234.0607699999955"/>
    <n v="2022.3511200000012"/>
    <n v="31"/>
    <n v="-33.236771167503321"/>
    <n v="0"/>
    <n v="0"/>
    <n v="0"/>
    <n v="0"/>
    <n v="0"/>
    <n v="0"/>
    <n v="0"/>
    <n v="1477.7419065776776"/>
    <n v="0"/>
    <n v="0"/>
    <n v="2022.2792289983627"/>
    <n v="0"/>
    <n v="0"/>
    <n v="0"/>
    <n v="226.25835070243647"/>
    <n v="0"/>
    <n v="-3266.6166097276691"/>
    <m/>
    <n v="0"/>
    <n v="0"/>
    <n v="0"/>
    <n v="0"/>
    <n v="-432.09894334774663"/>
    <n v="-60.800704370573669"/>
    <n v="0"/>
    <n v="0"/>
    <m/>
    <m/>
    <m/>
    <n v="114937.14638199445"/>
    <n v="0"/>
    <n v="0"/>
    <n v="-7234.0607699999819"/>
    <n v="2022.3511200000066"/>
    <n v="0"/>
    <n v="0"/>
    <n v="-5176.450755695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2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4.0880000000000001"/>
    <n v="4.0880000000000001"/>
    <n v="4.0880000000000001"/>
    <n v="4.0880000000000001"/>
    <m/>
    <n v="522.37"/>
    <n v="144.41999999999999"/>
    <m/>
    <n v="2725.83752"/>
    <n v="2725.83752"/>
    <n v="2664.3131199999998"/>
    <n v="0"/>
    <n v="251.0071875785915"/>
    <n v="0"/>
    <n v="0"/>
    <n v="0"/>
    <n v="416.82741534718627"/>
    <n v="1356.8367088263212"/>
    <n v="590.3964150014267"/>
    <n v="0"/>
    <n v="0"/>
    <n v="0"/>
    <n v="0"/>
    <n v="0"/>
    <n v="38.765505109356603"/>
    <m/>
    <n v="5.94744801757639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055229764206317"/>
    <n v="0"/>
    <n v="0"/>
    <n v="0"/>
    <n v="4914.6000000000004"/>
    <n v="9"/>
    <m/>
    <m/>
    <m/>
    <m/>
    <m/>
    <m/>
    <m/>
    <m/>
    <m/>
    <n v="656.45164476563298"/>
    <m/>
    <m/>
    <m/>
    <m/>
    <m/>
    <m/>
    <m/>
    <m/>
    <m/>
    <m/>
    <m/>
    <m/>
    <n v="2665.6165999999998"/>
    <n v="-60.25092000000086"/>
    <m/>
    <m/>
    <m/>
    <m/>
    <n v="-85.398319999999941"/>
    <n v="23.873920000000016"/>
    <n v="31"/>
    <n v="-0.39236115235598845"/>
    <n v="0"/>
    <n v="0"/>
    <n v="0"/>
    <n v="0"/>
    <n v="0"/>
    <n v="0"/>
    <n v="0"/>
    <n v="17.444790723721042"/>
    <n v="0"/>
    <n v="0"/>
    <n v="23.873071324414013"/>
    <n v="0"/>
    <n v="0"/>
    <n v="0"/>
    <n v="2.6709871053459295"/>
    <n v="0"/>
    <n v="-38.562514115407197"/>
    <m/>
    <n v="0"/>
    <n v="0"/>
    <n v="0"/>
    <n v="0"/>
    <n v="-5.1009419202975153"/>
    <n v="-0.71775427013224391"/>
    <n v="0"/>
    <n v="0"/>
    <m/>
    <m/>
    <m/>
    <n v="1356.8367088263212"/>
    <n v="0"/>
    <n v="0"/>
    <n v="-85.39832000000024"/>
    <n v="23.873919999999998"/>
    <n v="0"/>
    <n v="0"/>
    <n v="-61.108167618989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3"/>
    <s v="Regular"/>
    <s v="Azul"/>
    <s v="A4"/>
    <s v="Industrial"/>
    <s v="Não se aplica"/>
    <s v="Não se aplica"/>
    <s v="Não se aplica"/>
    <s v="Ponta"/>
    <s v="CATIVO"/>
    <x v="8"/>
    <n v="100"/>
    <n v="100"/>
    <n v="2.9580000000000002"/>
    <n v="2.9580000000000002"/>
    <n v="2.9580000000000002"/>
    <n v="2.9580000000000002"/>
    <n v="111"/>
    <n v="69.64"/>
    <n v="144.41999999999999"/>
    <n v="11100"/>
    <n v="633.18948"/>
    <n v="11733.189479999999"/>
    <n v="11494.073120000001"/>
    <n v="0"/>
    <n v="158.01295424315123"/>
    <n v="0"/>
    <n v="0"/>
    <n v="0"/>
    <n v="3124.5310721648098"/>
    <n v="7975.1075333797698"/>
    <n v="427.19975429897761"/>
    <n v="0"/>
    <n v="0"/>
    <n v="0"/>
    <n v="0"/>
    <n v="0"/>
    <n v="28.049991221496292"/>
    <m/>
    <n v="1.4721528318055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45378588539463"/>
    <n v="0"/>
    <n v="0"/>
    <n v="0"/>
    <n v="0"/>
    <n v="0"/>
    <m/>
    <m/>
    <m/>
    <m/>
    <m/>
    <m/>
    <m/>
    <m/>
    <m/>
    <n v="445.65354018437222"/>
    <m/>
    <m/>
    <m/>
    <m/>
    <m/>
    <m/>
    <m/>
    <m/>
    <m/>
    <m/>
    <m/>
    <m/>
    <n v="11494.4944"/>
    <n v="-238.72508000000016"/>
    <m/>
    <m/>
    <m/>
    <m/>
    <n v="-256.39108000000061"/>
    <n v="17.274720000000013"/>
    <n v="31"/>
    <n v="120.64183002839582"/>
    <n v="0"/>
    <n v="0"/>
    <n v="0"/>
    <n v="0"/>
    <n v="0"/>
    <n v="0"/>
    <n v="0"/>
    <n v="130.76584854255043"/>
    <n v="0"/>
    <n v="0"/>
    <n v="17.274105914289748"/>
    <n v="0"/>
    <n v="0"/>
    <n v="0"/>
    <n v="0.74619109373548653"/>
    <n v="0"/>
    <n v="-24.275706354069314"/>
    <m/>
    <n v="0"/>
    <n v="0"/>
    <n v="0"/>
    <n v="0"/>
    <n v="-3.6909457436986415"/>
    <n v="-0.17766342441212246"/>
    <n v="0"/>
    <n v="0"/>
    <m/>
    <m/>
    <n v="7975.1075333797698"/>
    <n v="0"/>
    <n v="0"/>
    <n v="0"/>
    <n v="-256.39107999999942"/>
    <n v="17.274720000000002"/>
    <n v="0"/>
    <n v="0"/>
    <n v="-359.17675631788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4"/>
    <s v="Regular"/>
    <s v="Azul"/>
    <s v="A4"/>
    <s v="Industrial"/>
    <s v="Não se aplica"/>
    <s v="Não se aplica"/>
    <s v="Não se aplica"/>
    <s v="Fora ponta"/>
    <s v="CATIVO"/>
    <x v="8"/>
    <n v="3128"/>
    <n v="3128"/>
    <n v="1152.1600000000001"/>
    <n v="1152.1600000000001"/>
    <n v="1152.1600000000001"/>
    <n v="1152.1600000000001"/>
    <n v="34.950000000000003"/>
    <n v="69.64"/>
    <n v="144.41999999999999"/>
    <n v="109323.6"/>
    <n v="246631.36960000001"/>
    <n v="355954.96960000001"/>
    <n v="350544.42240000004"/>
    <n v="0"/>
    <n v="61547.060635831345"/>
    <n v="0"/>
    <n v="0"/>
    <n v="0"/>
    <n v="39631.070311774936"/>
    <n v="69706.879400831851"/>
    <n v="166397.04831410074"/>
    <n v="0"/>
    <n v="0"/>
    <n v="0"/>
    <n v="0"/>
    <n v="0"/>
    <n v="10925.651753130212"/>
    <m/>
    <n v="573.4129840071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87.8681358067197"/>
    <n v="0"/>
    <n v="0"/>
    <n v="0"/>
    <n v="0"/>
    <n v="0"/>
    <m/>
    <m/>
    <m/>
    <m/>
    <m/>
    <m/>
    <m/>
    <m/>
    <m/>
    <n v="173584.91644990747"/>
    <m/>
    <m/>
    <m/>
    <m/>
    <m/>
    <m/>
    <m/>
    <m/>
    <m/>
    <m/>
    <m/>
    <m/>
    <n v="350544.42240000004"/>
    <n v="-5410.5771999999997"/>
    <m/>
    <m/>
    <m/>
    <m/>
    <n v="-12139.161600000016"/>
    <n v="6728.614400000004"/>
    <n v="31"/>
    <n v="-2284.7563818400959"/>
    <n v="0"/>
    <n v="0"/>
    <n v="0"/>
    <n v="0"/>
    <n v="0"/>
    <n v="0"/>
    <n v="0"/>
    <n v="1658.6138586158268"/>
    <n v="0"/>
    <n v="0"/>
    <n v="6728.3752096714452"/>
    <n v="0"/>
    <n v="0"/>
    <n v="0"/>
    <n v="290.64622398859956"/>
    <n v="0"/>
    <n v="-9455.5435540583203"/>
    <m/>
    <n v="0"/>
    <n v="0"/>
    <n v="0"/>
    <n v="0"/>
    <n v="-1437.6470750709359"/>
    <n v="-69.201044986704119"/>
    <n v="0"/>
    <n v="0"/>
    <m/>
    <m/>
    <n v="69706.879400831851"/>
    <n v="0"/>
    <n v="0"/>
    <n v="0"/>
    <n v="-12139.161600000021"/>
    <n v="6728.6144000000204"/>
    <n v="0"/>
    <n v="0"/>
    <n v="-3139.4047956642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5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6467.9500000000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06"/>
    <s v="Regular"/>
    <s v="Verde"/>
    <s v="A4"/>
    <s v="Industrial"/>
    <s v="Não se aplica"/>
    <s v="Não se aplica"/>
    <s v="Não se aplica"/>
    <s v="Ponta"/>
    <s v="CATIVO"/>
    <x v="8"/>
    <n v="0"/>
    <n v="0"/>
    <n v="98.71"/>
    <n v="98.71"/>
    <n v="98.71"/>
    <n v="98.71"/>
    <m/>
    <n v="2740.31"/>
    <n v="144.41999999999999"/>
    <m/>
    <n v="284751.69829999999"/>
    <n v="284751.69829999999"/>
    <n v="278995.91820000001"/>
    <n v="0"/>
    <n v="5272.9745481208438"/>
    <n v="0"/>
    <n v="0"/>
    <n v="0"/>
    <n v="74295.346295646508"/>
    <n v="189326.52683942468"/>
    <n v="14255.878210565272"/>
    <n v="0"/>
    <n v="0"/>
    <n v="0"/>
    <n v="0"/>
    <n v="0"/>
    <n v="936.04281050503675"/>
    <m/>
    <n v="49.126506432563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5.81244244330753"/>
    <n v="0"/>
    <n v="0"/>
    <n v="0"/>
    <n v="0"/>
    <n v="0"/>
    <m/>
    <m/>
    <m/>
    <m/>
    <m/>
    <m/>
    <m/>
    <m/>
    <m/>
    <n v="14871.69065300858"/>
    <m/>
    <m/>
    <m/>
    <m/>
    <m/>
    <m/>
    <m/>
    <m/>
    <m/>
    <m/>
    <m/>
    <m/>
    <n v="278995.91820000001"/>
    <n v="-5755.8101000000024"/>
    <m/>
    <m/>
    <m/>
    <m/>
    <n v="-6332.2465000000084"/>
    <n v="576.46640000000025"/>
    <n v="31"/>
    <n v="2771.5168927959166"/>
    <n v="0"/>
    <n v="0"/>
    <n v="0"/>
    <n v="0"/>
    <n v="0"/>
    <n v="0"/>
    <n v="0"/>
    <n v="3109.360661400453"/>
    <n v="0"/>
    <n v="0"/>
    <n v="576.44590764014356"/>
    <n v="0"/>
    <n v="0"/>
    <n v="0"/>
    <n v="24.900785281484104"/>
    <n v="0"/>
    <n v="-810.09295950310479"/>
    <m/>
    <n v="0"/>
    <n v="0"/>
    <n v="0"/>
    <n v="0"/>
    <n v="-123.16878105493333"/>
    <n v="-5.9287209681273225"/>
    <n v="0"/>
    <n v="0"/>
    <m/>
    <m/>
    <m/>
    <n v="189326.52683942468"/>
    <n v="0"/>
    <n v="0"/>
    <n v="-6332.2465000000084"/>
    <n v="576.46640000000116"/>
    <n v="0"/>
    <n v="0"/>
    <n v="-8526.7424308066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7"/>
    <s v="Sistema de Compensação"/>
    <s v="Verde"/>
    <s v="A4"/>
    <s v="Industrial"/>
    <s v="Não se aplica"/>
    <s v="Não se aplica"/>
    <s v="Não se aplica"/>
    <s v="Ponta"/>
    <s v="CATIVO"/>
    <x v="8"/>
    <n v="0"/>
    <n v="0"/>
    <n v="0.55800000000000005"/>
    <n v="0.55800000000000005"/>
    <n v="0.55800000000000005"/>
    <n v="0.55800000000000005"/>
    <m/>
    <n v="2740.31"/>
    <n v="144.41999999999999"/>
    <m/>
    <n v="1609.6793400000001"/>
    <n v="1609.6793400000001"/>
    <n v="1577.1423600000001"/>
    <n v="0"/>
    <n v="29.807717534712097"/>
    <n v="0"/>
    <n v="0"/>
    <n v="0"/>
    <n v="419.98584979202468"/>
    <n v="1070.2482218255393"/>
    <n v="80.587377585811183"/>
    <n v="0"/>
    <n v="0"/>
    <n v="0"/>
    <n v="0"/>
    <n v="0"/>
    <n v="5.2913776543593416"/>
    <m/>
    <n v="0.27770834352517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811401365957417"/>
    <n v="0"/>
    <n v="0"/>
    <n v="0"/>
    <n v="0"/>
    <n v="0"/>
    <m/>
    <m/>
    <m/>
    <m/>
    <m/>
    <m/>
    <m/>
    <m/>
    <m/>
    <n v="84.068517722406924"/>
    <m/>
    <m/>
    <m/>
    <m/>
    <m/>
    <m/>
    <m/>
    <m/>
    <m/>
    <m/>
    <m/>
    <m/>
    <n v="1582.7952"/>
    <n v="-26.914140000000089"/>
    <m/>
    <m/>
    <m/>
    <m/>
    <n v="-35.795700000000053"/>
    <n v="3.2587200000000021"/>
    <n v="31"/>
    <n v="15.667170764665343"/>
    <n v="0"/>
    <n v="0"/>
    <n v="0"/>
    <n v="0"/>
    <n v="0"/>
    <n v="0"/>
    <n v="0"/>
    <n v="17.576975474232142"/>
    <n v="0"/>
    <n v="0"/>
    <n v="3.2586041582737408"/>
    <n v="0"/>
    <n v="0"/>
    <n v="0"/>
    <n v="0.14076221443691717"/>
    <n v="0"/>
    <n v="-4.5793928822078023"/>
    <m/>
    <n v="0"/>
    <n v="0"/>
    <n v="0"/>
    <n v="0"/>
    <n v="-0.69626359870988619"/>
    <n v="-3.3514601359690421E-2"/>
    <n v="0"/>
    <n v="0"/>
    <m/>
    <m/>
    <m/>
    <n v="1070.2482218255393"/>
    <n v="0"/>
    <n v="0"/>
    <n v="-35.795700000000124"/>
    <n v="3.2587199999999967"/>
    <n v="0"/>
    <n v="0"/>
    <n v="-48.201015868606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8"/>
    <s v="Regular"/>
    <s v="Verde"/>
    <s v="A4"/>
    <s v="Industrial"/>
    <s v="Não se aplica"/>
    <s v="Não se aplica"/>
    <s v="Não se aplica"/>
    <s v="Fora ponta"/>
    <s v="CATIVO"/>
    <x v="8"/>
    <n v="0"/>
    <n v="0"/>
    <n v="5911.1869999999999"/>
    <n v="5911.1869999999999"/>
    <n v="5911.1869999999999"/>
    <n v="5911.1869999999999"/>
    <m/>
    <n v="69.64"/>
    <n v="144.41999999999999"/>
    <m/>
    <n v="1265348.6892200001"/>
    <n v="1265348.6892200001"/>
    <n v="1245132.4296800001"/>
    <n v="0"/>
    <n v="315768.80356785341"/>
    <n v="0"/>
    <n v="0"/>
    <n v="0"/>
    <n v="0"/>
    <n v="0"/>
    <n v="853704.40636082157"/>
    <n v="0"/>
    <n v="0"/>
    <n v="0"/>
    <n v="0"/>
    <n v="0"/>
    <n v="56054.341940034821"/>
    <m/>
    <n v="2941.9103047268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77.545377460519"/>
    <n v="0"/>
    <n v="0"/>
    <n v="0"/>
    <n v="0"/>
    <n v="0"/>
    <m/>
    <m/>
    <m/>
    <m/>
    <m/>
    <m/>
    <m/>
    <m/>
    <m/>
    <n v="890581.95173828211"/>
    <m/>
    <m/>
    <m/>
    <m/>
    <m/>
    <m/>
    <m/>
    <m/>
    <m/>
    <m/>
    <m/>
    <m/>
    <n v="1245133.0615999999"/>
    <n v="-20215.657620000187"/>
    <m/>
    <m/>
    <m/>
    <m/>
    <n v="-54737.591619999985"/>
    <n v="34521.332080000022"/>
    <n v="31"/>
    <n v="-20231.564107042504"/>
    <n v="0"/>
    <n v="0"/>
    <n v="0"/>
    <n v="0"/>
    <n v="0"/>
    <n v="0"/>
    <n v="0"/>
    <n v="0"/>
    <n v="0"/>
    <n v="0"/>
    <n v="34520.104907766334"/>
    <n v="0"/>
    <n v="0"/>
    <n v="0"/>
    <n v="1491.168050305947"/>
    <n v="0"/>
    <n v="-48511.913392830291"/>
    <m/>
    <n v="0"/>
    <n v="0"/>
    <n v="0"/>
    <n v="0"/>
    <n v="-7375.8859019123556"/>
    <n v="-355.03777037201507"/>
    <n v="0"/>
    <n v="0"/>
    <m/>
    <m/>
    <m/>
    <n v="0"/>
    <n v="0"/>
    <n v="0"/>
    <n v="-54737.591619999963"/>
    <n v="34521.33207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09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5.22"/>
    <n v="5.22"/>
    <n v="5.22"/>
    <n v="5.22"/>
    <m/>
    <n v="69.64"/>
    <n v="144.41999999999999"/>
    <m/>
    <n v="1117.3932"/>
    <n v="1117.3932"/>
    <n v="1099.5408"/>
    <n v="0"/>
    <n v="278.84638984085507"/>
    <n v="0"/>
    <n v="0"/>
    <n v="0"/>
    <n v="0"/>
    <n v="0"/>
    <n v="753.88191935113684"/>
    <n v="0"/>
    <n v="0"/>
    <n v="0"/>
    <n v="0"/>
    <n v="0"/>
    <n v="49.499984508522864"/>
    <m/>
    <n v="2.59791676200974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65504503637577"/>
    <n v="0"/>
    <n v="0"/>
    <n v="0"/>
    <n v="0"/>
    <n v="0"/>
    <m/>
    <m/>
    <m/>
    <m/>
    <m/>
    <m/>
    <m/>
    <m/>
    <m/>
    <n v="786.44742385477446"/>
    <m/>
    <m/>
    <m/>
    <m/>
    <m/>
    <m/>
    <m/>
    <m/>
    <m/>
    <m/>
    <m/>
    <m/>
    <n v="1099.5408"/>
    <n v="-17.882399999999961"/>
    <m/>
    <m/>
    <m/>
    <m/>
    <n v="-48.337199999999989"/>
    <n v="30.484800000000018"/>
    <n v="31"/>
    <n v="-17.865915024979131"/>
    <n v="0"/>
    <n v="0"/>
    <n v="0"/>
    <n v="0"/>
    <n v="0"/>
    <n v="0"/>
    <n v="0"/>
    <n v="0"/>
    <n v="0"/>
    <n v="0"/>
    <n v="30.483716319334917"/>
    <n v="0"/>
    <n v="0"/>
    <n v="0"/>
    <n v="1.3168078124743872"/>
    <n v="0"/>
    <n v="-42.839481801298803"/>
    <m/>
    <n v="0"/>
    <n v="0"/>
    <n v="0"/>
    <n v="0"/>
    <n v="-6.5134336653505471"/>
    <n v="-0.31352369013903969"/>
    <n v="0"/>
    <n v="0"/>
    <m/>
    <m/>
    <m/>
    <n v="0"/>
    <n v="0"/>
    <n v="0"/>
    <n v="-48.337199999999996"/>
    <n v="30.484800000000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0"/>
    <s v="Regular"/>
    <s v="Verde"/>
    <s v="A4"/>
    <s v="Industrial"/>
    <s v="Não se aplica"/>
    <s v="Não se aplica"/>
    <s v="Não se aplica"/>
    <s v="Não se aplica"/>
    <s v="CATIVO"/>
    <x v="8"/>
    <n v="21932"/>
    <n v="21932"/>
    <n v="0"/>
    <n v="0"/>
    <n v="0"/>
    <n v="0"/>
    <n v="34.950000000000003"/>
    <m/>
    <m/>
    <n v="766523.4"/>
    <m/>
    <n v="766523.4"/>
    <n v="756215.36"/>
    <n v="0"/>
    <n v="0"/>
    <n v="0"/>
    <n v="0"/>
    <n v="0"/>
    <n v="277873.60424483626"/>
    <n v="488750.408893556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3.6"/>
    <n v="709.01"/>
    <n v="848382.14"/>
    <n v="70"/>
    <m/>
    <m/>
    <m/>
    <m/>
    <m/>
    <m/>
    <m/>
    <m/>
    <m/>
    <n v="0"/>
    <m/>
    <m/>
    <m/>
    <m/>
    <m/>
    <m/>
    <m/>
    <m/>
    <m/>
    <m/>
    <m/>
    <m/>
    <n v="756215.36"/>
    <n v="-10308.070000000065"/>
    <m/>
    <m/>
    <m/>
    <m/>
    <n v="-10308.04000000013"/>
    <n v="0"/>
    <n v="31"/>
    <n v="11629.385916611995"/>
    <n v="0"/>
    <n v="0"/>
    <n v="0"/>
    <n v="0"/>
    <m/>
    <m/>
    <m/>
    <n v="11629.3859166119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750.40889355628"/>
    <m/>
    <n v="0"/>
    <n v="0"/>
    <n v="-10308.040000000037"/>
    <m/>
    <n v="0"/>
    <m/>
    <n v="-22011.96482688846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11"/>
    <s v="Sistema de Compensação"/>
    <s v="Verde"/>
    <s v="A4"/>
    <s v="Industrial"/>
    <s v="Não se aplica"/>
    <s v="Não se aplica"/>
    <s v="Não se aplica"/>
    <s v="Não se aplica"/>
    <s v="CATIVO"/>
    <x v="8"/>
    <n v="240"/>
    <n v="240"/>
    <n v="0"/>
    <n v="0"/>
    <n v="0"/>
    <n v="0"/>
    <n v="34.950000000000003"/>
    <m/>
    <m/>
    <n v="8388"/>
    <m/>
    <n v="8388"/>
    <n v="8275.1999999999989"/>
    <n v="0"/>
    <n v="0"/>
    <n v="0"/>
    <n v="0"/>
    <n v="0"/>
    <n v="3040.7470827448797"/>
    <n v="5348.35391822239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37.41"/>
    <n v="2"/>
    <m/>
    <m/>
    <m/>
    <m/>
    <m/>
    <m/>
    <m/>
    <m/>
    <m/>
    <n v="0"/>
    <m/>
    <m/>
    <m/>
    <m/>
    <m/>
    <m/>
    <m/>
    <m/>
    <m/>
    <m/>
    <m/>
    <m/>
    <n v="8275.1999999999989"/>
    <n v="-112.83000000000175"/>
    <m/>
    <m/>
    <m/>
    <m/>
    <n v="-112.80000000000143"/>
    <n v="0"/>
    <n v="31"/>
    <n v="127.25937534136801"/>
    <n v="0"/>
    <n v="0"/>
    <n v="0"/>
    <n v="0"/>
    <m/>
    <m/>
    <m/>
    <n v="127.259375341368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48.3539182223922"/>
    <m/>
    <n v="0"/>
    <n v="0"/>
    <n v="-112.80000000000109"/>
    <m/>
    <n v="0"/>
    <m/>
    <n v="-240.8750482606801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12"/>
    <s v="Regular"/>
    <s v="Convencional"/>
    <s v="B3"/>
    <s v="Comercial"/>
    <s v="Não se aplica"/>
    <s v="Não se aplica"/>
    <s v="Não se aplica"/>
    <s v="Não se aplica"/>
    <s v="CATIVO"/>
    <x v="8"/>
    <n v="0"/>
    <n v="0"/>
    <n v="616.69600000000003"/>
    <n v="616.69600000000003"/>
    <n v="616.69600000000003"/>
    <n v="616.69600000000003"/>
    <m/>
    <n v="522.37"/>
    <n v="144.41999999999999"/>
    <m/>
    <n v="411206.72583999997"/>
    <n v="411206.72583999997"/>
    <n v="401925.45104000007"/>
    <n v="0"/>
    <n v="37865.73594690975"/>
    <n v="0"/>
    <n v="0"/>
    <n v="0"/>
    <n v="62880.57723457642"/>
    <n v="204685.85395948068"/>
    <n v="89064.360945626191"/>
    <n v="0"/>
    <n v="0"/>
    <n v="0"/>
    <n v="0"/>
    <n v="0"/>
    <n v="5847.977480166287"/>
    <m/>
    <n v="897.20337638143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64.7739664058172"/>
    <n v="0"/>
    <n v="184.18"/>
    <n v="852.47"/>
    <n v="119430.67"/>
    <n v="1213"/>
    <m/>
    <m/>
    <m/>
    <m/>
    <m/>
    <m/>
    <m/>
    <m/>
    <m/>
    <n v="99029.134912032008"/>
    <m/>
    <m/>
    <m/>
    <m/>
    <m/>
    <m/>
    <m/>
    <m/>
    <m/>
    <m/>
    <m/>
    <m/>
    <n v="401928.05800000002"/>
    <n v="-9278.6978399999789"/>
    <m/>
    <m/>
    <m/>
    <m/>
    <n v="-12882.779439999993"/>
    <n v="3601.5046400000024"/>
    <n v="31"/>
    <n v="-59.189714582520537"/>
    <n v="0"/>
    <n v="0"/>
    <n v="0"/>
    <n v="0"/>
    <n v="0"/>
    <n v="0"/>
    <n v="0"/>
    <n v="2631.637147787631"/>
    <n v="0"/>
    <n v="0"/>
    <n v="3601.3766128866991"/>
    <n v="0"/>
    <n v="0"/>
    <n v="0"/>
    <n v="402.93225634012197"/>
    <n v="0"/>
    <n v="-5817.3552360359936"/>
    <m/>
    <n v="0"/>
    <n v="0"/>
    <n v="0"/>
    <n v="0"/>
    <n v="-769.50354170249375"/>
    <n v="-108.27695385848199"/>
    <n v="0"/>
    <n v="0"/>
    <m/>
    <m/>
    <m/>
    <n v="204685.85395948068"/>
    <n v="0"/>
    <n v="0"/>
    <n v="-12882.779439999955"/>
    <n v="3601.5046399999992"/>
    <n v="0"/>
    <n v="0"/>
    <n v="-9218.483986780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32.634"/>
    <n v="32.634"/>
    <n v="32.634"/>
    <n v="32.634"/>
    <m/>
    <n v="522.37"/>
    <n v="144.41999999999999"/>
    <m/>
    <n v="21760.024860000001"/>
    <n v="21760.024860000001"/>
    <n v="21268.883159999998"/>
    <n v="0"/>
    <n v="2003.7594323482767"/>
    <n v="0"/>
    <n v="0"/>
    <n v="0"/>
    <n v="3327.4818670352438"/>
    <n v="10831.460165322449"/>
    <n v="4713.06179235728"/>
    <n v="0"/>
    <n v="0"/>
    <n v="0"/>
    <n v="0"/>
    <n v="0"/>
    <n v="309.4602479791447"/>
    <m/>
    <n v="47.477744277296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7.31075541220866"/>
    <n v="0"/>
    <n v="0.39"/>
    <n v="1.81"/>
    <n v="13675.29"/>
    <n v="52"/>
    <m/>
    <m/>
    <m/>
    <m/>
    <m/>
    <m/>
    <m/>
    <m/>
    <m/>
    <n v="5240.3725477694888"/>
    <m/>
    <m/>
    <m/>
    <m/>
    <m/>
    <m/>
    <m/>
    <m/>
    <m/>
    <m/>
    <m/>
    <m/>
    <n v="21266.2762"/>
    <n v="-493.77865999999631"/>
    <m/>
    <m/>
    <m/>
    <m/>
    <n v="-681.72425999999962"/>
    <n v="190.58256000000011"/>
    <n v="31"/>
    <n v="-3.1321707059651089"/>
    <n v="0"/>
    <n v="0"/>
    <n v="0"/>
    <n v="0"/>
    <n v="0"/>
    <n v="0"/>
    <n v="0"/>
    <n v="139.25961361984128"/>
    <n v="0"/>
    <n v="0"/>
    <n v="190.57578512742839"/>
    <n v="0"/>
    <n v="0"/>
    <n v="0"/>
    <n v="21.322160762196518"/>
    <n v="0"/>
    <n v="-307.83979590073363"/>
    <m/>
    <n v="0"/>
    <n v="0"/>
    <n v="0"/>
    <n v="0"/>
    <n v="-40.72019046648461"/>
    <n v="-5.7297438482132179"/>
    <n v="0"/>
    <n v="0"/>
    <m/>
    <m/>
    <m/>
    <n v="10831.460165322449"/>
    <n v="0"/>
    <n v="0"/>
    <n v="-681.72426000000087"/>
    <n v="190.58255999999983"/>
    <n v="0"/>
    <n v="0"/>
    <n v="-487.8189682187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4"/>
    <s v="Regular"/>
    <s v="Verde"/>
    <s v="A4"/>
    <s v="Comercial"/>
    <s v="Não se aplica"/>
    <s v="Não se aplica"/>
    <s v="Não se aplica"/>
    <s v="Ponta"/>
    <s v="CATIVO"/>
    <x v="8"/>
    <n v="0"/>
    <n v="0"/>
    <n v="6.6189999999999998"/>
    <n v="6.6189999999999998"/>
    <n v="6.6189999999999998"/>
    <n v="6.6189999999999998"/>
    <m/>
    <n v="2740.31"/>
    <n v="144.41999999999999"/>
    <m/>
    <n v="19094.027870000002"/>
    <n v="19094.027870000002"/>
    <n v="18708.073980000001"/>
    <n v="0"/>
    <n v="353.57935907214937"/>
    <n v="0"/>
    <n v="0"/>
    <n v="0"/>
    <n v="4981.8751608842495"/>
    <n v="12695.29207932481"/>
    <n v="955.92805061018669"/>
    <n v="0"/>
    <n v="0"/>
    <n v="0"/>
    <n v="0"/>
    <n v="0"/>
    <n v="62.766359667033115"/>
    <m/>
    <n v="3.2941783616364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293309254708262"/>
    <n v="0"/>
    <n v="0"/>
    <n v="0"/>
    <n v="0"/>
    <n v="0"/>
    <m/>
    <m/>
    <m/>
    <m/>
    <m/>
    <m/>
    <m/>
    <m/>
    <m/>
    <n v="997.22135986489491"/>
    <m/>
    <m/>
    <m/>
    <m/>
    <m/>
    <m/>
    <m/>
    <m/>
    <m/>
    <m/>
    <m/>
    <m/>
    <n v="18710.900399999999"/>
    <n v="-383.15746999999828"/>
    <m/>
    <m/>
    <m/>
    <m/>
    <n v="-424.60885000000059"/>
    <n v="38.654960000000024"/>
    <n v="31"/>
    <n v="185.84409191992927"/>
    <n v="0"/>
    <n v="0"/>
    <n v="0"/>
    <n v="0"/>
    <n v="0"/>
    <n v="0"/>
    <n v="0"/>
    <n v="208.49820907516551"/>
    <n v="0"/>
    <n v="0"/>
    <n v="38.653585884612653"/>
    <n v="0"/>
    <n v="0"/>
    <n v="0"/>
    <n v="1.6697223966988446"/>
    <n v="0"/>
    <n v="-54.320791195938057"/>
    <m/>
    <n v="0"/>
    <n v="0"/>
    <n v="0"/>
    <n v="0"/>
    <n v="-8.2590837990335757"/>
    <n v="-0.39755044157668618"/>
    <n v="0"/>
    <n v="0"/>
    <m/>
    <m/>
    <m/>
    <n v="12695.29207932481"/>
    <n v="0"/>
    <n v="0"/>
    <n v="-424.60885000000053"/>
    <n v="38.654960000000074"/>
    <n v="0"/>
    <n v="0"/>
    <n v="-571.7607957604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5"/>
    <s v="Regular"/>
    <s v="Verde"/>
    <s v="A4"/>
    <s v="Comercial"/>
    <s v="Não se aplica"/>
    <s v="Não se aplica"/>
    <s v="Não se aplica"/>
    <s v="Fora ponta"/>
    <s v="CATIVO"/>
    <x v="8"/>
    <n v="0"/>
    <n v="0"/>
    <n v="388.16300000000001"/>
    <n v="388.16300000000001"/>
    <n v="388.16300000000001"/>
    <n v="388.16300000000001"/>
    <m/>
    <n v="69.64"/>
    <n v="144.41999999999999"/>
    <m/>
    <n v="83090.171780000004"/>
    <n v="83090.171780000004"/>
    <n v="81762.654320000001"/>
    <n v="0"/>
    <n v="20735.220540190774"/>
    <n v="0"/>
    <n v="0"/>
    <n v="0"/>
    <n v="0"/>
    <n v="0"/>
    <n v="56059.208325880332"/>
    <n v="0"/>
    <n v="0"/>
    <n v="0"/>
    <n v="0"/>
    <n v="0"/>
    <n v="3680.8548825252419"/>
    <m/>
    <n v="193.182981626817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1.594621579593"/>
    <n v="0"/>
    <n v="0"/>
    <n v="0"/>
    <n v="0"/>
    <n v="0"/>
    <m/>
    <m/>
    <m/>
    <m/>
    <m/>
    <m/>
    <m/>
    <m/>
    <m/>
    <n v="58480.802947459924"/>
    <m/>
    <m/>
    <m/>
    <m/>
    <m/>
    <m/>
    <m/>
    <m/>
    <m/>
    <m/>
    <m/>
    <m/>
    <n v="81762.022400000002"/>
    <n v="-1328.1793799999868"/>
    <m/>
    <m/>
    <m/>
    <m/>
    <n v="-3594.3893799999992"/>
    <n v="2266.8719200000014"/>
    <n v="31"/>
    <n v="-1328.5224470959802"/>
    <n v="0"/>
    <n v="0"/>
    <n v="0"/>
    <n v="0"/>
    <n v="0"/>
    <n v="0"/>
    <n v="0"/>
    <n v="0"/>
    <n v="0"/>
    <n v="0"/>
    <n v="2266.7913367168585"/>
    <n v="0"/>
    <n v="0"/>
    <n v="0"/>
    <n v="97.918787531320959"/>
    <n v="0"/>
    <n v="-3185.5750525742442"/>
    <m/>
    <n v="0"/>
    <n v="0"/>
    <n v="0"/>
    <n v="0"/>
    <n v="-484.34366893552942"/>
    <n v="-23.313849834375475"/>
    <n v="0"/>
    <n v="0"/>
    <m/>
    <m/>
    <m/>
    <n v="0"/>
    <n v="0"/>
    <n v="0"/>
    <n v="-3594.3893800000005"/>
    <n v="2266.87192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6"/>
    <s v="Regular"/>
    <s v="Verde"/>
    <s v="A4"/>
    <s v="Comercial"/>
    <s v="Não se aplica"/>
    <s v="Não se aplica"/>
    <s v="Não se aplica"/>
    <s v="Não se aplica"/>
    <s v="CATIVO"/>
    <x v="8"/>
    <n v="1853"/>
    <n v="1853"/>
    <n v="0"/>
    <n v="0"/>
    <n v="0"/>
    <n v="0"/>
    <n v="34.950000000000003"/>
    <m/>
    <m/>
    <n v="64762.350000000006"/>
    <m/>
    <n v="64762.350000000006"/>
    <n v="63891.439999999995"/>
    <n v="0"/>
    <n v="0"/>
    <n v="0"/>
    <n v="0"/>
    <n v="0"/>
    <n v="23477.101434692759"/>
    <n v="41293.7492102753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318.66"/>
    <n v="14"/>
    <m/>
    <m/>
    <m/>
    <m/>
    <m/>
    <m/>
    <m/>
    <m/>
    <m/>
    <n v="0"/>
    <m/>
    <m/>
    <m/>
    <m/>
    <m/>
    <m/>
    <m/>
    <m/>
    <m/>
    <m/>
    <m/>
    <m/>
    <n v="63891.439999999995"/>
    <n v="-870.94000000001688"/>
    <m/>
    <m/>
    <m/>
    <m/>
    <n v="-870.91000000001111"/>
    <n v="0"/>
    <n v="31"/>
    <n v="982.54842711481251"/>
    <n v="0"/>
    <n v="0"/>
    <n v="0"/>
    <n v="0"/>
    <m/>
    <m/>
    <m/>
    <n v="982.548427114812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293.749210275389"/>
    <m/>
    <n v="0"/>
    <n v="0"/>
    <n v="-870.91000000001077"/>
    <m/>
    <n v="0"/>
    <m/>
    <n v="-1859.7561017793341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17"/>
    <s v="Regular"/>
    <s v="Branca"/>
    <s v="B3"/>
    <s v="Comercial"/>
    <s v="Não se aplica"/>
    <s v="Não se aplica"/>
    <s v="Não se aplica"/>
    <s v="Ponta"/>
    <s v="CATIVO"/>
    <x v="8"/>
    <n v="0"/>
    <n v="0"/>
    <n v="8.5000000000000006E-2"/>
    <n v="8.5000000000000006E-2"/>
    <n v="8.5000000000000006E-2"/>
    <n v="8.5000000000000006E-2"/>
    <m/>
    <n v="1585.55"/>
    <n v="144.41999999999999"/>
    <m/>
    <n v="147.04745"/>
    <n v="147.04745"/>
    <n v="143.54545000000002"/>
    <n v="0"/>
    <n v="5.2190829119814772"/>
    <n v="0"/>
    <n v="0"/>
    <n v="0"/>
    <n v="29.917978252818912"/>
    <n v="97.331724793632006"/>
    <n v="12.275855008591311"/>
    <n v="0"/>
    <n v="0"/>
    <n v="0"/>
    <n v="0"/>
    <n v="0"/>
    <n v="0.80603423050276701"/>
    <m/>
    <n v="0.12366269116780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734575660365795"/>
    <n v="0"/>
    <n v="0"/>
    <n v="0"/>
    <n v="0"/>
    <n v="0"/>
    <m/>
    <m/>
    <m/>
    <m/>
    <m/>
    <m/>
    <m/>
    <m/>
    <m/>
    <n v="13.64931257462789"/>
    <m/>
    <m/>
    <m/>
    <m/>
    <m/>
    <m/>
    <m/>
    <m/>
    <m/>
    <m/>
    <m/>
    <m/>
    <n v="151.98930000000001"/>
    <n v="4.9118500000000438"/>
    <m/>
    <m/>
    <m/>
    <m/>
    <n v="-3.9983999999999971"/>
    <n v="0.49640000000000034"/>
    <n v="31"/>
    <n v="0.88122771271837763"/>
    <n v="0"/>
    <n v="0"/>
    <n v="0"/>
    <n v="0"/>
    <n v="0"/>
    <n v="0"/>
    <n v="0"/>
    <n v="1.2521078275585324"/>
    <n v="0"/>
    <n v="0"/>
    <n v="0.49638235385890184"/>
    <n v="0"/>
    <n v="0"/>
    <n v="0"/>
    <n v="5.5536669264776073E-2"/>
    <n v="0"/>
    <n v="-0.80181352735068767"/>
    <m/>
    <n v="0"/>
    <n v="0"/>
    <n v="0"/>
    <n v="0"/>
    <n v="-0.1060616593016851"/>
    <n v="-1.49239513114581E-2"/>
    <n v="0"/>
    <n v="0"/>
    <m/>
    <m/>
    <m/>
    <n v="97.331724793632006"/>
    <n v="0"/>
    <n v="0"/>
    <n v="-3.9983999999999753"/>
    <n v="0.49639999999999951"/>
    <n v="0"/>
    <n v="0"/>
    <n v="-4.383551325405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8"/>
    <s v="Regular"/>
    <s v="Branca"/>
    <s v="B3"/>
    <s v="Comercial"/>
    <s v="Não se aplica"/>
    <s v="Não se aplica"/>
    <s v="Não se aplica"/>
    <s v="Fora ponta"/>
    <s v="CATIVO"/>
    <x v="8"/>
    <n v="0"/>
    <n v="0"/>
    <n v="5.226"/>
    <n v="5.226"/>
    <n v="5.226"/>
    <n v="5.226"/>
    <m/>
    <n v="387.88"/>
    <n v="144.41999999999999"/>
    <m/>
    <n v="2781.7997999999998"/>
    <n v="2781.7997999999998"/>
    <n v="2720.4988199999998"/>
    <n v="0"/>
    <n v="320.88149762370819"/>
    <n v="0"/>
    <n v="0"/>
    <n v="0"/>
    <n v="367.72746196713342"/>
    <n v="1196.8369024826131"/>
    <n v="754.74845029291976"/>
    <n v="0"/>
    <n v="0"/>
    <n v="0"/>
    <n v="0"/>
    <n v="0"/>
    <n v="49.556881042440708"/>
    <m/>
    <n v="7.6030732240347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.443402824790169"/>
    <n v="0"/>
    <n v="0"/>
    <n v="0"/>
    <n v="0"/>
    <n v="0"/>
    <m/>
    <m/>
    <m/>
    <m/>
    <m/>
    <m/>
    <m/>
    <m/>
    <m/>
    <n v="839.19185311770991"/>
    <m/>
    <m/>
    <m/>
    <m/>
    <m/>
    <m/>
    <m/>
    <m/>
    <m/>
    <m/>
    <m/>
    <m/>
    <n v="2722.5811000000003"/>
    <n v="-59.248699999999644"/>
    <m/>
    <m/>
    <m/>
    <m/>
    <n v="-91.820819999999969"/>
    <n v="30.519840000000016"/>
    <n v="31"/>
    <n v="-7.4126908090834149"/>
    <n v="0"/>
    <n v="0"/>
    <n v="0"/>
    <n v="0"/>
    <n v="0"/>
    <n v="0"/>
    <n v="0"/>
    <n v="15.389891310382893"/>
    <n v="0"/>
    <n v="0"/>
    <n v="30.518755073724947"/>
    <n v="0"/>
    <n v="0"/>
    <n v="0"/>
    <n v="3.4145251009143465"/>
    <n v="0"/>
    <n v="-49.297382281584646"/>
    <m/>
    <n v="0"/>
    <n v="0"/>
    <n v="0"/>
    <n v="0"/>
    <n v="-6.5209203707130143"/>
    <n v="-0.91755964180800031"/>
    <n v="0"/>
    <n v="0"/>
    <m/>
    <m/>
    <m/>
    <n v="1196.8369024826131"/>
    <n v="0"/>
    <n v="0"/>
    <n v="-91.820819999999912"/>
    <n v="30.519840000000045"/>
    <n v="0"/>
    <n v="0"/>
    <n v="-53.902219459236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19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81.63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20"/>
    <s v="Regular"/>
    <s v="Branca"/>
    <s v="B3"/>
    <s v="Comercial"/>
    <s v="Não se aplica"/>
    <s v="Não se aplica"/>
    <s v="Não se aplica"/>
    <s v="Intermediário"/>
    <s v="CATIVO"/>
    <x v="8"/>
    <n v="0"/>
    <n v="0"/>
    <n v="0.104"/>
    <n v="0.104"/>
    <n v="0.104"/>
    <n v="0.104"/>
    <m/>
    <n v="986.74"/>
    <n v="144.41999999999999"/>
    <m/>
    <n v="117.64063999999999"/>
    <n v="117.64063999999999"/>
    <n v="114.88775999999999"/>
    <n v="0"/>
    <n v="6.3857014452479239"/>
    <n v="0"/>
    <n v="0"/>
    <n v="0"/>
    <n v="21.964364407863172"/>
    <n v="71.452949401947137"/>
    <n v="15.019869657570542"/>
    <n v="0"/>
    <n v="0"/>
    <n v="0"/>
    <n v="0"/>
    <n v="0"/>
    <n v="0.98620658790926785"/>
    <m/>
    <n v="0.15130493978178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804657278565207"/>
    <n v="0"/>
    <n v="0"/>
    <n v="0"/>
    <n v="0"/>
    <n v="0"/>
    <m/>
    <m/>
    <m/>
    <m/>
    <m/>
    <m/>
    <m/>
    <m/>
    <m/>
    <n v="16.700335385427064"/>
    <m/>
    <m/>
    <m/>
    <m/>
    <m/>
    <m/>
    <m/>
    <m/>
    <m/>
    <m/>
    <m/>
    <m/>
    <n v="110.46899999999999"/>
    <n v="-7.2016400000000118"/>
    <m/>
    <m/>
    <m/>
    <m/>
    <n v="-3.3602400000000059"/>
    <n v="0.60736000000000034"/>
    <n v="31"/>
    <n v="0.46545560915384954"/>
    <n v="0"/>
    <n v="0"/>
    <n v="0"/>
    <n v="0"/>
    <n v="0"/>
    <n v="0"/>
    <n v="0"/>
    <n v="0.91923833789944354"/>
    <n v="0"/>
    <n v="0"/>
    <n v="0.60733840942736173"/>
    <n v="0"/>
    <n v="0"/>
    <n v="0"/>
    <n v="6.7950748276902395E-2"/>
    <n v="0"/>
    <n v="-0.98104243346437059"/>
    <m/>
    <n v="0"/>
    <n v="0"/>
    <n v="0"/>
    <n v="0"/>
    <n v="-0.12976955961617953"/>
    <n v="-1.825989336931344E-2"/>
    <n v="0"/>
    <n v="0"/>
    <m/>
    <m/>
    <m/>
    <n v="71.452949401947137"/>
    <n v="0"/>
    <n v="0"/>
    <n v="-3.3602400000000046"/>
    <n v="0.60736000000000168"/>
    <n v="0"/>
    <n v="0"/>
    <n v="-3.2180429527902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1"/>
    <s v="Regular"/>
    <s v="Convencional"/>
    <s v="B2"/>
    <s v="Rural"/>
    <s v="Não se aplica"/>
    <s v="Não se aplica"/>
    <s v="Não se aplica"/>
    <s v="Não se aplica"/>
    <s v="CATIVO"/>
    <x v="8"/>
    <n v="0"/>
    <n v="0"/>
    <n v="212.1"/>
    <n v="212.1"/>
    <n v="212.1"/>
    <n v="212.1"/>
    <m/>
    <n v="522.37"/>
    <n v="144.41999999999999"/>
    <m/>
    <n v="141426.15899999999"/>
    <n v="141426.15899999999"/>
    <n v="138234.054"/>
    <n v="0"/>
    <n v="13023.146889779662"/>
    <n v="0"/>
    <n v="0"/>
    <n v="0"/>
    <n v="21626.49089900641"/>
    <n v="70397.521023009482"/>
    <n v="30631.868792026078"/>
    <n v="0"/>
    <n v="0"/>
    <n v="0"/>
    <n v="0"/>
    <n v="0"/>
    <n v="2011.292473995728"/>
    <m/>
    <n v="308.57478584343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27.1805853689234"/>
    <n v="0"/>
    <n v="3.88"/>
    <n v="18.13"/>
    <n v="21466.27"/>
    <n v="756"/>
    <m/>
    <m/>
    <m/>
    <m/>
    <m/>
    <n v="16586.22"/>
    <m/>
    <m/>
    <m/>
    <n v="34059.049377395"/>
    <m/>
    <m/>
    <m/>
    <m/>
    <m/>
    <m/>
    <m/>
    <m/>
    <m/>
    <m/>
    <m/>
    <m/>
    <n v="121647.83399999999"/>
    <n v="-2806.1129999999976"/>
    <m/>
    <m/>
    <m/>
    <m/>
    <n v="-4430.7689999999966"/>
    <n v="1238.6640000000007"/>
    <n v="31"/>
    <n v="-20.35709403490182"/>
    <n v="0"/>
    <n v="0"/>
    <n v="0"/>
    <n v="0"/>
    <n v="0"/>
    <n v="0"/>
    <n v="0"/>
    <n v="905.09787487799258"/>
    <n v="0"/>
    <n v="0"/>
    <n v="1238.6199676879187"/>
    <n v="0"/>
    <n v="0"/>
    <n v="0"/>
    <n v="138.58032413010596"/>
    <n v="0"/>
    <n v="-2000.7605782480114"/>
    <m/>
    <n v="0"/>
    <n v="0"/>
    <n v="0"/>
    <n v="0"/>
    <n v="-264.65503456338138"/>
    <n v="-37.239647919532558"/>
    <n v="0"/>
    <n v="0"/>
    <m/>
    <m/>
    <m/>
    <n v="70397.521023009482"/>
    <n v="0"/>
    <n v="0"/>
    <n v="-4430.7690000000002"/>
    <n v="1238.6640000000007"/>
    <n v="0"/>
    <n v="0"/>
    <n v="-3170.5093816017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2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0.55500000000000005"/>
    <n v="-0.55500000000000005"/>
    <n v="-0.55500000000000005"/>
    <n v="-0.55500000000000005"/>
    <m/>
    <n v="522.37"/>
    <n v="144.41999999999999"/>
    <m/>
    <n v="-370.06845000000004"/>
    <n v="-370.06845000000004"/>
    <n v="-361.71570000000003"/>
    <n v="0"/>
    <n v="-34.077541366467294"/>
    <n v="0"/>
    <n v="0"/>
    <n v="0"/>
    <n v="-56.589827670667418"/>
    <n v="-184.20850621296682"/>
    <n v="-80.154112114919727"/>
    <n v="0"/>
    <n v="0"/>
    <n v="0"/>
    <n v="0"/>
    <n v="0"/>
    <n v="-5.2629293874004199"/>
    <m/>
    <n v="-0.80744463056626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9678699900035497"/>
    <n v="0"/>
    <n v="0"/>
    <n v="0"/>
    <n v="-71.08"/>
    <n v="0"/>
    <m/>
    <m/>
    <m/>
    <m/>
    <m/>
    <n v="-43.40100000000001"/>
    <m/>
    <m/>
    <m/>
    <n v="-89.121982104923276"/>
    <m/>
    <m/>
    <m/>
    <m/>
    <m/>
    <m/>
    <m/>
    <m/>
    <m/>
    <m/>
    <m/>
    <m/>
    <n v="-321.18240000000003"/>
    <n v="4.4449500000000626"/>
    <m/>
    <m/>
    <m/>
    <m/>
    <n v="11.593949999999994"/>
    <n v="-3.2412000000000023"/>
    <n v="31"/>
    <n v="5.3268209285079138E-2"/>
    <n v="0"/>
    <n v="0"/>
    <n v="0"/>
    <n v="0"/>
    <n v="0"/>
    <n v="0"/>
    <n v="0"/>
    <n v="-2.3683607758476413"/>
    <n v="0"/>
    <n v="0"/>
    <n v="-3.2410847810787118"/>
    <n v="0"/>
    <n v="0"/>
    <n v="0"/>
    <n v="-0.36262178167000769"/>
    <n v="0"/>
    <n v="5.2353706785839051"/>
    <m/>
    <n v="0"/>
    <n v="0"/>
    <n v="0"/>
    <n v="0"/>
    <n v="0.69252024602864992"/>
    <n v="9.7444623268932329E-2"/>
    <n v="0"/>
    <n v="0"/>
    <m/>
    <m/>
    <m/>
    <n v="-184.20850621296682"/>
    <n v="0"/>
    <n v="0"/>
    <n v="11.593950000000007"/>
    <n v="-3.2412000000000063"/>
    <n v="0"/>
    <n v="0"/>
    <n v="8.296240956100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3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8839999999999999"/>
    <n v="3.8839999999999999"/>
    <n v="3.8839999999999999"/>
    <n v="3.8839999999999999"/>
    <m/>
    <n v="522.37"/>
    <n v="144.41999999999999"/>
    <m/>
    <n v="2589.8123599999999"/>
    <n v="2589.8123599999999"/>
    <n v="2531.3581599999998"/>
    <n v="0"/>
    <n v="238.48138858983594"/>
    <n v="0"/>
    <n v="0"/>
    <n v="0"/>
    <n v="396.02683004121121"/>
    <n v="1289.1276362723659"/>
    <n v="560.93436298080758"/>
    <n v="0"/>
    <n v="0"/>
    <n v="0"/>
    <n v="0"/>
    <n v="0"/>
    <n v="36.831022956149965"/>
    <m/>
    <n v="5.6506575587736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758931605718523"/>
    <n v="0"/>
    <n v="0"/>
    <n v="0"/>
    <n v="1098.95"/>
    <n v="12"/>
    <m/>
    <m/>
    <m/>
    <m/>
    <m/>
    <n v="303.72880000000004"/>
    <m/>
    <m/>
    <m/>
    <n v="623.69329458652612"/>
    <m/>
    <m/>
    <m/>
    <m/>
    <m/>
    <m/>
    <m/>
    <m/>
    <m/>
    <m/>
    <m/>
    <m/>
    <n v="2225.3352"/>
    <n v="-53.70948000000044"/>
    <m/>
    <m/>
    <m/>
    <m/>
    <n v="-81.136759999999938"/>
    <n v="22.682560000000013"/>
    <n v="31"/>
    <n v="-0.37278148624068308"/>
    <n v="0"/>
    <n v="0"/>
    <n v="0"/>
    <n v="0"/>
    <n v="0"/>
    <n v="0"/>
    <n v="0"/>
    <n v="16.574258114220243"/>
    <n v="0"/>
    <n v="0"/>
    <n v="22.681753675152663"/>
    <n v="0"/>
    <n v="0"/>
    <n v="0"/>
    <n v="2.5376990991104762"/>
    <n v="0"/>
    <n v="-36.63816164976555"/>
    <m/>
    <n v="0"/>
    <n v="0"/>
    <n v="0"/>
    <n v="0"/>
    <n v="-4.846393937973474"/>
    <n v="-0.68193678698474436"/>
    <n v="0"/>
    <n v="0"/>
    <m/>
    <m/>
    <m/>
    <n v="1289.1276362723659"/>
    <n v="0"/>
    <n v="0"/>
    <n v="-81.136760000000095"/>
    <n v="22.68256000000008"/>
    <n v="0"/>
    <n v="0"/>
    <n v="-58.058738510801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4"/>
    <s v="Regular"/>
    <s v="Verde"/>
    <s v="A4"/>
    <s v="Rural"/>
    <s v="Não se aplica"/>
    <s v="Não se aplica"/>
    <s v="Não se aplica"/>
    <s v="Fora ponta"/>
    <s v="CATIVO"/>
    <x v="8"/>
    <n v="0"/>
    <n v="0"/>
    <n v="34.738999999999997"/>
    <n v="33.349439999999994"/>
    <n v="34.738999999999997"/>
    <n v="33.349439999999994"/>
    <m/>
    <n v="69.64"/>
    <n v="144.41999999999999"/>
    <m/>
    <n v="7436.2303399999983"/>
    <n v="7436.2303399999983"/>
    <n v="7317.4229599999999"/>
    <n v="0"/>
    <n v="1855.7173825060277"/>
    <n v="0"/>
    <n v="0"/>
    <n v="0"/>
    <n v="0"/>
    <n v="0"/>
    <n v="5017.0697310994519"/>
    <n v="0"/>
    <n v="0"/>
    <n v="0"/>
    <n v="0"/>
    <n v="0"/>
    <n v="329.42144862865433"/>
    <m/>
    <n v="17.28908628265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72280861146854"/>
    <n v="0"/>
    <n v="0"/>
    <n v="0"/>
    <n v="0"/>
    <n v="0"/>
    <m/>
    <m/>
    <m/>
    <m/>
    <m/>
    <n v="292.69691840000064"/>
    <m/>
    <m/>
    <m/>
    <n v="5233.7925397109202"/>
    <m/>
    <m/>
    <m/>
    <m/>
    <m/>
    <m/>
    <m/>
    <m/>
    <m/>
    <m/>
    <m/>
    <m/>
    <n v="7024.844000000001"/>
    <n v="-113.96712639999896"/>
    <m/>
    <m/>
    <m/>
    <m/>
    <n v="-321.68313999999992"/>
    <n v="202.8757600000001"/>
    <n v="31"/>
    <n v="-118.89732223232568"/>
    <n v="0"/>
    <n v="0"/>
    <n v="0"/>
    <n v="0"/>
    <n v="0"/>
    <n v="0"/>
    <n v="0"/>
    <n v="0"/>
    <n v="0"/>
    <n v="0"/>
    <n v="202.86854812593447"/>
    <n v="0"/>
    <n v="0"/>
    <n v="0"/>
    <n v="8.7633307658137483"/>
    <n v="0"/>
    <n v="-285.09593070791561"/>
    <m/>
    <n v="0"/>
    <n v="0"/>
    <n v="0"/>
    <n v="0"/>
    <n v="-43.346776264485129"/>
    <n v="-2.086494151674346"/>
    <n v="0"/>
    <n v="0"/>
    <m/>
    <m/>
    <m/>
    <n v="0"/>
    <n v="0"/>
    <n v="0"/>
    <n v="-321.68314000000009"/>
    <n v="202.87576000000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5"/>
    <s v="Regular"/>
    <s v="Verde"/>
    <s v="A4"/>
    <s v="Rural"/>
    <s v="Não se aplica"/>
    <s v="Não se aplica"/>
    <s v="Não se aplica"/>
    <s v="Não se aplica"/>
    <s v="CATIVO"/>
    <x v="8"/>
    <n v="170"/>
    <n v="163.19999999999999"/>
    <n v="0"/>
    <n v="0"/>
    <n v="0"/>
    <n v="0"/>
    <n v="34.950000000000003"/>
    <m/>
    <m/>
    <n v="5941.5000000000009"/>
    <m/>
    <n v="5941.5000000000009"/>
    <n v="5861.5999999999995"/>
    <n v="0"/>
    <n v="0"/>
    <n v="0"/>
    <n v="0"/>
    <n v="0"/>
    <n v="2153.8625169442898"/>
    <n v="3788.4173587408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74.6000000000004"/>
    <n v="1"/>
    <m/>
    <m/>
    <m/>
    <m/>
    <m/>
    <n v="234.46400000000037"/>
    <m/>
    <m/>
    <m/>
    <n v="0"/>
    <m/>
    <m/>
    <m/>
    <m/>
    <m/>
    <m/>
    <m/>
    <m/>
    <m/>
    <m/>
    <m/>
    <m/>
    <n v="5627.1359999999995"/>
    <n v="-76.734000000001288"/>
    <m/>
    <m/>
    <m/>
    <m/>
    <n v="-79.900000000001015"/>
    <n v="0"/>
    <n v="31"/>
    <n v="90.142057533469142"/>
    <n v="0"/>
    <n v="0"/>
    <n v="0"/>
    <n v="0"/>
    <m/>
    <m/>
    <m/>
    <n v="90.1420575334691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8.4173587408613"/>
    <m/>
    <n v="0"/>
    <n v="0"/>
    <n v="-79.900000000001455"/>
    <m/>
    <n v="0"/>
    <m/>
    <n v="-170.61982585131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26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69.819000000000003"/>
    <n v="69.819000000000003"/>
    <n v="69.819000000000003"/>
    <n v="69.819000000000003"/>
    <m/>
    <n v="522.37"/>
    <n v="144.41999999999999"/>
    <m/>
    <n v="46554.611010000008"/>
    <n v="46554.611010000008"/>
    <n v="45503.835059999998"/>
    <n v="0"/>
    <n v="4286.9547039015852"/>
    <n v="0"/>
    <n v="0"/>
    <n v="0"/>
    <n v="7119.0003209699607"/>
    <n v="23173.430081591225"/>
    <n v="10083.387304056901"/>
    <n v="0"/>
    <n v="0"/>
    <n v="0"/>
    <n v="0"/>
    <n v="0"/>
    <n v="662.0765169349728"/>
    <m/>
    <n v="101.57653452523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8.1580447424465"/>
    <n v="0"/>
    <n v="273.39999999999998"/>
    <n v="1264.9000000000001"/>
    <n v="11102.68"/>
    <n v="128"/>
    <m/>
    <m/>
    <m/>
    <m/>
    <m/>
    <m/>
    <m/>
    <m/>
    <m/>
    <n v="11211.545348799347"/>
    <m/>
    <m/>
    <m/>
    <m/>
    <m/>
    <m/>
    <m/>
    <m/>
    <m/>
    <m/>
    <m/>
    <m/>
    <n v="45504.486799999999"/>
    <n v="-1050.1542100000152"/>
    <m/>
    <m/>
    <m/>
    <m/>
    <n v="-1458.5189099999991"/>
    <n v="407.74296000000027"/>
    <n v="31"/>
    <n v="-6.7011407280697313"/>
    <n v="0"/>
    <n v="0"/>
    <n v="0"/>
    <n v="0"/>
    <n v="0"/>
    <n v="0"/>
    <n v="0"/>
    <n v="297.93978560163305"/>
    <n v="0"/>
    <n v="0"/>
    <n v="407.72846545970242"/>
    <n v="0"/>
    <n v="0"/>
    <n v="0"/>
    <n v="45.617820134086969"/>
    <n v="0"/>
    <n v="-658.60963136585497"/>
    <m/>
    <n v="0"/>
    <n v="0"/>
    <n v="0"/>
    <n v="0"/>
    <n v="-87.11904695040414"/>
    <n v="-12.258533607231684"/>
    <n v="0"/>
    <n v="0"/>
    <m/>
    <m/>
    <m/>
    <n v="23173.430081591225"/>
    <n v="0"/>
    <n v="0"/>
    <n v="-1458.5189100000061"/>
    <n v="407.7429600000014"/>
    <n v="0"/>
    <n v="0"/>
    <n v="-1043.6671122774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7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1.79"/>
    <n v="1.79"/>
    <n v="1.79"/>
    <n v="1.79"/>
    <m/>
    <n v="522.37"/>
    <n v="144.41999999999999"/>
    <m/>
    <n v="1193.5541000000001"/>
    <n v="1193.5541000000001"/>
    <n v="1166.6146000000001"/>
    <n v="0"/>
    <n v="109.90774602878639"/>
    <n v="0"/>
    <n v="0"/>
    <n v="0"/>
    <n v="182.514939694585"/>
    <n v="594.1139209391182"/>
    <n v="258.51506429856994"/>
    <n v="0"/>
    <n v="0"/>
    <n v="0"/>
    <n v="0"/>
    <n v="0"/>
    <n v="16.974132618822974"/>
    <m/>
    <n v="2.6041907904749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923400508299732"/>
    <n v="0"/>
    <n v="5.14"/>
    <n v="23.73"/>
    <n v="364.13"/>
    <n v="2"/>
    <m/>
    <m/>
    <m/>
    <m/>
    <m/>
    <m/>
    <m/>
    <m/>
    <m/>
    <n v="287.43846480686966"/>
    <m/>
    <m/>
    <m/>
    <m/>
    <m/>
    <m/>
    <m/>
    <m/>
    <m/>
    <m/>
    <m/>
    <m/>
    <n v="1166.6146000000001"/>
    <n v="-26.969499999999925"/>
    <m/>
    <m/>
    <m/>
    <m/>
    <n v="-37.393099999999976"/>
    <n v="10.453600000000007"/>
    <n v="31"/>
    <n v="-0.17180197228901761"/>
    <n v="0"/>
    <n v="0"/>
    <n v="0"/>
    <n v="0"/>
    <n v="0"/>
    <n v="0"/>
    <n v="0"/>
    <n v="7.6384969166977896"/>
    <n v="0"/>
    <n v="0"/>
    <n v="10.45322839302861"/>
    <n v="0"/>
    <n v="0"/>
    <n v="0"/>
    <n v="1.169536917458224"/>
    <n v="0"/>
    <n v="-16.885249575973305"/>
    <m/>
    <n v="0"/>
    <n v="0"/>
    <n v="0"/>
    <n v="0"/>
    <n v="-2.2335337664707797"/>
    <n v="-0.31428085702952968"/>
    <n v="0"/>
    <n v="0"/>
    <m/>
    <m/>
    <m/>
    <n v="594.1139209391182"/>
    <n v="0"/>
    <n v="0"/>
    <n v="-37.393100000000004"/>
    <n v="10.453599999999994"/>
    <n v="0"/>
    <n v="0"/>
    <n v="-26.757245606162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8"/>
    <s v="Regular"/>
    <s v="Verde"/>
    <s v="A4"/>
    <s v="Poder público"/>
    <s v="Não se aplica"/>
    <s v="Não se aplica"/>
    <s v="Não se aplica"/>
    <s v="Ponta"/>
    <s v="CATIVO"/>
    <x v="8"/>
    <n v="0"/>
    <n v="0"/>
    <n v="8.6999999999999994E-2"/>
    <n v="8.6999999999999994E-2"/>
    <n v="8.6999999999999994E-2"/>
    <n v="8.6999999999999994E-2"/>
    <m/>
    <n v="2740.31"/>
    <n v="144.41999999999999"/>
    <m/>
    <n v="250.97150999999997"/>
    <n v="250.97150999999997"/>
    <n v="245.89853999999997"/>
    <n v="0"/>
    <n v="4.6474398306809181"/>
    <n v="0"/>
    <n v="0"/>
    <n v="0"/>
    <n v="65.481664752519961"/>
    <n v="166.86665824161634"/>
    <n v="12.564698655852281"/>
    <n v="0"/>
    <n v="0"/>
    <n v="0"/>
    <n v="0"/>
    <n v="0"/>
    <n v="0.82499974180871438"/>
    <m/>
    <n v="4.32986127001623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275840839395961"/>
    <n v="0"/>
    <n v="0"/>
    <n v="0"/>
    <n v="0"/>
    <n v="0"/>
    <m/>
    <m/>
    <m/>
    <m/>
    <m/>
    <m/>
    <m/>
    <m/>
    <m/>
    <n v="13.10745706424624"/>
    <m/>
    <m/>
    <m/>
    <m/>
    <m/>
    <m/>
    <m/>
    <m/>
    <m/>
    <m/>
    <m/>
    <m/>
    <n v="254.37779999999998"/>
    <n v="3.37629000000004"/>
    <m/>
    <m/>
    <m/>
    <m/>
    <n v="-5.5810500000000074"/>
    <n v="0.50808000000000031"/>
    <n v="31"/>
    <n v="2.4427309256736436"/>
    <n v="0"/>
    <n v="0"/>
    <n v="0"/>
    <n v="0"/>
    <n v="0"/>
    <n v="0"/>
    <n v="0"/>
    <n v="2.7404961760899624"/>
    <n v="0"/>
    <n v="0"/>
    <n v="0.50806193865558136"/>
    <n v="0"/>
    <n v="0"/>
    <n v="0"/>
    <n v="2.1946796874573127E-2"/>
    <n v="0"/>
    <n v="-0.71399136335498037"/>
    <m/>
    <n v="0"/>
    <n v="0"/>
    <n v="0"/>
    <n v="0"/>
    <n v="-0.10855722775584242"/>
    <n v="-5.225394835650661E-3"/>
    <n v="0"/>
    <n v="0"/>
    <m/>
    <m/>
    <m/>
    <n v="166.86665824161634"/>
    <n v="0"/>
    <n v="0"/>
    <n v="-5.5810500000000047"/>
    <n v="0.50808000000000142"/>
    <n v="0"/>
    <n v="0"/>
    <n v="-7.5152121515569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29"/>
    <s v="Regular"/>
    <s v="Verde"/>
    <s v="A4"/>
    <s v="Poder público"/>
    <s v="Não se aplica"/>
    <s v="Não se aplica"/>
    <s v="Não se aplica"/>
    <s v="Fora ponta"/>
    <s v="CATIVO"/>
    <x v="8"/>
    <n v="0"/>
    <n v="0"/>
    <n v="1.706"/>
    <n v="1.706"/>
    <n v="1.706"/>
    <n v="1.706"/>
    <m/>
    <n v="69.64"/>
    <n v="144.41999999999999"/>
    <m/>
    <n v="365.18635999999998"/>
    <n v="365.18635999999998"/>
    <n v="359.35183999999998"/>
    <n v="0"/>
    <n v="91.132555760248806"/>
    <n v="0"/>
    <n v="0"/>
    <n v="0"/>
    <n v="0"/>
    <n v="0"/>
    <n v="246.38363111360908"/>
    <n v="0"/>
    <n v="0"/>
    <n v="0"/>
    <n v="0"/>
    <n v="0"/>
    <n v="16.177581143973182"/>
    <m/>
    <n v="0.84905095708594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43055686437876"/>
    <n v="0"/>
    <n v="0"/>
    <n v="0"/>
    <n v="0"/>
    <n v="0"/>
    <m/>
    <m/>
    <m/>
    <m/>
    <m/>
    <m/>
    <m/>
    <m/>
    <m/>
    <n v="257.02668680004695"/>
    <m/>
    <m/>
    <m/>
    <m/>
    <m/>
    <m/>
    <m/>
    <m/>
    <m/>
    <m/>
    <m/>
    <m/>
    <n v="360.19439999999997"/>
    <n v="-5.0219599999999787"/>
    <m/>
    <m/>
    <m/>
    <m/>
    <n v="-15.797559999999995"/>
    <n v="9.9630400000000048"/>
    <n v="31"/>
    <n v="-5.8389369794280128"/>
    <n v="0"/>
    <n v="0"/>
    <n v="0"/>
    <n v="0"/>
    <n v="0"/>
    <n v="0"/>
    <n v="0"/>
    <n v="0"/>
    <n v="0"/>
    <n v="0"/>
    <n v="9.9626858315681091"/>
    <n v="0"/>
    <n v="0"/>
    <n v="0"/>
    <n v="0.43035902836806628"/>
    <n v="0"/>
    <n v="-14.000796159581569"/>
    <m/>
    <n v="0"/>
    <n v="0"/>
    <n v="0"/>
    <n v="0"/>
    <n v="-2.1287198913961749"/>
    <n v="-0.10246578838643705"/>
    <n v="0"/>
    <n v="0"/>
    <m/>
    <m/>
    <m/>
    <n v="0"/>
    <n v="0"/>
    <n v="0"/>
    <n v="-15.797560000000004"/>
    <n v="9.963040000000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0"/>
    <s v="Regular"/>
    <s v="Verde"/>
    <s v="A4"/>
    <s v="Poder público"/>
    <s v="Não se aplica"/>
    <s v="Não se aplica"/>
    <s v="Não se aplica"/>
    <s v="Não se aplica"/>
    <s v="CATIVO"/>
    <x v="8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87"/>
    <n v="96.32"/>
    <n v="604.95000000000005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1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31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479.12"/>
    <n v="479.12"/>
    <n v="479.12"/>
    <n v="479.12"/>
    <m/>
    <n v="287.3"/>
    <n v="79.430000000000007"/>
    <m/>
    <n v="175707.6776"/>
    <n v="175707.6776"/>
    <n v="171745.35519999999"/>
    <n v="0"/>
    <n v="16180.139442749534"/>
    <n v="0"/>
    <n v="0"/>
    <n v="0"/>
    <n v="26869.054105339808"/>
    <n v="87462.862564353389"/>
    <n v="38057.461275811242"/>
    <n v="0"/>
    <n v="0"/>
    <n v="0"/>
    <n v="0"/>
    <n v="0"/>
    <n v="2498.8578386490249"/>
    <m/>
    <n v="383.37762030324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57.9769879023052"/>
    <n v="0"/>
    <n v="1071.56"/>
    <n v="4945.79"/>
    <n v="54953.31"/>
    <n v="6"/>
    <m/>
    <m/>
    <m/>
    <m/>
    <m/>
    <m/>
    <m/>
    <m/>
    <m/>
    <n v="42315.43826371355"/>
    <m/>
    <m/>
    <m/>
    <m/>
    <m/>
    <m/>
    <m/>
    <m/>
    <m/>
    <m/>
    <m/>
    <m/>
    <n v="171745.35519999999"/>
    <n v="-3962.3524000000325"/>
    <m/>
    <m/>
    <m/>
    <m/>
    <n v="-5500.297600000009"/>
    <n v="1537.9751999999971"/>
    <n v="31"/>
    <n v="-25.291937726375181"/>
    <n v="0"/>
    <n v="0"/>
    <n v="0"/>
    <n v="0"/>
    <n v="0"/>
    <n v="0"/>
    <n v="0"/>
    <n v="1124.5062310057656"/>
    <n v="0"/>
    <n v="0"/>
    <n v="1538.8787336407768"/>
    <n v="0"/>
    <n v="0"/>
    <n v="0"/>
    <n v="172.17412868207884"/>
    <n v="0"/>
    <n v="-2485.7728643922619"/>
    <m/>
    <n v="0"/>
    <n v="0"/>
    <n v="0"/>
    <n v="0"/>
    <n v="-328.8111083828544"/>
    <n v="-46.267058279886101"/>
    <n v="0"/>
    <n v="0"/>
    <m/>
    <m/>
    <m/>
    <n v="87462.862564353389"/>
    <n v="0"/>
    <n v="0"/>
    <n v="-5500.2976000000199"/>
    <n v="1537.9752000000008"/>
    <n v="0"/>
    <n v="0"/>
    <n v="-3939.085102320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2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9.794"/>
    <n v="18.606359999999999"/>
    <n v="19.794"/>
    <n v="18.606359999999999"/>
    <m/>
    <n v="522.37"/>
    <n v="144.41999999999999"/>
    <m/>
    <n v="13198.44126"/>
    <n v="13198.44126"/>
    <n v="12900.541560000001"/>
    <n v="0"/>
    <n v="1215.3709077618983"/>
    <n v="0"/>
    <n v="0"/>
    <n v="0"/>
    <n v="2018.2685566003438"/>
    <n v="6569.7714810440812"/>
    <n v="2858.6855769418398"/>
    <n v="0"/>
    <n v="0"/>
    <n v="0"/>
    <n v="0"/>
    <n v="0"/>
    <n v="187.70166539496199"/>
    <m/>
    <n v="28.797403635006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9.83787131915358"/>
    <n v="0"/>
    <n v="72.91"/>
    <n v="337.07"/>
    <n v="3984.08"/>
    <n v="35"/>
    <m/>
    <m/>
    <m/>
    <m/>
    <n v="774.03249360000109"/>
    <m/>
    <m/>
    <m/>
    <m/>
    <n v="3178.5234482609935"/>
    <m/>
    <m/>
    <m/>
    <m/>
    <m/>
    <m/>
    <m/>
    <m/>
    <m/>
    <m/>
    <m/>
    <m/>
    <n v="12128.881399999998"/>
    <n v="-277.68338440000116"/>
    <m/>
    <m/>
    <m/>
    <m/>
    <n v="-413.49665999999974"/>
    <n v="115.59696000000007"/>
    <n v="31"/>
    <n v="-1.8998034857486346"/>
    <n v="0"/>
    <n v="0"/>
    <n v="0"/>
    <n v="0"/>
    <n v="0"/>
    <n v="0"/>
    <n v="0"/>
    <n v="84.467267021852422"/>
    <n v="0"/>
    <n v="0"/>
    <n v="115.59285073274214"/>
    <n v="0"/>
    <n v="0"/>
    <n v="0"/>
    <n v="12.932856840317356"/>
    <n v="0"/>
    <n v="-186.71878776917083"/>
    <m/>
    <n v="0"/>
    <n v="0"/>
    <n v="0"/>
    <n v="0"/>
    <n v="-24.698640990794757"/>
    <n v="-3.4753493206941393"/>
    <n v="0"/>
    <n v="0"/>
    <m/>
    <m/>
    <m/>
    <n v="6569.7714810440812"/>
    <n v="0"/>
    <n v="0"/>
    <n v="-413.49665999999888"/>
    <n v="115.59695999999985"/>
    <n v="0"/>
    <n v="0"/>
    <n v="-295.88431258568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3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0.6"/>
    <n v="0.56399999999999995"/>
    <n v="0.6"/>
    <n v="0.56399999999999995"/>
    <m/>
    <n v="2740.31"/>
    <n v="144.41999999999999"/>
    <m/>
    <n v="1730.838"/>
    <n v="1730.838"/>
    <n v="1695.8519999999999"/>
    <n v="0"/>
    <n v="32.051309177109779"/>
    <n v="0"/>
    <n v="0"/>
    <n v="0"/>
    <n v="451.59768794841358"/>
    <n v="1150.8045395973541"/>
    <n v="86.653094178291596"/>
    <n v="0"/>
    <n v="0"/>
    <n v="0"/>
    <n v="0"/>
    <n v="0"/>
    <n v="5.6896533917842378"/>
    <m/>
    <n v="0.29861112207008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7431614371997215"/>
    <n v="0"/>
    <n v="0"/>
    <n v="0"/>
    <n v="0"/>
    <n v="0"/>
    <m/>
    <m/>
    <m/>
    <m/>
    <n v="101.75112000000009"/>
    <m/>
    <m/>
    <m/>
    <m/>
    <n v="90.396255615491313"/>
    <m/>
    <m/>
    <m/>
    <m/>
    <m/>
    <m/>
    <m/>
    <m/>
    <m/>
    <m/>
    <m/>
    <m/>
    <n v="1582.7952"/>
    <n v="-44.222519999999804"/>
    <m/>
    <m/>
    <m/>
    <m/>
    <n v="-38.490000000000052"/>
    <n v="3.5040000000000018"/>
    <n v="31"/>
    <n v="16.846420177059713"/>
    <n v="0"/>
    <n v="0"/>
    <n v="0"/>
    <n v="0"/>
    <n v="0"/>
    <n v="0"/>
    <n v="0"/>
    <n v="18.899973628206567"/>
    <n v="0"/>
    <n v="0"/>
    <n v="3.5038754390040054"/>
    <n v="0"/>
    <n v="0"/>
    <n v="0"/>
    <n v="0.15135721982464245"/>
    <n v="0"/>
    <n v="-4.9240783679653788"/>
    <m/>
    <n v="0"/>
    <n v="0"/>
    <n v="0"/>
    <n v="0"/>
    <n v="-0.74867053624718949"/>
    <n v="-3.6037205763107982E-2"/>
    <n v="0"/>
    <n v="0"/>
    <m/>
    <m/>
    <m/>
    <n v="1150.8045395973541"/>
    <n v="0"/>
    <n v="0"/>
    <n v="-38.490000000000009"/>
    <n v="3.5040000000000049"/>
    <n v="0"/>
    <n v="0"/>
    <n v="-51.829049321082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4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4.9539999999999997"/>
    <n v="4.6567600000000002"/>
    <n v="4.9539999999999997"/>
    <n v="4.6567600000000002"/>
    <m/>
    <n v="69.64"/>
    <n v="144.41999999999999"/>
    <m/>
    <n v="1060.4532399999998"/>
    <n v="1060.4532399999998"/>
    <n v="1043.5105599999999"/>
    <n v="0"/>
    <n v="264.63697610566976"/>
    <n v="0"/>
    <n v="0"/>
    <n v="0"/>
    <n v="0"/>
    <n v="0"/>
    <n v="715.46571426542755"/>
    <n v="0"/>
    <n v="0"/>
    <n v="0"/>
    <n v="0"/>
    <n v="0"/>
    <n v="46.97757150483185"/>
    <m/>
    <n v="2.4655324978920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906036266479035"/>
    <n v="0"/>
    <n v="0"/>
    <n v="0"/>
    <n v="0"/>
    <n v="0"/>
    <m/>
    <m/>
    <m/>
    <m/>
    <n v="62.610633599999893"/>
    <m/>
    <m/>
    <m/>
    <m/>
    <n v="746.37175053190663"/>
    <m/>
    <m/>
    <m/>
    <m/>
    <m/>
    <m/>
    <m/>
    <m/>
    <m/>
    <m/>
    <m/>
    <m/>
    <n v="981.58240000000001"/>
    <n v="-15.273645600000009"/>
    <m/>
    <m/>
    <m/>
    <m/>
    <n v="-45.874039999999987"/>
    <n v="28.931360000000016"/>
    <n v="31"/>
    <n v="-16.955506328303954"/>
    <n v="0"/>
    <n v="0"/>
    <n v="0"/>
    <n v="0"/>
    <n v="0"/>
    <n v="0"/>
    <n v="0"/>
    <n v="0"/>
    <n v="0"/>
    <n v="0"/>
    <n v="28.930331541376518"/>
    <n v="0"/>
    <n v="0"/>
    <n v="0"/>
    <n v="1.2497061116854624"/>
    <n v="0"/>
    <n v="-40.656473724834171"/>
    <m/>
    <n v="0"/>
    <n v="0"/>
    <n v="0"/>
    <n v="0"/>
    <n v="-6.1815230609476188"/>
    <n v="-0.29754719558406162"/>
    <n v="0"/>
    <n v="0"/>
    <m/>
    <m/>
    <m/>
    <n v="0"/>
    <n v="0"/>
    <n v="0"/>
    <n v="-45.874039999999979"/>
    <n v="28.931360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Não se aplica"/>
    <s v="CATIVO"/>
    <x v="8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71"/>
    <n v="160.21"/>
    <n v="1164.8599999999999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1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36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4.9660000000000002"/>
    <n v="4.9660000000000002"/>
    <n v="4.9660000000000002"/>
    <n v="4.9660000000000002"/>
    <m/>
    <n v="522.37"/>
    <n v="144.41999999999999"/>
    <m/>
    <n v="3311.2791400000001"/>
    <n v="3311.2791400000001"/>
    <n v="3236.5408400000001"/>
    <n v="0"/>
    <n v="304.91724401058843"/>
    <n v="0"/>
    <n v="0"/>
    <n v="0"/>
    <n v="506.35150308564749"/>
    <n v="1648.2512465830509"/>
    <n v="717.19877614899349"/>
    <n v="0"/>
    <n v="0"/>
    <n v="0"/>
    <n v="0"/>
    <n v="0"/>
    <n v="47.091364572667544"/>
    <m/>
    <n v="7.224810874580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242238505148876"/>
    <n v="0"/>
    <n v="0"/>
    <n v="0"/>
    <n v="0"/>
    <n v="4"/>
    <m/>
    <m/>
    <m/>
    <m/>
    <m/>
    <m/>
    <m/>
    <m/>
    <m/>
    <n v="797.44101465414235"/>
    <m/>
    <m/>
    <m/>
    <m/>
    <m/>
    <m/>
    <m/>
    <m/>
    <m/>
    <m/>
    <m/>
    <m/>
    <n v="3239.1477999999997"/>
    <n v="-72.161340000001019"/>
    <m/>
    <m/>
    <m/>
    <m/>
    <n v="-103.73973999999994"/>
    <n v="29.001440000000017"/>
    <n v="31"/>
    <n v="-0.47663049965740356"/>
    <n v="0"/>
    <n v="0"/>
    <n v="0"/>
    <n v="0"/>
    <n v="0"/>
    <n v="0"/>
    <n v="0"/>
    <n v="21.191494797944927"/>
    <n v="0"/>
    <n v="0"/>
    <n v="29.000409050156463"/>
    <n v="0"/>
    <n v="0"/>
    <n v="0"/>
    <n v="3.2446482302220829"/>
    <n v="0"/>
    <n v="-46.84477619792375"/>
    <m/>
    <n v="0"/>
    <n v="0"/>
    <n v="0"/>
    <n v="0"/>
    <n v="-6.1964964716725746"/>
    <n v="-0.87190990838471638"/>
    <n v="0"/>
    <n v="0"/>
    <m/>
    <m/>
    <m/>
    <n v="1648.2512465830509"/>
    <n v="0"/>
    <n v="0"/>
    <n v="-103.73973999999998"/>
    <n v="29.001440000000002"/>
    <n v="0"/>
    <n v="0"/>
    <n v="-74.23267132972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7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20.2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38"/>
    <s v="Regular"/>
    <s v="Convencional"/>
    <s v="B2"/>
    <s v="Rural"/>
    <s v="Agropecuária rural"/>
    <s v="IRRIG./AQUIC."/>
    <s v="Não se aplica"/>
    <s v="Não se aplica"/>
    <s v="CATIVO"/>
    <x v="8"/>
    <n v="0"/>
    <n v="0"/>
    <n v="1.6259999999999999"/>
    <n v="1.6259999999999999"/>
    <n v="1.6259999999999999"/>
    <n v="1.6259999999999999"/>
    <m/>
    <n v="522.37"/>
    <n v="144.41999999999999"/>
    <m/>
    <n v="1084.2005399999998"/>
    <n v="1084.2005399999998"/>
    <n v="1059.7292399999999"/>
    <n v="0"/>
    <n v="99.837986057433895"/>
    <n v="0"/>
    <n v="0"/>
    <n v="0"/>
    <n v="165.79290052703641"/>
    <n v="539.6811371212325"/>
    <n v="234.82988522317021"/>
    <n v="0"/>
    <n v="0"/>
    <n v="0"/>
    <n v="0"/>
    <n v="0"/>
    <n v="15.418960691735283"/>
    <m/>
    <n v="2.3655945392806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273435322064447"/>
    <n v="0"/>
    <n v="0"/>
    <n v="0"/>
    <n v="0"/>
    <n v="0"/>
    <m/>
    <m/>
    <m/>
    <m/>
    <m/>
    <n v="127.15320000000003"/>
    <m/>
    <m/>
    <m/>
    <n v="261.10332054523468"/>
    <m/>
    <m/>
    <m/>
    <m/>
    <m/>
    <m/>
    <m/>
    <m/>
    <m/>
    <m/>
    <m/>
    <m/>
    <n v="934.87019999999995"/>
    <n v="-19.247819999999933"/>
    <m/>
    <m/>
    <m/>
    <m/>
    <n v="-33.967139999999972"/>
    <n v="9.4958400000000047"/>
    <n v="31"/>
    <n v="-0.15606145639219449"/>
    <n v="0"/>
    <n v="0"/>
    <n v="0"/>
    <n v="0"/>
    <n v="0"/>
    <n v="0"/>
    <n v="0"/>
    <n v="6.9386569757266159"/>
    <n v="0"/>
    <n v="0"/>
    <n v="9.4955024397008572"/>
    <n v="0"/>
    <n v="0"/>
    <n v="0"/>
    <n v="1.0623838144061857"/>
    <n v="0"/>
    <n v="-15.338221123202572"/>
    <m/>
    <n v="0"/>
    <n v="0"/>
    <n v="0"/>
    <n v="0"/>
    <n v="-2.0288971532298827"/>
    <n v="-0.28548640979330431"/>
    <n v="0"/>
    <n v="0"/>
    <m/>
    <m/>
    <m/>
    <n v="539.6811371212325"/>
    <n v="0"/>
    <n v="0"/>
    <n v="-33.967139999999972"/>
    <n v="9.495839999999987"/>
    <n v="0"/>
    <n v="0"/>
    <n v="-24.305743774089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38"/>
    <n v="0.152"/>
    <n v="0.38"/>
    <n v="0.152"/>
    <m/>
    <n v="522.37"/>
    <n v="144.41999999999999"/>
    <m/>
    <n v="253.3802"/>
    <n v="253.3802"/>
    <n v="247.66120000000001"/>
    <n v="0"/>
    <n v="23.332370665328956"/>
    <n v="0"/>
    <n v="0"/>
    <n v="0"/>
    <n v="38.746188315051562"/>
    <n v="126.12474299266196"/>
    <n v="54.880292979584674"/>
    <n v="0"/>
    <n v="0"/>
    <n v="0"/>
    <n v="0"/>
    <n v="0"/>
    <n v="3.6034471481300172"/>
    <m/>
    <n v="0.55284497227960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401632363988261"/>
    <n v="0"/>
    <n v="0"/>
    <n v="0"/>
    <n v="0"/>
    <n v="0"/>
    <m/>
    <m/>
    <m/>
    <m/>
    <m/>
    <m/>
    <n v="160.48312000000001"/>
    <m/>
    <m/>
    <n v="61.020456215983501"/>
    <m/>
    <m/>
    <m/>
    <m/>
    <m/>
    <m/>
    <m/>
    <m/>
    <m/>
    <m/>
    <m/>
    <m/>
    <n v="86.031000000000006"/>
    <n v="-3.1880400000000009"/>
    <m/>
    <m/>
    <m/>
    <m/>
    <n v="-7.9381999999999948"/>
    <n v="2.2192000000000012"/>
    <n v="31"/>
    <n v="-3.6471927078068234E-2"/>
    <n v="0"/>
    <n v="0"/>
    <n v="0"/>
    <n v="0"/>
    <n v="0"/>
    <n v="0"/>
    <n v="0"/>
    <n v="1.621580351030822"/>
    <n v="0"/>
    <n v="0"/>
    <n v="2.219121111369212"/>
    <n v="0"/>
    <n v="0"/>
    <n v="0"/>
    <n v="0.24828158024252822"/>
    <n v="0"/>
    <n v="-3.5845781222736619"/>
    <m/>
    <n v="0"/>
    <n v="0"/>
    <n v="0"/>
    <n v="0"/>
    <n v="-0.47415800628988647"/>
    <n v="-6.6718841157106801E-2"/>
    <n v="0"/>
    <n v="0"/>
    <m/>
    <m/>
    <m/>
    <n v="126.12474299266196"/>
    <n v="0"/>
    <n v="0"/>
    <n v="-7.9381999999999948"/>
    <n v="2.2192000000000007"/>
    <n v="0"/>
    <n v="0"/>
    <n v="-5.680309123095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0"/>
    <s v="Regular"/>
    <s v="Convencional"/>
    <s v="B1"/>
    <s v="Residencial"/>
    <s v="Residencial"/>
    <s v="Não se aplica"/>
    <s v="Não se aplica"/>
    <s v="Não se aplica"/>
    <s v="CATIVO"/>
    <x v="9"/>
    <n v="0"/>
    <n v="0"/>
    <n v="2484.355"/>
    <n v="2484.355"/>
    <n v="2484.355"/>
    <n v="2484.355"/>
    <m/>
    <n v="522.37"/>
    <n v="144.41999999999999"/>
    <m/>
    <n v="1656543.07045"/>
    <n v="1656543.07045"/>
    <n v="1619153.5277"/>
    <n v="0"/>
    <n v="152541.82032700873"/>
    <n v="0"/>
    <n v="0"/>
    <n v="0"/>
    <n v="253313.91229326295"/>
    <n v="824575.35757245973"/>
    <n v="358795.079645516"/>
    <n v="0"/>
    <n v="0"/>
    <n v="0"/>
    <n v="0"/>
    <n v="0"/>
    <n v="23558.531420243551"/>
    <m/>
    <n v="3614.3767660728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143.01378200949"/>
    <n v="0"/>
    <n v="485"/>
    <n v="2256.89"/>
    <n v="305075.37"/>
    <n v="12065"/>
    <m/>
    <m/>
    <m/>
    <m/>
    <m/>
    <m/>
    <m/>
    <m/>
    <m/>
    <n v="398938.09342752548"/>
    <m/>
    <m/>
    <m/>
    <m/>
    <m/>
    <m/>
    <m/>
    <m/>
    <m/>
    <m/>
    <m/>
    <m/>
    <n v="1619156.7864000001"/>
    <n v="-37386.314049999928"/>
    <m/>
    <m/>
    <m/>
    <m/>
    <n v="-51898.175949999968"/>
    <n v="14508.633200000009"/>
    <n v="30"/>
    <n v="-238.44530104252044"/>
    <n v="0"/>
    <n v="0"/>
    <n v="0"/>
    <n v="0"/>
    <n v="0"/>
    <n v="0"/>
    <n v="0"/>
    <n v="10601.529613118852"/>
    <n v="0"/>
    <n v="0"/>
    <n v="14508.117443778028"/>
    <n v="0"/>
    <n v="0"/>
    <n v="0"/>
    <n v="1623.2094349563849"/>
    <n v="0"/>
    <n v="-23435.169949897856"/>
    <m/>
    <n v="0"/>
    <n v="0"/>
    <n v="0"/>
    <n v="0"/>
    <n v="-3099.9389834639769"/>
    <n v="-436.1928595338527"/>
    <n v="0"/>
    <n v="0"/>
    <m/>
    <m/>
    <m/>
    <n v="824575.35757245973"/>
    <n v="0"/>
    <n v="0"/>
    <n v="-51898.175950000063"/>
    <n v="14508.63320000004"/>
    <n v="0"/>
    <n v="0"/>
    <n v="-37136.590451339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1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319"/>
    <n v="-1.319"/>
    <n v="-1.319"/>
    <n v="-1.319"/>
    <m/>
    <n v="522.37"/>
    <n v="144.41999999999999"/>
    <m/>
    <n v="-879.49600999999996"/>
    <n v="-879.49600999999996"/>
    <n v="-859.64506000000006"/>
    <n v="0"/>
    <n v="-80.987886598865501"/>
    <n v="0"/>
    <n v="0"/>
    <n v="0"/>
    <n v="-134.49005891461317"/>
    <n v="-437.78562107189771"/>
    <n v="-190.49238536861102"/>
    <n v="0"/>
    <n v="0"/>
    <n v="0"/>
    <n v="0"/>
    <n v="0"/>
    <n v="-12.507754706272349"/>
    <m/>
    <n v="-1.9189539958863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31282976002645"/>
    <n v="0"/>
    <n v="0"/>
    <n v="0"/>
    <n v="-202.79"/>
    <n v="0"/>
    <m/>
    <m/>
    <m/>
    <m/>
    <m/>
    <m/>
    <m/>
    <m/>
    <m/>
    <n v="-211.80521512863749"/>
    <m/>
    <m/>
    <m/>
    <m/>
    <m/>
    <m/>
    <m/>
    <m/>
    <m/>
    <m/>
    <m/>
    <m/>
    <n v="-860.29680000000008"/>
    <n v="19.169209999999907"/>
    <m/>
    <m/>
    <m/>
    <m/>
    <n v="27.553909999999981"/>
    <n v="-7.7029600000000045"/>
    <n v="30"/>
    <n v="0.12659597846322868"/>
    <n v="0"/>
    <n v="0"/>
    <n v="0"/>
    <n v="0"/>
    <n v="0"/>
    <n v="0"/>
    <n v="0"/>
    <n v="-5.6285907447622492"/>
    <n v="0"/>
    <n v="0"/>
    <n v="-7.7026861734104841"/>
    <n v="0"/>
    <n v="0"/>
    <n v="0"/>
    <n v="-0.86179843247340671"/>
    <n v="0"/>
    <n v="12.442259324418316"/>
    <m/>
    <n v="0"/>
    <n v="0"/>
    <n v="0"/>
    <n v="0"/>
    <n v="1.6458273955167382"/>
    <n v="0.23158460917427326"/>
    <n v="0"/>
    <n v="0"/>
    <m/>
    <m/>
    <m/>
    <n v="-437.78562107189771"/>
    <n v="0"/>
    <n v="0"/>
    <n v="27.553909999999973"/>
    <n v="-7.7029600000000187"/>
    <n v="0"/>
    <n v="0"/>
    <n v="19.71665192990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2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22.15"/>
    <n v="22.15"/>
    <n v="22.15"/>
    <n v="22.15"/>
    <m/>
    <n v="522.37"/>
    <n v="144.41999999999999"/>
    <m/>
    <n v="14769.398499999999"/>
    <n v="14769.398499999999"/>
    <n v="14436.040999999999"/>
    <n v="0"/>
    <n v="1360.0316058869378"/>
    <n v="0"/>
    <n v="0"/>
    <n v="0"/>
    <n v="2258.4949241536633"/>
    <n v="7351.7448875985847"/>
    <n v="3198.9433934152644"/>
    <n v="0"/>
    <n v="0"/>
    <n v="0"/>
    <n v="0"/>
    <n v="0"/>
    <n v="210.04303771336808"/>
    <m/>
    <n v="32.225042463140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9068833848263"/>
    <n v="0"/>
    <n v="0.64"/>
    <n v="3.01"/>
    <n v="7624.09"/>
    <n v="116"/>
    <m/>
    <m/>
    <m/>
    <m/>
    <m/>
    <m/>
    <m/>
    <m/>
    <m/>
    <n v="3556.8502768000908"/>
    <m/>
    <m/>
    <m/>
    <m/>
    <m/>
    <m/>
    <m/>
    <m/>
    <m/>
    <m/>
    <m/>
    <m/>
    <n v="14436.040999999999"/>
    <n v="-333.38750000000073"/>
    <m/>
    <m/>
    <m/>
    <m/>
    <n v="-462.71349999999967"/>
    <n v="129.35600000000008"/>
    <n v="30"/>
    <n v="-2.1259294336314269"/>
    <n v="0"/>
    <n v="0"/>
    <n v="0"/>
    <n v="0"/>
    <n v="0"/>
    <n v="0"/>
    <n v="0"/>
    <n v="94.521065198243832"/>
    <n v="0"/>
    <n v="0"/>
    <n v="129.3514016232316"/>
    <n v="0"/>
    <n v="0"/>
    <n v="0"/>
    <n v="14.472202637820999"/>
    <n v="0"/>
    <n v="-208.94317212726764"/>
    <m/>
    <n v="0"/>
    <n v="0"/>
    <n v="0"/>
    <n v="0"/>
    <n v="-27.638420629792051"/>
    <n v="-3.8890061358681969"/>
    <n v="0"/>
    <n v="0"/>
    <m/>
    <m/>
    <m/>
    <n v="7351.7448875985847"/>
    <n v="0"/>
    <n v="0"/>
    <n v="-462.71349999999984"/>
    <n v="129.35600000000022"/>
    <n v="0"/>
    <n v="0"/>
    <n v="-331.10222914888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5.78"/>
    <n v="15.78"/>
    <n v="15.78"/>
    <n v="15.78"/>
    <m/>
    <n v="451.48"/>
    <n v="144.41999999999999"/>
    <m/>
    <n v="9403.3019999999997"/>
    <n v="9403.3019999999997"/>
    <n v="9334.5011999999988"/>
    <n v="0"/>
    <n v="0"/>
    <n v="0"/>
    <n v="0"/>
    <n v="0"/>
    <n v="1608.9864516092464"/>
    <n v="5237.4959063794886"/>
    <n v="2278.9763768890689"/>
    <n v="0"/>
    <n v="0"/>
    <n v="0"/>
    <n v="0"/>
    <n v="0"/>
    <n v="0"/>
    <m/>
    <n v="22.95761490150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.97835755361439"/>
    <n v="0"/>
    <n v="0.9"/>
    <n v="3.9"/>
    <n v="394.98"/>
    <n v="7"/>
    <m/>
    <m/>
    <m/>
    <m/>
    <m/>
    <m/>
    <m/>
    <n v="6067.41"/>
    <m/>
    <n v="2533.9547344426833"/>
    <m/>
    <m/>
    <m/>
    <m/>
    <m/>
    <m/>
    <m/>
    <m/>
    <m/>
    <m/>
    <m/>
    <m/>
    <n v="3267.0911999999998"/>
    <n v="-24.173400000001038"/>
    <m/>
    <m/>
    <m/>
    <m/>
    <n v="-160.9560000000007"/>
    <n v="92.15520000000005"/>
    <n v="30"/>
    <n v="167.02981341958002"/>
    <n v="0"/>
    <n v="0"/>
    <n v="0"/>
    <n v="0"/>
    <n v="0"/>
    <n v="0"/>
    <n v="0"/>
    <n v="67.338257734911394"/>
    <n v="0"/>
    <n v="0"/>
    <n v="92.151924045805572"/>
    <n v="0"/>
    <n v="0"/>
    <n v="0"/>
    <n v="10.310219305860755"/>
    <n v="0"/>
    <n v="0"/>
    <m/>
    <n v="0"/>
    <n v="0"/>
    <n v="0"/>
    <n v="0"/>
    <n v="0"/>
    <n v="-2.7705876669977485"/>
    <n v="0"/>
    <n v="0"/>
    <m/>
    <m/>
    <m/>
    <n v="5237.4959063794886"/>
    <n v="0"/>
    <n v="0"/>
    <n v="-160.95600000000104"/>
    <n v="92.15520000000015"/>
    <n v="0"/>
    <n v="0"/>
    <n v="-235.88231042750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4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03"/>
    <n v="0.03"/>
    <n v="0.03"/>
    <n v="0.03"/>
    <m/>
    <n v="451.48"/>
    <n v="144.41999999999999"/>
    <m/>
    <n v="17.876999999999999"/>
    <n v="17.876999999999999"/>
    <n v="17.746199999999998"/>
    <n v="0"/>
    <n v="0"/>
    <n v="0"/>
    <n v="0"/>
    <n v="0"/>
    <n v="3.0589096038198598"/>
    <n v="9.9572165520522589"/>
    <n v="4.3326547089145793"/>
    <n v="0"/>
    <n v="0"/>
    <n v="0"/>
    <n v="0"/>
    <n v="0"/>
    <n v="0"/>
    <m/>
    <n v="4.36456557062846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474972918938097"/>
    <n v="0"/>
    <n v="0"/>
    <n v="0"/>
    <n v="0.75"/>
    <n v="0"/>
    <m/>
    <m/>
    <m/>
    <m/>
    <m/>
    <m/>
    <m/>
    <n v="11.534999999999998"/>
    <m/>
    <n v="4.81740443810396"/>
    <m/>
    <m/>
    <m/>
    <m/>
    <m/>
    <m/>
    <m/>
    <m/>
    <m/>
    <m/>
    <m/>
    <m/>
    <n v="6.2111999999999998"/>
    <n v="-7.5899999999998968E-2"/>
    <m/>
    <m/>
    <m/>
    <m/>
    <n v="-0.30600000000000133"/>
    <n v="0.17520000000000011"/>
    <n v="30"/>
    <n v="0.3175471738014819"/>
    <n v="0"/>
    <n v="0"/>
    <n v="0"/>
    <n v="0"/>
    <n v="0"/>
    <n v="0"/>
    <n v="0"/>
    <n v="0.12801950139717011"/>
    <n v="0"/>
    <n v="0"/>
    <n v="0.17519377195020081"/>
    <n v="0"/>
    <n v="0"/>
    <n v="0"/>
    <n v="1.9601177387568058E-2"/>
    <n v="0"/>
    <n v="0"/>
    <m/>
    <n v="0"/>
    <n v="0"/>
    <n v="0"/>
    <n v="0"/>
    <n v="0"/>
    <n v="-5.2672769334558001E-3"/>
    <n v="0"/>
    <n v="0"/>
    <m/>
    <m/>
    <m/>
    <n v="9.9572165520522589"/>
    <n v="0"/>
    <n v="0"/>
    <n v="-0.30600000000000094"/>
    <n v="0.17520000000000024"/>
    <n v="0"/>
    <n v="0"/>
    <n v="-0.44844545708651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5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33.924999999999997"/>
    <n v="33.924999999999997"/>
    <n v="33.924999999999997"/>
    <n v="33.924999999999997"/>
    <m/>
    <n v="451.48"/>
    <n v="144.41999999999999"/>
    <m/>
    <n v="20215.907499999998"/>
    <n v="20215.907499999998"/>
    <n v="20067.994499999997"/>
    <n v="0"/>
    <n v="0"/>
    <n v="0"/>
    <n v="0"/>
    <n v="0"/>
    <n v="3459.1169436529581"/>
    <n v="11259.952384279097"/>
    <n v="4899.5103666642372"/>
    <n v="0"/>
    <n v="0"/>
    <n v="0"/>
    <n v="0"/>
    <n v="0"/>
    <n v="0"/>
    <m/>
    <n v="49.355962327856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8.17115209165831"/>
    <n v="0"/>
    <n v="3.33"/>
    <n v="15.32"/>
    <n v="1456.88"/>
    <n v="78"/>
    <m/>
    <m/>
    <m/>
    <m/>
    <m/>
    <m/>
    <m/>
    <n v="8026.9942499999988"/>
    <m/>
    <n v="5447.681518755895"/>
    <m/>
    <m/>
    <m/>
    <m/>
    <m/>
    <m/>
    <m/>
    <m/>
    <m/>
    <m/>
    <m/>
    <m/>
    <n v="12042.7749"/>
    <n v="-86.799599999998463"/>
    <m/>
    <m/>
    <m/>
    <m/>
    <n v="-346.0350000000015"/>
    <n v="198.1220000000001"/>
    <n v="30"/>
    <n v="359.09292904051108"/>
    <n v="0"/>
    <n v="0"/>
    <n v="0"/>
    <n v="0"/>
    <n v="0"/>
    <n v="0"/>
    <n v="0"/>
    <n v="144.76871949663291"/>
    <n v="0"/>
    <n v="0"/>
    <n v="198.1149571136848"/>
    <n v="0"/>
    <n v="0"/>
    <n v="0"/>
    <n v="22.165664762441452"/>
    <n v="0"/>
    <n v="0"/>
    <m/>
    <n v="0"/>
    <n v="0"/>
    <n v="0"/>
    <n v="0"/>
    <n v="0"/>
    <n v="-5.9564123322495988"/>
    <n v="0"/>
    <n v="0"/>
    <m/>
    <m/>
    <m/>
    <n v="11259.952384279097"/>
    <n v="0"/>
    <n v="0"/>
    <n v="-346.03500000000167"/>
    <n v="198.12199999999939"/>
    <n v="0"/>
    <n v="0"/>
    <n v="-507.1170710553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6"/>
    <s v="Refaturamento - 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02"/>
    <n v="0.02"/>
    <n v="0.02"/>
    <n v="0.02"/>
    <m/>
    <n v="451.48"/>
    <n v="144.41999999999999"/>
    <m/>
    <n v="11.917999999999999"/>
    <n v="11.917999999999999"/>
    <n v="11.8308"/>
    <n v="0"/>
    <n v="0"/>
    <n v="0"/>
    <n v="0"/>
    <n v="0"/>
    <n v="2.0392730692132401"/>
    <n v="6.6381443680348404"/>
    <n v="2.8884364726097198"/>
    <n v="0"/>
    <n v="0"/>
    <n v="0"/>
    <n v="0"/>
    <n v="0"/>
    <n v="0"/>
    <m/>
    <n v="2.90971038041898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316648612625398"/>
    <n v="0"/>
    <n v="0"/>
    <n v="0"/>
    <n v="0.85"/>
    <n v="0"/>
    <m/>
    <m/>
    <m/>
    <m/>
    <m/>
    <m/>
    <m/>
    <n v="4.7321999999999997"/>
    <m/>
    <n v="3.2116029587359738"/>
    <m/>
    <m/>
    <m/>
    <m/>
    <m/>
    <m/>
    <m/>
    <m/>
    <m/>
    <m/>
    <m/>
    <m/>
    <n v="7.0985999999999994"/>
    <n v="-8.2200000000000273E-2"/>
    <m/>
    <m/>
    <m/>
    <m/>
    <n v="-0.2040000000000009"/>
    <n v="0.11680000000000007"/>
    <n v="30"/>
    <n v="0.21169811586765519"/>
    <n v="0"/>
    <n v="0"/>
    <n v="0"/>
    <n v="0"/>
    <n v="0"/>
    <n v="0"/>
    <n v="0"/>
    <n v="8.5346334264779777E-2"/>
    <n v="0"/>
    <n v="0"/>
    <n v="0.11679584796680054"/>
    <n v="0"/>
    <n v="0"/>
    <n v="0"/>
    <n v="1.306745159171202E-2"/>
    <n v="0"/>
    <n v="0"/>
    <m/>
    <n v="0"/>
    <n v="0"/>
    <n v="0"/>
    <n v="0"/>
    <n v="0"/>
    <n v="-3.5115179556372E-3"/>
    <n v="0"/>
    <n v="0"/>
    <m/>
    <m/>
    <m/>
    <n v="6.6381443680348404"/>
    <n v="0"/>
    <n v="0"/>
    <n v="-0.20400000000000063"/>
    <n v="0.11680000000000001"/>
    <n v="0"/>
    <n v="0"/>
    <n v="-0.298963638057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7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37.840000000000003"/>
    <n v="37.840000000000003"/>
    <n v="37.840000000000003"/>
    <n v="37.840000000000003"/>
    <m/>
    <n v="451.48"/>
    <n v="144.41999999999999"/>
    <m/>
    <n v="22548.856000000003"/>
    <n v="22548.856000000003"/>
    <n v="22383.873600000003"/>
    <n v="0"/>
    <n v="0"/>
    <n v="0"/>
    <n v="0"/>
    <n v="0"/>
    <n v="3858.3046469514506"/>
    <n v="12559.369144321918"/>
    <n v="5464.92180617759"/>
    <n v="0"/>
    <n v="0"/>
    <n v="0"/>
    <n v="0"/>
    <n v="0"/>
    <n v="0"/>
    <m/>
    <n v="55.051720397527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1.43099175087264"/>
    <n v="0"/>
    <n v="5.48"/>
    <n v="25.97"/>
    <n v="4194.87"/>
    <n v="242"/>
    <m/>
    <m/>
    <m/>
    <m/>
    <m/>
    <m/>
    <m/>
    <n v="2238.2359999999994"/>
    <m/>
    <n v="6076.3527979284627"/>
    <m/>
    <m/>
    <m/>
    <m/>
    <m/>
    <m/>
    <m/>
    <m/>
    <m/>
    <m/>
    <m/>
    <m/>
    <n v="20145.637600000002"/>
    <n v="-148.74119999999675"/>
    <m/>
    <m/>
    <m/>
    <m/>
    <n v="-385.96800000000178"/>
    <n v="220.98560000000015"/>
    <n v="30"/>
    <n v="400.53283522160564"/>
    <n v="0"/>
    <n v="0"/>
    <n v="0"/>
    <n v="0"/>
    <n v="0"/>
    <n v="0"/>
    <n v="0"/>
    <n v="161.47526442896333"/>
    <n v="0"/>
    <n v="0"/>
    <n v="220.97774435318661"/>
    <n v="0"/>
    <n v="0"/>
    <n v="0"/>
    <n v="24.723618411519055"/>
    <n v="0"/>
    <n v="0"/>
    <m/>
    <n v="0"/>
    <n v="0"/>
    <n v="0"/>
    <n v="0"/>
    <n v="0"/>
    <n v="-6.6437919720655856"/>
    <n v="0"/>
    <n v="0"/>
    <m/>
    <m/>
    <m/>
    <n v="12559.369144321918"/>
    <n v="0"/>
    <n v="0"/>
    <n v="-385.96800000000076"/>
    <n v="220.98560000000089"/>
    <n v="0"/>
    <n v="0"/>
    <n v="-565.6392032051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8"/>
    <s v="Refaturamento - 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-1.6E-2"/>
    <n v="-1.6E-2"/>
    <n v="-1.6E-2"/>
    <n v="-1.6E-2"/>
    <m/>
    <n v="451.48"/>
    <n v="144.41999999999999"/>
    <m/>
    <n v="-9.5344000000000015"/>
    <n v="-9.5344000000000015"/>
    <n v="-9.4646399999999993"/>
    <n v="0"/>
    <n v="0"/>
    <n v="0"/>
    <n v="0"/>
    <n v="0"/>
    <n v="-1.6314184553705922"/>
    <n v="-5.3105154944278725"/>
    <n v="-2.310749178087776"/>
    <n v="0"/>
    <n v="0"/>
    <n v="0"/>
    <n v="0"/>
    <n v="0"/>
    <n v="0"/>
    <m/>
    <n v="-2.3277683043351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5853318890100319"/>
    <n v="0"/>
    <n v="0"/>
    <n v="0"/>
    <n v="-1.86"/>
    <n v="0"/>
    <m/>
    <m/>
    <m/>
    <m/>
    <m/>
    <m/>
    <m/>
    <n v="-0.94639999999999969"/>
    <m/>
    <n v="-2.5692823669887792"/>
    <m/>
    <m/>
    <m/>
    <m/>
    <m/>
    <m/>
    <m/>
    <m/>
    <m/>
    <m/>
    <m/>
    <m/>
    <n v="-10.6478"/>
    <n v="-2.096680000000001"/>
    <m/>
    <m/>
    <m/>
    <m/>
    <n v="0.16320000000000073"/>
    <n v="-9.3440000000000051E-2"/>
    <n v="30"/>
    <n v="-0.16935849269412362"/>
    <n v="0"/>
    <n v="0"/>
    <n v="0"/>
    <n v="0"/>
    <n v="0"/>
    <n v="0"/>
    <n v="0"/>
    <n v="-6.8277067411823822E-2"/>
    <n v="0"/>
    <n v="0"/>
    <n v="-9.3436678373440163E-2"/>
    <n v="0"/>
    <n v="0"/>
    <n v="0"/>
    <n v="-1.0453961273369616E-2"/>
    <n v="0"/>
    <n v="0"/>
    <m/>
    <n v="0"/>
    <n v="0"/>
    <n v="0"/>
    <n v="0"/>
    <n v="0"/>
    <n v="2.80921436450976E-3"/>
    <n v="0"/>
    <n v="0"/>
    <m/>
    <m/>
    <m/>
    <n v="-5.3105154944278725"/>
    <n v="0"/>
    <n v="0"/>
    <n v="0.16320000000000068"/>
    <n v="-9.344000000000019E-2"/>
    <n v="0"/>
    <n v="0"/>
    <n v="0.239170910446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4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8.523"/>
    <n v="18.523"/>
    <n v="18.523"/>
    <n v="18.523"/>
    <m/>
    <n v="451.48"/>
    <n v="144.41999999999999"/>
    <m/>
    <n v="11037.8557"/>
    <n v="11037.8557"/>
    <n v="10957.09542"/>
    <n v="0"/>
    <n v="0"/>
    <n v="0"/>
    <n v="0"/>
    <n v="0"/>
    <n v="1888.6727530518422"/>
    <n v="6147.9174064554672"/>
    <n v="2675.1254391074917"/>
    <n v="0"/>
    <n v="0"/>
    <n v="0"/>
    <n v="0"/>
    <n v="0"/>
    <n v="0"/>
    <m/>
    <n v="26.94828268825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.30064112583011"/>
    <n v="0"/>
    <n v="1.37"/>
    <n v="6.63"/>
    <n v="3247.82"/>
    <n v="197"/>
    <m/>
    <m/>
    <m/>
    <m/>
    <m/>
    <m/>
    <m/>
    <m/>
    <m/>
    <n v="2974.426080233322"/>
    <m/>
    <m/>
    <m/>
    <m/>
    <m/>
    <m/>
    <m/>
    <m/>
    <m/>
    <m/>
    <m/>
    <m/>
    <n v="10955.3208"/>
    <n v="-82.564900000001217"/>
    <m/>
    <m/>
    <m/>
    <m/>
    <n v="-188.93460000000084"/>
    <n v="108.17432000000007"/>
    <n v="30"/>
    <n v="196.06421001082981"/>
    <n v="0"/>
    <n v="0"/>
    <n v="0"/>
    <n v="0"/>
    <n v="0"/>
    <n v="0"/>
    <n v="0"/>
    <n v="79.043507479326081"/>
    <n v="0"/>
    <n v="0"/>
    <n v="108.17047459445257"/>
    <n v="0"/>
    <n v="0"/>
    <n v="0"/>
    <n v="12.102420291664089"/>
    <n v="0"/>
    <n v="0"/>
    <m/>
    <n v="0"/>
    <n v="0"/>
    <n v="0"/>
    <n v="0"/>
    <n v="0"/>
    <n v="-3.252192354613392"/>
    <n v="0"/>
    <n v="0"/>
    <m/>
    <m/>
    <m/>
    <n v="6147.9174064554672"/>
    <n v="0"/>
    <n v="0"/>
    <n v="-188.9346000000005"/>
    <n v="108.17432000000008"/>
    <n v="0"/>
    <n v="0"/>
    <n v="-276.88517338712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0"/>
    <s v="Refaturamento - 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309"/>
    <n v="0.309"/>
    <n v="0.309"/>
    <n v="0.309"/>
    <m/>
    <n v="451.48"/>
    <n v="144.41999999999999"/>
    <m/>
    <n v="184.13309999999998"/>
    <n v="184.13309999999998"/>
    <n v="182.78585999999999"/>
    <n v="0"/>
    <n v="0"/>
    <n v="0"/>
    <n v="0"/>
    <n v="0"/>
    <n v="31.506768919344559"/>
    <n v="102.55933048613828"/>
    <n v="44.626343501820173"/>
    <n v="0"/>
    <n v="0"/>
    <n v="0"/>
    <n v="0"/>
    <n v="0"/>
    <n v="0"/>
    <m/>
    <n v="0.4495502537747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929222106506241"/>
    <n v="0"/>
    <n v="0"/>
    <n v="0"/>
    <n v="54.15"/>
    <n v="0"/>
    <m/>
    <m/>
    <m/>
    <m/>
    <m/>
    <m/>
    <m/>
    <m/>
    <m/>
    <n v="49.619265712470799"/>
    <m/>
    <m/>
    <m/>
    <m/>
    <m/>
    <m/>
    <m/>
    <m/>
    <m/>
    <m/>
    <m/>
    <m/>
    <n v="183.37739999999999"/>
    <n v="-0.78569999999996298"/>
    <m/>
    <m/>
    <m/>
    <m/>
    <n v="-3.1518000000000139"/>
    <n v="1.8045600000000011"/>
    <n v="30"/>
    <n v="3.2707358901552652"/>
    <n v="0"/>
    <n v="0"/>
    <n v="0"/>
    <n v="0"/>
    <n v="0"/>
    <n v="0"/>
    <n v="0"/>
    <n v="1.3186008643908522"/>
    <n v="0"/>
    <n v="0"/>
    <n v="1.8044958510870615"/>
    <n v="0"/>
    <n v="0"/>
    <n v="0"/>
    <n v="0.20189212709195026"/>
    <n v="0"/>
    <n v="0"/>
    <m/>
    <n v="0"/>
    <n v="0"/>
    <n v="0"/>
    <n v="0"/>
    <n v="0"/>
    <n v="-5.4252952414594768E-2"/>
    <n v="0"/>
    <n v="0"/>
    <m/>
    <m/>
    <m/>
    <n v="102.55933048613828"/>
    <n v="0"/>
    <n v="0"/>
    <n v="-3.1518000000000086"/>
    <n v="1.8045599999999951"/>
    <n v="0"/>
    <n v="0"/>
    <n v="-4.6189882079911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1"/>
    <s v="Regular"/>
    <s v="Convencional"/>
    <s v="B3"/>
    <s v="Industrial"/>
    <s v="Não se aplica"/>
    <s v="Não se aplica"/>
    <s v="Não se aplica"/>
    <s v="Não se aplica"/>
    <s v="CATIVO"/>
    <x v="9"/>
    <n v="0"/>
    <n v="0"/>
    <n v="344.166"/>
    <n v="344.166"/>
    <n v="344.166"/>
    <n v="344.166"/>
    <m/>
    <n v="522.37"/>
    <n v="144.41999999999999"/>
    <m/>
    <n v="229486.44714"/>
    <n v="229486.44714"/>
    <n v="224306.74884000001"/>
    <n v="0"/>
    <n v="21132.128111588434"/>
    <n v="0"/>
    <n v="0"/>
    <n v="0"/>
    <n v="35092.4227569422"/>
    <n v="114231.17972845394"/>
    <n v="49705.081351609842"/>
    <n v="0"/>
    <n v="0"/>
    <n v="0"/>
    <n v="0"/>
    <n v="0"/>
    <n v="3263.6420820613566"/>
    <m/>
    <n v="500.71169139363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61.1458432064164"/>
    <n v="0"/>
    <n v="24.95"/>
    <n v="117.39"/>
    <n v="66792.67"/>
    <n v="571"/>
    <m/>
    <m/>
    <m/>
    <m/>
    <m/>
    <m/>
    <m/>
    <m/>
    <m/>
    <n v="55266.22719481626"/>
    <m/>
    <m/>
    <m/>
    <m/>
    <m/>
    <m/>
    <m/>
    <m/>
    <m/>
    <m/>
    <m/>
    <m/>
    <n v="224309.35580000002"/>
    <n v="-5177.1213400000124"/>
    <m/>
    <m/>
    <m/>
    <m/>
    <n v="-7189.6277399999954"/>
    <n v="2009.9294400000013"/>
    <n v="30"/>
    <n v="-33.032624354629661"/>
    <n v="0"/>
    <n v="0"/>
    <n v="0"/>
    <n v="0"/>
    <n v="0"/>
    <n v="0"/>
    <n v="0"/>
    <n v="1468.6653239286097"/>
    <n v="0"/>
    <n v="0"/>
    <n v="2009.8579905670922"/>
    <n v="0"/>
    <n v="0"/>
    <n v="0"/>
    <n v="224.8686272256582"/>
    <n v="0"/>
    <n v="-3246.5524053432564"/>
    <m/>
    <n v="0"/>
    <n v="0"/>
    <n v="0"/>
    <n v="0"/>
    <n v="-429.4449062967501"/>
    <n v="-60.427254435991586"/>
    <n v="0"/>
    <n v="0"/>
    <m/>
    <m/>
    <m/>
    <n v="114231.17972845394"/>
    <n v="0"/>
    <n v="0"/>
    <n v="-7189.6277399999963"/>
    <n v="2009.9294399999999"/>
    <n v="0"/>
    <n v="0"/>
    <n v="-5144.6559727879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2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11.874000000000001"/>
    <n v="11.874000000000001"/>
    <n v="11.874000000000001"/>
    <n v="11.874000000000001"/>
    <m/>
    <n v="522.37"/>
    <n v="144.41999999999999"/>
    <m/>
    <n v="7917.4644600000001"/>
    <n v="7917.4644600000001"/>
    <n v="7738.760760000001"/>
    <n v="0"/>
    <n v="729.07518231609481"/>
    <n v="0"/>
    <n v="0"/>
    <n v="0"/>
    <n v="1210.7164211919007"/>
    <n v="3941.0663113022847"/>
    <n v="1714.8647337883908"/>
    <n v="0"/>
    <n v="0"/>
    <n v="0"/>
    <n v="0"/>
    <n v="0"/>
    <n v="112.59824062341006"/>
    <m/>
    <n v="17.274950528547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3942813157"/>
    <n v="0"/>
    <n v="0"/>
    <n v="0"/>
    <n v="8227.2099999999991"/>
    <n v="11"/>
    <m/>
    <m/>
    <m/>
    <m/>
    <m/>
    <m/>
    <m/>
    <m/>
    <m/>
    <n v="1906.7286766015477"/>
    <m/>
    <m/>
    <m/>
    <m/>
    <m/>
    <m/>
    <m/>
    <m/>
    <m/>
    <m/>
    <m/>
    <m/>
    <n v="7736.1537999999991"/>
    <n v="-181.34066000000166"/>
    <m/>
    <m/>
    <m/>
    <m/>
    <n v="-248.04785999999984"/>
    <n v="69.344160000000045"/>
    <n v="30"/>
    <n v="-1.1396517424354897"/>
    <n v="0"/>
    <n v="0"/>
    <n v="0"/>
    <n v="0"/>
    <n v="0"/>
    <n v="0"/>
    <n v="0"/>
    <n v="50.67011865299969"/>
    <n v="0"/>
    <n v="0"/>
    <n v="69.341694937889315"/>
    <n v="0"/>
    <n v="0"/>
    <n v="0"/>
    <n v="7.7581460099994217"/>
    <n v="0"/>
    <n v="-112.00863322073019"/>
    <m/>
    <n v="0"/>
    <n v="0"/>
    <n v="0"/>
    <n v="0"/>
    <n v="-14.816189912331865"/>
    <n v="-2.0847882102618058"/>
    <n v="0"/>
    <n v="0"/>
    <m/>
    <m/>
    <m/>
    <n v="3941.0663113022847"/>
    <n v="0"/>
    <n v="0"/>
    <n v="-248.04785999999967"/>
    <n v="69.344160000000102"/>
    <n v="0"/>
    <n v="0"/>
    <n v="-177.49471191484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3"/>
    <s v="Regular"/>
    <s v="Azul"/>
    <s v="A4"/>
    <s v="Industrial"/>
    <s v="Não se aplica"/>
    <s v="Não se aplica"/>
    <s v="Não se aplica"/>
    <s v="Ponta"/>
    <s v="CATIVO"/>
    <x v="9"/>
    <n v="105"/>
    <n v="105"/>
    <n v="3.4359999999999999"/>
    <n v="3.4359999999999999"/>
    <n v="3.4359999999999999"/>
    <n v="3.4359999999999999"/>
    <n v="111"/>
    <n v="69.64"/>
    <n v="144.41999999999999"/>
    <n v="11655"/>
    <n v="735.51015999999993"/>
    <n v="12390.51016"/>
    <n v="12138.309039999998"/>
    <n v="0"/>
    <n v="183.547163887582"/>
    <n v="0"/>
    <n v="0"/>
    <n v="0"/>
    <n v="3280.7576257730502"/>
    <n v="8373.8629100487578"/>
    <n v="496.23338599434987"/>
    <n v="0"/>
    <n v="0"/>
    <n v="0"/>
    <n v="0"/>
    <n v="0"/>
    <n v="32.582748423617737"/>
    <m/>
    <n v="1.7100463590546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35837830363742"/>
    <n v="0"/>
    <n v="0"/>
    <n v="0"/>
    <n v="0"/>
    <n v="0"/>
    <m/>
    <m/>
    <m/>
    <m/>
    <m/>
    <m/>
    <m/>
    <m/>
    <m/>
    <n v="517.66922382471364"/>
    <m/>
    <m/>
    <m/>
    <m/>
    <m/>
    <m/>
    <m/>
    <m/>
    <m/>
    <m/>
    <m/>
    <m/>
    <n v="12139.151599999999"/>
    <n v="-251.38856000000123"/>
    <m/>
    <m/>
    <m/>
    <m/>
    <n v="-272.26736000000068"/>
    <n v="20.066240000000011"/>
    <n v="30"/>
    <n v="125.54412487277568"/>
    <n v="0"/>
    <n v="0"/>
    <n v="0"/>
    <n v="0"/>
    <n v="0"/>
    <n v="0"/>
    <n v="0"/>
    <n v="137.30414096967797"/>
    <n v="0"/>
    <n v="0"/>
    <n v="20.06552668069628"/>
    <n v="0"/>
    <n v="0"/>
    <n v="0"/>
    <n v="0.86677234552911742"/>
    <n v="0"/>
    <n v="-28.198555453881738"/>
    <m/>
    <n v="0"/>
    <n v="0"/>
    <n v="0"/>
    <n v="0"/>
    <n v="-4.2873866042422399"/>
    <n v="-0.20637306500339858"/>
    <n v="0"/>
    <n v="0"/>
    <m/>
    <m/>
    <n v="8373.8629100487578"/>
    <n v="0"/>
    <n v="0"/>
    <n v="0"/>
    <n v="-272.26736000000164"/>
    <n v="20.06624000000005"/>
    <n v="0"/>
    <n v="0"/>
    <n v="-377.13559413377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4"/>
    <s v="Regular"/>
    <s v="Azul"/>
    <s v="A4"/>
    <s v="Industrial"/>
    <s v="Não se aplica"/>
    <s v="Não se aplica"/>
    <s v="Não se aplica"/>
    <s v="Fora ponta"/>
    <s v="CATIVO"/>
    <x v="9"/>
    <n v="3730"/>
    <n v="3730"/>
    <n v="1437.7159999999999"/>
    <n v="1437.7159999999999"/>
    <n v="1437.7159999999999"/>
    <n v="1437.7159999999999"/>
    <n v="34.950000000000003"/>
    <n v="69.64"/>
    <n v="144.41999999999999"/>
    <n v="130363.50000000001"/>
    <n v="307757.48695999995"/>
    <n v="438120.98696000001"/>
    <n v="431450.89824000001"/>
    <n v="0"/>
    <n v="76801.133374795943"/>
    <n v="0"/>
    <n v="0"/>
    <n v="0"/>
    <n v="47258.27757766001"/>
    <n v="83122.333812373006"/>
    <n v="207637.56658272777"/>
    <n v="0"/>
    <n v="0"/>
    <n v="0"/>
    <n v="0"/>
    <n v="0"/>
    <n v="13633.509526370777"/>
    <m/>
    <n v="715.52997996352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69.3384814083911"/>
    <n v="0"/>
    <n v="0"/>
    <n v="0"/>
    <n v="0"/>
    <n v="0"/>
    <m/>
    <m/>
    <m/>
    <m/>
    <m/>
    <m/>
    <m/>
    <m/>
    <m/>
    <n v="216606.90506413617"/>
    <m/>
    <m/>
    <m/>
    <m/>
    <m/>
    <m/>
    <m/>
    <m/>
    <m/>
    <m/>
    <m/>
    <m/>
    <n v="431451.74079999997"/>
    <n v="-6669.2761600000085"/>
    <m/>
    <m/>
    <m/>
    <m/>
    <n v="-15066.350160000018"/>
    <n v="8396.2614400000039"/>
    <n v="30"/>
    <n v="-2942.8882975184242"/>
    <n v="0"/>
    <n v="0"/>
    <n v="0"/>
    <n v="0"/>
    <n v="0"/>
    <n v="0"/>
    <n v="0"/>
    <n v="1977.822791763756"/>
    <n v="0"/>
    <n v="0"/>
    <n v="8395.9629677718331"/>
    <n v="0"/>
    <n v="0"/>
    <n v="0"/>
    <n v="362.68116109567563"/>
    <n v="0"/>
    <n v="-11799.043758129534"/>
    <m/>
    <n v="0"/>
    <n v="0"/>
    <n v="0"/>
    <n v="0"/>
    <n v="-1793.9593478186052"/>
    <n v="-86.352112201520981"/>
    <n v="0"/>
    <n v="0"/>
    <m/>
    <m/>
    <n v="83122.333812373006"/>
    <n v="0"/>
    <n v="0"/>
    <n v="0"/>
    <n v="-15066.350160000002"/>
    <n v="8396.261440000002"/>
    <n v="0"/>
    <n v="0"/>
    <n v="-3743.5997083847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5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5347.6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56"/>
    <s v="Regular"/>
    <s v="Verde"/>
    <s v="A4"/>
    <s v="Industrial"/>
    <s v="Não se aplica"/>
    <s v="Não se aplica"/>
    <s v="Não se aplica"/>
    <s v="Ponta"/>
    <s v="CATIVO"/>
    <x v="9"/>
    <n v="0"/>
    <n v="0"/>
    <n v="90.647999999999996"/>
    <n v="90.647999999999996"/>
    <n v="90.647999999999996"/>
    <n v="90.647999999999996"/>
    <m/>
    <n v="2740.31"/>
    <n v="144.41999999999999"/>
    <m/>
    <n v="261495.00503999996"/>
    <n v="261495.00503999996"/>
    <n v="256209.32015999997"/>
    <n v="0"/>
    <n v="4842.3117904777455"/>
    <n v="0"/>
    <n v="0"/>
    <n v="0"/>
    <n v="68227.378695246327"/>
    <n v="173863.54984236823"/>
    <n v="13091.549468456293"/>
    <n v="0"/>
    <n v="0"/>
    <n v="0"/>
    <n v="0"/>
    <n v="0"/>
    <n v="859.59283443076254"/>
    <m/>
    <n v="45.114168322348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1682993213399"/>
    <n v="0"/>
    <n v="0"/>
    <n v="0"/>
    <n v="0"/>
    <n v="0"/>
    <m/>
    <m/>
    <m/>
    <m/>
    <m/>
    <m/>
    <m/>
    <m/>
    <m/>
    <n v="13657.066298388427"/>
    <m/>
    <m/>
    <m/>
    <m/>
    <m/>
    <m/>
    <m/>
    <m/>
    <m/>
    <m/>
    <m/>
    <m/>
    <n v="256214.973"/>
    <n v="-5280.0620399999898"/>
    <m/>
    <m/>
    <m/>
    <m/>
    <n v="-5815.0692000000081"/>
    <n v="529.38432000000023"/>
    <n v="30"/>
    <n v="2545.1571603501507"/>
    <n v="0"/>
    <n v="0"/>
    <n v="0"/>
    <n v="0"/>
    <n v="0"/>
    <n v="0"/>
    <n v="0"/>
    <n v="2855.4080157494463"/>
    <n v="0"/>
    <n v="0"/>
    <n v="529.36550132472621"/>
    <n v="0"/>
    <n v="0"/>
    <n v="0"/>
    <n v="22.867048771106852"/>
    <n v="0"/>
    <n v="-743.92975983221004"/>
    <m/>
    <n v="0"/>
    <n v="0"/>
    <n v="0"/>
    <n v="0"/>
    <n v="-113.10914461622531"/>
    <n v="-5.4445010466903554"/>
    <n v="0"/>
    <n v="0"/>
    <m/>
    <m/>
    <m/>
    <n v="173863.54984236823"/>
    <n v="0"/>
    <n v="0"/>
    <n v="-5815.0691999999981"/>
    <n v="529.38432000000103"/>
    <n v="0"/>
    <n v="0"/>
    <n v="-7830.3327714290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7"/>
    <s v="Sistema de Compensação"/>
    <s v="Verde"/>
    <s v="A4"/>
    <s v="Industrial"/>
    <s v="Não se aplica"/>
    <s v="Não se aplica"/>
    <s v="Não se aplica"/>
    <s v="Ponta"/>
    <s v="CATIVO"/>
    <x v="9"/>
    <n v="0"/>
    <n v="0"/>
    <n v="0.51900000000000002"/>
    <n v="0.51900000000000002"/>
    <n v="0.51900000000000002"/>
    <n v="0.51900000000000002"/>
    <m/>
    <n v="2740.31"/>
    <n v="144.41999999999999"/>
    <m/>
    <n v="1497.1748700000001"/>
    <n v="1497.1748700000001"/>
    <n v="1466.9119800000001"/>
    <n v="0"/>
    <n v="27.72438243819996"/>
    <n v="0"/>
    <n v="0"/>
    <n v="0"/>
    <n v="390.63200007537779"/>
    <n v="995.44592675171134"/>
    <n v="74.954926464222225"/>
    <n v="0"/>
    <n v="0"/>
    <n v="0"/>
    <n v="0"/>
    <n v="0"/>
    <n v="4.9215501838933653"/>
    <m/>
    <n v="0.258298620590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378346431777594"/>
    <n v="0"/>
    <n v="0"/>
    <n v="0"/>
    <n v="0"/>
    <n v="0"/>
    <m/>
    <m/>
    <m/>
    <m/>
    <m/>
    <m/>
    <m/>
    <m/>
    <m/>
    <n v="78.192761107399988"/>
    <m/>
    <m/>
    <m/>
    <m/>
    <m/>
    <m/>
    <m/>
    <m/>
    <m/>
    <m/>
    <m/>
    <m/>
    <n v="1469.7384"/>
    <n v="-27.466470000000072"/>
    <m/>
    <m/>
    <m/>
    <m/>
    <n v="-33.293850000000049"/>
    <n v="3.0309600000000017"/>
    <n v="30"/>
    <n v="14.572153453156602"/>
    <n v="0"/>
    <n v="0"/>
    <n v="0"/>
    <n v="0"/>
    <n v="0"/>
    <n v="0"/>
    <n v="0"/>
    <n v="16.348477188398704"/>
    <n v="0"/>
    <n v="0"/>
    <n v="3.0308522547384769"/>
    <n v="0"/>
    <n v="0"/>
    <n v="0"/>
    <n v="0.13092399514831543"/>
    <n v="0"/>
    <n v="-4.2593277882900544"/>
    <m/>
    <n v="0"/>
    <n v="0"/>
    <n v="0"/>
    <n v="0"/>
    <n v="-0.64760001385381827"/>
    <n v="-3.1172182985088392E-2"/>
    <n v="0"/>
    <n v="0"/>
    <m/>
    <m/>
    <m/>
    <n v="995.44592675171134"/>
    <n v="0"/>
    <n v="0"/>
    <n v="-33.29385000000002"/>
    <n v="3.0309599999999932"/>
    <n v="0"/>
    <n v="0"/>
    <n v="-44.83212766273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8"/>
    <s v="Regular"/>
    <s v="Verde"/>
    <s v="A4"/>
    <s v="Industrial"/>
    <s v="Não se aplica"/>
    <s v="Não se aplica"/>
    <s v="Não se aplica"/>
    <s v="Fora ponta"/>
    <s v="CATIVO"/>
    <x v="9"/>
    <n v="0"/>
    <n v="0"/>
    <n v="6039.3620000000001"/>
    <n v="6039.3620000000001"/>
    <n v="6039.3620000000001"/>
    <n v="6039.3620000000001"/>
    <m/>
    <n v="69.64"/>
    <n v="144.41999999999999"/>
    <m/>
    <n v="1292785.82972"/>
    <n v="1292785.82972"/>
    <n v="1272131.2116799999"/>
    <n v="0"/>
    <n v="322615.76449081348"/>
    <n v="0"/>
    <n v="0"/>
    <n v="0"/>
    <n v="0"/>
    <n v="0"/>
    <n v="872215.67360465915"/>
    <n v="0"/>
    <n v="0"/>
    <n v="0"/>
    <n v="0"/>
    <n v="0"/>
    <n v="57269.794145854728"/>
    <m/>
    <n v="3005.7011056790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77.178239482309"/>
    <n v="0"/>
    <n v="0"/>
    <n v="0"/>
    <n v="0"/>
    <n v="0"/>
    <m/>
    <m/>
    <m/>
    <m/>
    <m/>
    <m/>
    <m/>
    <m/>
    <m/>
    <n v="909892.85184414149"/>
    <m/>
    <m/>
    <m/>
    <m/>
    <m/>
    <m/>
    <m/>
    <m/>
    <m/>
    <m/>
    <m/>
    <m/>
    <n v="1272130.7903999998"/>
    <n v="-20655.069320000242"/>
    <m/>
    <m/>
    <m/>
    <m/>
    <n v="-55924.492119999988"/>
    <n v="35269.874080000023"/>
    <n v="30"/>
    <n v="-20670.25446304353"/>
    <n v="0"/>
    <n v="0"/>
    <n v="0"/>
    <n v="0"/>
    <n v="0"/>
    <n v="0"/>
    <n v="0"/>
    <n v="0"/>
    <n v="0"/>
    <n v="0"/>
    <n v="35268.620298423572"/>
    <n v="0"/>
    <n v="0"/>
    <n v="0"/>
    <n v="1523.5017363909865"/>
    <n v="0"/>
    <n v="-49563.819634186919"/>
    <m/>
    <n v="0"/>
    <n v="0"/>
    <n v="0"/>
    <n v="0"/>
    <n v="-7535.8206452181621"/>
    <n v="-362.73621845315893"/>
    <n v="0"/>
    <n v="0"/>
    <m/>
    <m/>
    <m/>
    <n v="0"/>
    <n v="0"/>
    <n v="0"/>
    <n v="-55924.492119999952"/>
    <n v="35269.87407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59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3.73"/>
    <n v="3.73"/>
    <n v="3.73"/>
    <n v="3.73"/>
    <m/>
    <n v="69.64"/>
    <n v="144.41999999999999"/>
    <m/>
    <n v="798.44380000000001"/>
    <n v="798.44380000000001"/>
    <n v="785.68719999999996"/>
    <n v="0"/>
    <n v="199.2523053843658"/>
    <n v="0"/>
    <n v="0"/>
    <n v="0"/>
    <n v="0"/>
    <n v="0"/>
    <n v="538.69340214171268"/>
    <n v="0"/>
    <n v="0"/>
    <n v="0"/>
    <n v="0"/>
    <n v="0"/>
    <n v="35.37067858559201"/>
    <m/>
    <n v="1.8563658088690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269986934591604"/>
    <n v="0"/>
    <n v="0"/>
    <n v="0"/>
    <n v="0"/>
    <n v="0"/>
    <m/>
    <m/>
    <m/>
    <m/>
    <m/>
    <m/>
    <m/>
    <m/>
    <m/>
    <n v="561.96338907630434"/>
    <m/>
    <m/>
    <m/>
    <m/>
    <m/>
    <m/>
    <m/>
    <m/>
    <m/>
    <m/>
    <m/>
    <m/>
    <n v="785.68719999999996"/>
    <n v="-12.786600000000021"/>
    <m/>
    <m/>
    <m/>
    <m/>
    <n v="-34.539799999999993"/>
    <n v="21.783200000000011"/>
    <n v="30"/>
    <n v="-12.766257287963981"/>
    <n v="0"/>
    <n v="0"/>
    <n v="0"/>
    <n v="0"/>
    <n v="0"/>
    <n v="0"/>
    <n v="0"/>
    <n v="0"/>
    <n v="0"/>
    <n v="0"/>
    <n v="21.782425645808303"/>
    <n v="0"/>
    <n v="0"/>
    <n v="0"/>
    <n v="0.94093738324319176"/>
    <n v="0"/>
    <n v="-30.611353854184784"/>
    <m/>
    <n v="0"/>
    <n v="0"/>
    <n v="0"/>
    <n v="0"/>
    <n v="-4.6542351670033604"/>
    <n v="-0.22403129582732118"/>
    <n v="0"/>
    <n v="0"/>
    <m/>
    <m/>
    <m/>
    <n v="0"/>
    <n v="0"/>
    <n v="0"/>
    <n v="-34.539800000000014"/>
    <n v="21.783199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0"/>
    <s v="Regular"/>
    <s v="Verde"/>
    <s v="A4"/>
    <s v="Industrial"/>
    <s v="Não se aplica"/>
    <s v="Não se aplica"/>
    <s v="Não se aplica"/>
    <s v="Não se aplica"/>
    <s v="CATIVO"/>
    <x v="9"/>
    <n v="21802"/>
    <n v="21802"/>
    <n v="0"/>
    <n v="0"/>
    <n v="0"/>
    <n v="0"/>
    <n v="34.950000000000003"/>
    <m/>
    <m/>
    <n v="761979.9"/>
    <m/>
    <n v="761979.9"/>
    <n v="751732.96"/>
    <n v="0"/>
    <n v="0"/>
    <n v="0"/>
    <n v="0"/>
    <n v="0"/>
    <n v="276226.53290834947"/>
    <n v="485853.383854519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4.02000000000001"/>
    <n v="710.9"/>
    <n v="703223.82"/>
    <n v="70"/>
    <m/>
    <m/>
    <m/>
    <m/>
    <m/>
    <m/>
    <m/>
    <m/>
    <m/>
    <n v="0"/>
    <m/>
    <m/>
    <m/>
    <m/>
    <m/>
    <m/>
    <m/>
    <m/>
    <m/>
    <m/>
    <m/>
    <m/>
    <n v="751732.96"/>
    <n v="-10246.970000000088"/>
    <m/>
    <m/>
    <m/>
    <m/>
    <n v="-10246.94000000013"/>
    <n v="0"/>
    <n v="30"/>
    <n v="11560.453754968767"/>
    <n v="0"/>
    <n v="0"/>
    <n v="0"/>
    <n v="0"/>
    <m/>
    <m/>
    <m/>
    <n v="11560.4537549687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5853.38385451917"/>
    <m/>
    <n v="0"/>
    <n v="0"/>
    <n v="-10246.940000000061"/>
    <m/>
    <n v="0"/>
    <m/>
    <n v="-21881.49084241397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61"/>
    <s v="Sistema de Compensação"/>
    <s v="Verde"/>
    <s v="A4"/>
    <s v="Industrial"/>
    <s v="Não se aplica"/>
    <s v="Não se aplica"/>
    <s v="Não se aplica"/>
    <s v="Não se aplica"/>
    <s v="CATIVO"/>
    <x v="9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16.3000000000002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0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62"/>
    <s v="Regular"/>
    <s v="Convencional"/>
    <s v="B3"/>
    <s v="Comercial"/>
    <s v="Não se aplica"/>
    <s v="Não se aplica"/>
    <s v="Não se aplica"/>
    <s v="Não se aplica"/>
    <s v="CATIVO"/>
    <x v="9"/>
    <n v="0"/>
    <n v="0"/>
    <n v="616.24300000000005"/>
    <n v="616.24300000000005"/>
    <n v="616.24300000000005"/>
    <n v="616.24300000000005"/>
    <m/>
    <n v="522.37"/>
    <n v="144.41999999999999"/>
    <m/>
    <n v="410904.66997000005"/>
    <n v="410904.66997000005"/>
    <n v="401630.21282000002"/>
    <n v="0"/>
    <n v="37837.921305037664"/>
    <n v="0"/>
    <n v="0"/>
    <n v="0"/>
    <n v="62834.387699558742"/>
    <n v="204535.49998954471"/>
    <n v="88998.937859521582"/>
    <n v="0"/>
    <n v="0"/>
    <n v="0"/>
    <n v="0"/>
    <n v="0"/>
    <n v="5843.6817918554907"/>
    <m/>
    <n v="896.54432698026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57.4542454950588"/>
    <n v="0"/>
    <n v="175.84"/>
    <n v="813.79"/>
    <n v="119354.65"/>
    <n v="1210"/>
    <m/>
    <m/>
    <m/>
    <m/>
    <m/>
    <m/>
    <m/>
    <m/>
    <m/>
    <n v="98956.392105016639"/>
    <m/>
    <m/>
    <m/>
    <m/>
    <m/>
    <m/>
    <m/>
    <m/>
    <m/>
    <m/>
    <m/>
    <m/>
    <n v="401628.25760000001"/>
    <n v="-9276.4423700000625"/>
    <m/>
    <m/>
    <m/>
    <m/>
    <n v="-12873.316269999992"/>
    <n v="3598.8591200000023"/>
    <n v="30"/>
    <n v="-59.146236206317553"/>
    <n v="0"/>
    <n v="0"/>
    <n v="0"/>
    <n v="0"/>
    <n v="0"/>
    <n v="0"/>
    <n v="0"/>
    <n v="2629.7040533165346"/>
    <n v="0"/>
    <n v="0"/>
    <n v="3598.7311869302503"/>
    <n v="0"/>
    <n v="0"/>
    <n v="0"/>
    <n v="402.63627856156745"/>
    <n v="0"/>
    <n v="-5813.0820415902344"/>
    <m/>
    <n v="0"/>
    <n v="0"/>
    <n v="0"/>
    <n v="0"/>
    <n v="-768.93829544762775"/>
    <n v="-108.19741797678671"/>
    <n v="0"/>
    <n v="0"/>
    <m/>
    <m/>
    <m/>
    <n v="204535.49998954471"/>
    <n v="0"/>
    <n v="0"/>
    <n v="-12873.31627000001"/>
    <n v="3598.8591199999937"/>
    <n v="0"/>
    <n v="0"/>
    <n v="-9211.7124603789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3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2"/>
    <n v="-0.2"/>
    <n v="-0.2"/>
    <n v="-0.2"/>
    <m/>
    <n v="522.37"/>
    <n v="144.41999999999999"/>
    <m/>
    <n v="-133.358"/>
    <n v="-133.358"/>
    <n v="-130.34800000000001"/>
    <n v="0"/>
    <n v="-12.28019508701524"/>
    <n v="0"/>
    <n v="0"/>
    <n v="0"/>
    <n v="-20.392730692132403"/>
    <n v="-66.381443680348397"/>
    <n v="-28.8843647260972"/>
    <n v="0"/>
    <n v="0"/>
    <n v="0"/>
    <n v="0"/>
    <n v="0"/>
    <n v="-1.896551130594746"/>
    <m/>
    <n v="-0.290971038041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2316648612625403"/>
    <n v="0"/>
    <n v="0"/>
    <n v="0"/>
    <n v="-38.79"/>
    <n v="0"/>
    <m/>
    <m/>
    <m/>
    <m/>
    <m/>
    <m/>
    <m/>
    <m/>
    <m/>
    <n v="-32.116029587359741"/>
    <m/>
    <m/>
    <m/>
    <m/>
    <m/>
    <m/>
    <m/>
    <m/>
    <m/>
    <m/>
    <m/>
    <m/>
    <n v="-130.34800000000001"/>
    <n v="2.9799999999999898"/>
    <m/>
    <m/>
    <m/>
    <m/>
    <n v="4.1779999999999973"/>
    <n v="-1.1680000000000008"/>
    <n v="30"/>
    <n v="1.9195751093718627E-2"/>
    <n v="0"/>
    <n v="0"/>
    <n v="0"/>
    <n v="0"/>
    <n v="0"/>
    <n v="0"/>
    <n v="0"/>
    <n v="-0.85346334264779955"/>
    <n v="0"/>
    <n v="0"/>
    <n v="-1.1679584796680054"/>
    <n v="0"/>
    <n v="0"/>
    <n v="0"/>
    <n v="-0.13067451591712009"/>
    <n v="0"/>
    <n v="1.8866200643545596"/>
    <m/>
    <n v="0"/>
    <n v="0"/>
    <n v="0"/>
    <n v="0"/>
    <n v="0.24955684541572976"/>
    <n v="3.5115179556372E-2"/>
    <n v="0"/>
    <n v="0"/>
    <m/>
    <m/>
    <m/>
    <n v="-66.381443680348397"/>
    <n v="0"/>
    <n v="0"/>
    <n v="4.1779999999999973"/>
    <n v="-1.1679999999999993"/>
    <n v="0"/>
    <n v="0"/>
    <n v="2.989636380576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4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42.076999999999998"/>
    <n v="42.076999999999998"/>
    <n v="42.076999999999998"/>
    <n v="42.076999999999998"/>
    <m/>
    <n v="522.37"/>
    <n v="144.41999999999999"/>
    <m/>
    <n v="28056.522830000002"/>
    <n v="28056.522830000002"/>
    <n v="27423.263979999996"/>
    <n v="0"/>
    <n v="2583.5688433817013"/>
    <n v="0"/>
    <n v="0"/>
    <n v="0"/>
    <n v="4290.324646664275"/>
    <n v="13965.660028690098"/>
    <n v="6076.8370728999589"/>
    <n v="0"/>
    <n v="0"/>
    <n v="0"/>
    <n v="0"/>
    <n v="0"/>
    <n v="399.00590961017559"/>
    <m/>
    <n v="61.215941838444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9.89381183671946"/>
    <n v="0"/>
    <n v="0.39"/>
    <n v="1.81"/>
    <n v="15254.79"/>
    <n v="51"/>
    <m/>
    <m/>
    <m/>
    <m/>
    <m/>
    <m/>
    <m/>
    <m/>
    <m/>
    <n v="6756.7308847366785"/>
    <m/>
    <m/>
    <m/>
    <m/>
    <m/>
    <m/>
    <m/>
    <m/>
    <m/>
    <m/>
    <m/>
    <m/>
    <n v="27425.2192"/>
    <n v="-631.33362999999736"/>
    <m/>
    <m/>
    <m/>
    <m/>
    <n v="-878.9885299999994"/>
    <n v="245.72968000000014"/>
    <n v="30"/>
    <n v="-4.0384980938542867"/>
    <n v="0"/>
    <n v="0"/>
    <n v="0"/>
    <n v="0"/>
    <n v="0"/>
    <n v="0"/>
    <n v="0"/>
    <n v="179.55588534295748"/>
    <n v="0"/>
    <n v="0"/>
    <n v="245.72094474495316"/>
    <n v="0"/>
    <n v="0"/>
    <n v="0"/>
    <n v="27.491958031223248"/>
    <n v="0"/>
    <n v="-396.91656223923428"/>
    <m/>
    <n v="0"/>
    <n v="0"/>
    <n v="0"/>
    <n v="0"/>
    <n v="-52.503016922788277"/>
    <n v="-7.3877070509673217"/>
    <n v="0"/>
    <n v="0"/>
    <m/>
    <m/>
    <m/>
    <n v="13965.660028690098"/>
    <n v="0"/>
    <n v="0"/>
    <n v="-878.98853000000236"/>
    <n v="245.72968000000037"/>
    <n v="0"/>
    <n v="0"/>
    <n v="-628.97464992765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5"/>
    <s v="Regular"/>
    <s v="Verde"/>
    <s v="A4"/>
    <s v="Comercial"/>
    <s v="Não se aplica"/>
    <s v="Não se aplica"/>
    <s v="Não se aplica"/>
    <s v="Ponta"/>
    <s v="CATIVO"/>
    <x v="9"/>
    <n v="0"/>
    <n v="0"/>
    <n v="6.8630000000000004"/>
    <n v="6.8630000000000004"/>
    <n v="6.8630000000000004"/>
    <n v="6.8630000000000004"/>
    <m/>
    <n v="2740.31"/>
    <n v="144.41999999999999"/>
    <m/>
    <n v="19797.901990000002"/>
    <n v="19797.901990000002"/>
    <n v="19397.72046"/>
    <n v="0"/>
    <n v="366.61355813750737"/>
    <n v="0"/>
    <n v="0"/>
    <n v="0"/>
    <n v="5165.5248873166047"/>
    <n v="13163.285925427735"/>
    <n v="991.16697557602538"/>
    <n v="0"/>
    <n v="0"/>
    <n v="0"/>
    <n v="0"/>
    <n v="0"/>
    <n v="65.080152046358705"/>
    <m/>
    <n v="3.4156135512783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815528239169488"/>
    <n v="0"/>
    <n v="0"/>
    <n v="0"/>
    <n v="0"/>
    <n v="0"/>
    <m/>
    <m/>
    <m/>
    <m/>
    <m/>
    <m/>
    <m/>
    <m/>
    <m/>
    <n v="1033.9825038151948"/>
    <m/>
    <m/>
    <m/>
    <m/>
    <m/>
    <m/>
    <m/>
    <m/>
    <m/>
    <m/>
    <m/>
    <m/>
    <n v="19389.2412"/>
    <n v="-408.69078999999692"/>
    <m/>
    <m/>
    <m/>
    <m/>
    <n v="-440.26145000000065"/>
    <n v="40.079920000000023"/>
    <n v="30"/>
    <n v="192.6949694586001"/>
    <n v="0"/>
    <n v="0"/>
    <n v="0"/>
    <n v="0"/>
    <n v="0"/>
    <n v="0"/>
    <n v="0"/>
    <n v="216.18419835063651"/>
    <n v="0"/>
    <n v="0"/>
    <n v="40.078495229807686"/>
    <n v="0"/>
    <n v="0"/>
    <n v="0"/>
    <n v="1.7312743327608686"/>
    <n v="0"/>
    <n v="-56.323249732243994"/>
    <m/>
    <n v="0"/>
    <n v="0"/>
    <n v="0"/>
    <n v="0"/>
    <n v="-8.5635431504407649"/>
    <n v="-0.41220557192035034"/>
    <n v="0"/>
    <n v="0"/>
    <m/>
    <m/>
    <m/>
    <n v="13163.285925427735"/>
    <n v="0"/>
    <n v="0"/>
    <n v="-440.26145000000179"/>
    <n v="40.079920000000129"/>
    <n v="0"/>
    <n v="0"/>
    <n v="-592.83794248430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6"/>
    <s v="Regular"/>
    <s v="Verde"/>
    <s v="A4"/>
    <s v="Comercial"/>
    <s v="Não se aplica"/>
    <s v="Não se aplica"/>
    <s v="Não se aplica"/>
    <s v="Fora ponta"/>
    <s v="CATIVO"/>
    <x v="9"/>
    <n v="0"/>
    <n v="0"/>
    <n v="407.42399999999998"/>
    <n v="407.42399999999998"/>
    <n v="407.42399999999998"/>
    <n v="407.42399999999998"/>
    <m/>
    <n v="69.64"/>
    <n v="144.41999999999999"/>
    <m/>
    <n v="87213.181439999986"/>
    <n v="87213.181439999986"/>
    <n v="85819.791359999988"/>
    <n v="0"/>
    <n v="21764.120983624623"/>
    <n v="0"/>
    <n v="0"/>
    <n v="0"/>
    <n v="0"/>
    <n v="0"/>
    <n v="58840.917070827119"/>
    <n v="0"/>
    <n v="0"/>
    <n v="0"/>
    <n v="0"/>
    <n v="0"/>
    <n v="3863.5022391571683"/>
    <m/>
    <n v="202.76889633047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1.7563423160991"/>
    <n v="0"/>
    <n v="0"/>
    <n v="0"/>
    <n v="0"/>
    <n v="0"/>
    <m/>
    <m/>
    <m/>
    <m/>
    <m/>
    <m/>
    <m/>
    <m/>
    <m/>
    <n v="61382.673413143217"/>
    <m/>
    <m/>
    <m/>
    <m/>
    <m/>
    <m/>
    <m/>
    <m/>
    <m/>
    <m/>
    <m/>
    <m/>
    <n v="85818.948799999998"/>
    <n v="-1394.2626399999863"/>
    <m/>
    <m/>
    <m/>
    <m/>
    <n v="-3772.746239999999"/>
    <n v="2379.3561600000012"/>
    <n v="30"/>
    <n v="-1394.4449354668759"/>
    <n v="0"/>
    <n v="0"/>
    <n v="0"/>
    <n v="0"/>
    <n v="0"/>
    <n v="0"/>
    <n v="0"/>
    <n v="0"/>
    <n v="0"/>
    <n v="0"/>
    <n v="2379.2715781012885"/>
    <n v="0"/>
    <n v="0"/>
    <n v="0"/>
    <n v="102.77760654972508"/>
    <n v="0"/>
    <n v="-3343.6461749832124"/>
    <m/>
    <n v="0"/>
    <n v="0"/>
    <n v="0"/>
    <n v="0"/>
    <n v="-508.37724093329098"/>
    <n v="-24.470704201380869"/>
    <n v="0"/>
    <n v="0"/>
    <m/>
    <m/>
    <m/>
    <n v="0"/>
    <n v="0"/>
    <n v="0"/>
    <n v="-3772.7462400000004"/>
    <n v="2379.3561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7"/>
    <s v="Regular"/>
    <s v="Verde"/>
    <s v="A4"/>
    <s v="Comercial"/>
    <s v="Não se aplica"/>
    <s v="Não se aplica"/>
    <s v="Não se aplica"/>
    <s v="Não se aplica"/>
    <s v="CATIVO"/>
    <x v="9"/>
    <n v="1856"/>
    <n v="1856"/>
    <n v="0"/>
    <n v="0"/>
    <n v="0"/>
    <n v="0"/>
    <n v="34.950000000000003"/>
    <m/>
    <m/>
    <n v="64867.200000000004"/>
    <m/>
    <n v="64867.200000000004"/>
    <n v="63994.879999999997"/>
    <n v="0"/>
    <n v="0"/>
    <n v="0"/>
    <n v="0"/>
    <n v="0"/>
    <n v="23515.110773227072"/>
    <n v="41360.6036342531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038.81"/>
    <n v="14"/>
    <m/>
    <m/>
    <m/>
    <m/>
    <m/>
    <m/>
    <m/>
    <m/>
    <m/>
    <n v="0"/>
    <m/>
    <m/>
    <m/>
    <m/>
    <m/>
    <m/>
    <m/>
    <m/>
    <m/>
    <m/>
    <m/>
    <m/>
    <n v="63994.879999999997"/>
    <n v="-872.3500000000131"/>
    <m/>
    <m/>
    <m/>
    <m/>
    <n v="-872.32000000001108"/>
    <n v="0"/>
    <n v="30"/>
    <n v="984.13916930657797"/>
    <n v="0"/>
    <n v="0"/>
    <n v="0"/>
    <n v="0"/>
    <m/>
    <m/>
    <m/>
    <n v="984.139169306577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360.603634253166"/>
    <m/>
    <n v="0"/>
    <n v="0"/>
    <n v="-872.32000000000698"/>
    <m/>
    <n v="0"/>
    <m/>
    <n v="-1862.767039882594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68"/>
    <s v="Regular"/>
    <s v="Branca"/>
    <s v="B3"/>
    <s v="Comercial"/>
    <s v="Não se aplica"/>
    <s v="Não se aplica"/>
    <s v="Não se aplica"/>
    <s v="Ponta"/>
    <s v="CATIVO"/>
    <x v="9"/>
    <n v="0"/>
    <n v="0"/>
    <n v="9.5000000000000001E-2"/>
    <n v="9.5000000000000001E-2"/>
    <n v="9.5000000000000001E-2"/>
    <n v="9.5000000000000001E-2"/>
    <m/>
    <n v="1585.55"/>
    <n v="144.41999999999999"/>
    <m/>
    <n v="164.34715"/>
    <n v="164.34715"/>
    <n v="160.43314999999998"/>
    <n v="0"/>
    <n v="5.8330926663322389"/>
    <n v="0"/>
    <n v="0"/>
    <n v="0"/>
    <n v="33.437740400209371"/>
    <n v="108.782515945824"/>
    <n v="13.720073244896168"/>
    <n v="0"/>
    <n v="0"/>
    <n v="0"/>
    <n v="0"/>
    <n v="0"/>
    <n v="0.9008617870325043"/>
    <m/>
    <n v="0.13821124306990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350408090997065"/>
    <n v="0"/>
    <n v="0"/>
    <n v="0"/>
    <n v="0"/>
    <n v="0"/>
    <m/>
    <m/>
    <m/>
    <m/>
    <m/>
    <m/>
    <m/>
    <m/>
    <m/>
    <n v="15.255114053995875"/>
    <m/>
    <m/>
    <m/>
    <m/>
    <m/>
    <m/>
    <m/>
    <m/>
    <m/>
    <m/>
    <m/>
    <m/>
    <n v="168.87700000000001"/>
    <n v="4.4998500000000377"/>
    <m/>
    <m/>
    <m/>
    <m/>
    <n v="-4.4687999999999963"/>
    <n v="0.55480000000000029"/>
    <n v="30"/>
    <n v="0.98490156127348882"/>
    <n v="0"/>
    <n v="0"/>
    <n v="0"/>
    <n v="0"/>
    <n v="0"/>
    <n v="0"/>
    <n v="0"/>
    <n v="1.3994146308007132"/>
    <n v="0"/>
    <n v="0"/>
    <n v="0.55478027784230299"/>
    <n v="0"/>
    <n v="0"/>
    <n v="0"/>
    <n v="6.2070395060632055E-2"/>
    <n v="0"/>
    <n v="-0.89614453056841548"/>
    <m/>
    <n v="0"/>
    <n v="0"/>
    <n v="0"/>
    <n v="0"/>
    <n v="-0.11853950157247162"/>
    <n v="-1.66797102892767E-2"/>
    <n v="0"/>
    <n v="0"/>
    <m/>
    <m/>
    <m/>
    <n v="108.782515945824"/>
    <n v="0"/>
    <n v="0"/>
    <n v="-4.4688000000000159"/>
    <n v="0.55480000000000018"/>
    <n v="0"/>
    <n v="0"/>
    <n v="-4.899263246041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69"/>
    <s v="Regular"/>
    <s v="Branca"/>
    <s v="B3"/>
    <s v="Comercial"/>
    <s v="Não se aplica"/>
    <s v="Não se aplica"/>
    <s v="Não se aplica"/>
    <s v="Fora ponta"/>
    <s v="CATIVO"/>
    <x v="9"/>
    <n v="0"/>
    <n v="0"/>
    <n v="4.83"/>
    <n v="4.83"/>
    <n v="4.83"/>
    <n v="4.83"/>
    <m/>
    <n v="387.88"/>
    <n v="144.41999999999999"/>
    <m/>
    <n v="2571.009"/>
    <n v="2571.009"/>
    <n v="2514.3531000000003"/>
    <n v="0"/>
    <n v="296.56671135141806"/>
    <n v="0"/>
    <n v="0"/>
    <n v="0"/>
    <n v="339.86292409132312"/>
    <n v="1106.1466205493728"/>
    <n v="697.55740813524733"/>
    <n v="0"/>
    <n v="0"/>
    <n v="0"/>
    <n v="0"/>
    <n v="0"/>
    <n v="45.801709803863112"/>
    <m/>
    <n v="7.02695056871183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044706399490337"/>
    <n v="0"/>
    <n v="0"/>
    <n v="0"/>
    <n v="0"/>
    <n v="0"/>
    <m/>
    <m/>
    <m/>
    <m/>
    <m/>
    <m/>
    <m/>
    <m/>
    <m/>
    <n v="775.60211453473767"/>
    <m/>
    <m/>
    <m/>
    <m/>
    <m/>
    <m/>
    <m/>
    <m/>
    <m/>
    <m/>
    <m/>
    <m/>
    <n v="2514.3531000000003"/>
    <n v="-56.685899999999947"/>
    <m/>
    <m/>
    <m/>
    <m/>
    <n v="-84.863099999999974"/>
    <n v="28.207200000000018"/>
    <n v="30"/>
    <n v="-6.8509943757890142"/>
    <n v="0"/>
    <n v="0"/>
    <n v="0"/>
    <n v="0"/>
    <n v="0"/>
    <n v="0"/>
    <n v="0"/>
    <n v="14.223722738069114"/>
    <n v="0"/>
    <n v="0"/>
    <n v="28.206197283982306"/>
    <n v="0"/>
    <n v="0"/>
    <n v="0"/>
    <n v="3.1557895593984568"/>
    <n v="0"/>
    <n v="-45.561874554162642"/>
    <m/>
    <n v="0"/>
    <n v="0"/>
    <n v="0"/>
    <n v="0"/>
    <n v="-6.0267978167898733"/>
    <n v="-0.84803158628638364"/>
    <n v="0"/>
    <n v="0"/>
    <m/>
    <m/>
    <m/>
    <n v="1106.1466205493728"/>
    <n v="0"/>
    <n v="0"/>
    <n v="-84.863099999999804"/>
    <n v="28.207200000000057"/>
    <n v="0"/>
    <n v="0"/>
    <n v="-49.817780326848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0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27.77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71"/>
    <s v="Regular"/>
    <s v="Branca"/>
    <s v="B3"/>
    <s v="Comercial"/>
    <s v="Não se aplica"/>
    <s v="Não se aplica"/>
    <s v="Não se aplica"/>
    <s v="Intermediário"/>
    <s v="CATIVO"/>
    <x v="9"/>
    <n v="0"/>
    <n v="0"/>
    <n v="0.11"/>
    <n v="0.11"/>
    <n v="0.11"/>
    <n v="0.11"/>
    <m/>
    <n v="986.74"/>
    <n v="144.41999999999999"/>
    <m/>
    <n v="124.4276"/>
    <n v="124.4276"/>
    <n v="121.51589999999999"/>
    <n v="0"/>
    <n v="6.7541072978583818"/>
    <n v="0"/>
    <n v="0"/>
    <n v="0"/>
    <n v="23.23153927754759"/>
    <n v="75.575234944367182"/>
    <n v="15.886400599353459"/>
    <n v="0"/>
    <n v="0"/>
    <n v="0"/>
    <n v="0"/>
    <n v="0"/>
    <n v="1.0431031218271103"/>
    <m/>
    <n v="0.16003407092304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74156736943969"/>
    <n v="0"/>
    <n v="0"/>
    <n v="0"/>
    <n v="0"/>
    <n v="0"/>
    <m/>
    <m/>
    <m/>
    <m/>
    <m/>
    <m/>
    <m/>
    <m/>
    <m/>
    <n v="17.663816273047857"/>
    <m/>
    <m/>
    <m/>
    <m/>
    <m/>
    <m/>
    <m/>
    <m/>
    <m/>
    <m/>
    <m/>
    <m/>
    <n v="121.51589999999999"/>
    <n v="-2.9417000000000257"/>
    <m/>
    <m/>
    <m/>
    <m/>
    <n v="-3.5541000000000067"/>
    <n v="0.64240000000000042"/>
    <n v="30"/>
    <n v="0.49230881737425847"/>
    <n v="0"/>
    <n v="0"/>
    <n v="0"/>
    <n v="0"/>
    <n v="0"/>
    <n v="0"/>
    <n v="0"/>
    <n v="0.97227131893210128"/>
    <n v="0"/>
    <n v="0"/>
    <n v="0.64237716381740206"/>
    <n v="0"/>
    <n v="0"/>
    <n v="0"/>
    <n v="7.1870983754416029E-2"/>
    <n v="0"/>
    <n v="-1.0376410353950076"/>
    <m/>
    <n v="0"/>
    <n v="0"/>
    <n v="0"/>
    <n v="0"/>
    <n v="-0.1372562649786514"/>
    <n v="-1.93133487560046E-2"/>
    <n v="0"/>
    <n v="0"/>
    <m/>
    <m/>
    <m/>
    <n v="75.575234944367182"/>
    <n v="0"/>
    <n v="0"/>
    <n v="-3.5541000000000054"/>
    <n v="0.64240000000000208"/>
    <n v="0"/>
    <n v="0"/>
    <n v="-3.403699276989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2"/>
    <s v="Regular"/>
    <s v="Convencional"/>
    <s v="B2"/>
    <s v="Rural"/>
    <s v="Não se aplica"/>
    <s v="Não se aplica"/>
    <s v="Não se aplica"/>
    <s v="Não se aplica"/>
    <s v="CATIVO"/>
    <x v="9"/>
    <n v="0"/>
    <n v="0"/>
    <n v="228.16300000000001"/>
    <n v="228.16300000000001"/>
    <n v="228.16300000000001"/>
    <n v="228.16300000000001"/>
    <m/>
    <n v="522.37"/>
    <n v="144.41999999999999"/>
    <m/>
    <n v="152136.80677000002"/>
    <n v="152136.80677000002"/>
    <n v="148702.95362000001"/>
    <n v="0"/>
    <n v="14009.430758193292"/>
    <n v="0"/>
    <n v="0"/>
    <n v="0"/>
    <n v="23264.333064545026"/>
    <n v="75728.94667219666"/>
    <n v="32951.716545002579"/>
    <n v="0"/>
    <n v="0"/>
    <n v="0"/>
    <n v="0"/>
    <n v="0"/>
    <n v="2163.613978049445"/>
    <m/>
    <n v="331.944124763767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86.7317487012247"/>
    <n v="0"/>
    <n v="4.51"/>
    <n v="21.04"/>
    <n v="23094.16"/>
    <n v="756"/>
    <m/>
    <m/>
    <m/>
    <m/>
    <m/>
    <n v="17842.346600000004"/>
    <m/>
    <m/>
    <m/>
    <n v="36638.448293703805"/>
    <m/>
    <m/>
    <m/>
    <m/>
    <m/>
    <m/>
    <m/>
    <m/>
    <m/>
    <m/>
    <m/>
    <m/>
    <n v="130858.8864"/>
    <n v="-3020.347110000017"/>
    <m/>
    <m/>
    <m/>
    <m/>
    <n v="-4766.3250699999971"/>
    <n v="1332.4719200000009"/>
    <n v="30"/>
    <n v="-21.898800784023479"/>
    <n v="0"/>
    <n v="0"/>
    <n v="0"/>
    <n v="0"/>
    <n v="0"/>
    <n v="0"/>
    <n v="0"/>
    <n v="973.6437832427473"/>
    <n v="0"/>
    <n v="0"/>
    <n v="1332.4245529824548"/>
    <n v="0"/>
    <n v="0"/>
    <n v="0"/>
    <n v="149.07544787598954"/>
    <n v="0"/>
    <n v="-2152.2844687166471"/>
    <m/>
    <n v="0"/>
    <n v="0"/>
    <n v="0"/>
    <n v="0"/>
    <n v="-284.69819260294548"/>
    <n v="-40.05992356560256"/>
    <n v="0"/>
    <n v="0"/>
    <m/>
    <m/>
    <m/>
    <n v="75728.94667219666"/>
    <n v="0"/>
    <n v="0"/>
    <n v="-4766.3250700000062"/>
    <n v="1332.4719200000036"/>
    <n v="0"/>
    <n v="0"/>
    <n v="-3410.6220275077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3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0.50800000000000001"/>
    <n v="-0.50800000000000001"/>
    <n v="-0.50800000000000001"/>
    <n v="-0.50800000000000001"/>
    <m/>
    <n v="522.37"/>
    <n v="144.41999999999999"/>
    <m/>
    <n v="-338.72932000000003"/>
    <n v="-338.72932000000003"/>
    <n v="-331.08392000000003"/>
    <n v="0"/>
    <n v="-31.191695521018708"/>
    <n v="0"/>
    <n v="0"/>
    <n v="0"/>
    <n v="-51.797535958016297"/>
    <n v="-168.60886694808494"/>
    <n v="-73.366286404286882"/>
    <n v="0"/>
    <n v="0"/>
    <n v="0"/>
    <n v="0"/>
    <n v="0"/>
    <n v="-4.8172398717106546"/>
    <m/>
    <n v="-0.739066436626420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2084287476068525"/>
    <n v="0"/>
    <n v="0"/>
    <n v="0"/>
    <n v="-40.31"/>
    <n v="0"/>
    <m/>
    <m/>
    <m/>
    <m/>
    <m/>
    <n v="-39.725600000000014"/>
    <m/>
    <m/>
    <m/>
    <n v="-81.574715151893741"/>
    <m/>
    <m/>
    <m/>
    <m/>
    <m/>
    <m/>
    <m/>
    <m/>
    <m/>
    <m/>
    <m/>
    <m/>
    <n v="-292.50540000000001"/>
    <n v="5.5437600000000202"/>
    <m/>
    <m/>
    <m/>
    <m/>
    <n v="10.612119999999994"/>
    <n v="-2.9667200000000018"/>
    <n v="30"/>
    <n v="4.8757207778066913E-2"/>
    <n v="0"/>
    <n v="0"/>
    <n v="0"/>
    <n v="0"/>
    <n v="0"/>
    <n v="0"/>
    <n v="0"/>
    <n v="-2.1677968903254126"/>
    <n v="0"/>
    <n v="0"/>
    <n v="-2.9666145383567368"/>
    <n v="0"/>
    <n v="0"/>
    <n v="0"/>
    <n v="-0.33191327042948338"/>
    <n v="0"/>
    <n v="4.7920149634605806"/>
    <m/>
    <n v="0"/>
    <n v="0"/>
    <n v="0"/>
    <n v="0"/>
    <n v="0.63387438735595314"/>
    <n v="8.9192556073184881E-2"/>
    <n v="0"/>
    <n v="0"/>
    <m/>
    <m/>
    <m/>
    <n v="-168.60886694808494"/>
    <n v="0"/>
    <n v="0"/>
    <n v="10.612120000000004"/>
    <n v="-2.9667199999999951"/>
    <n v="0"/>
    <n v="0"/>
    <n v="7.5936764066650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4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5.6390000000000002"/>
    <n v="5.6390000000000002"/>
    <n v="5.6390000000000002"/>
    <n v="5.6390000000000002"/>
    <m/>
    <n v="522.37"/>
    <n v="144.41999999999999"/>
    <m/>
    <n v="3760.0288100000002"/>
    <n v="3760.0288100000002"/>
    <n v="3675.1618600000002"/>
    <n v="0"/>
    <n v="346.24010047839471"/>
    <n v="0"/>
    <n v="0"/>
    <n v="0"/>
    <n v="574.97304186467306"/>
    <n v="1871.6248045674233"/>
    <n v="814.39466345231051"/>
    <n v="0"/>
    <n v="0"/>
    <n v="0"/>
    <n v="0"/>
    <n v="0"/>
    <n v="53.473259127118865"/>
    <m/>
    <n v="8.20392841759131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116790763297317"/>
    <n v="0"/>
    <n v="0"/>
    <n v="0"/>
    <n v="1317.91"/>
    <n v="12"/>
    <m/>
    <m/>
    <m/>
    <m/>
    <m/>
    <n v="440.96980000000013"/>
    <m/>
    <m/>
    <m/>
    <n v="905.51145421560784"/>
    <m/>
    <m/>
    <m/>
    <m/>
    <m/>
    <m/>
    <m/>
    <m/>
    <m/>
    <m/>
    <m/>
    <m/>
    <n v="3234.7655999999997"/>
    <n v="-74.060430000001361"/>
    <m/>
    <m/>
    <m/>
    <m/>
    <n v="-117.79870999999993"/>
    <n v="32.931760000000018"/>
    <n v="30"/>
    <n v="-0.54122420208796029"/>
    <n v="0"/>
    <n v="0"/>
    <n v="0"/>
    <n v="0"/>
    <n v="0"/>
    <n v="0"/>
    <n v="0"/>
    <n v="24.063398945954646"/>
    <n v="0"/>
    <n v="0"/>
    <n v="32.930589334239357"/>
    <n v="0"/>
    <n v="0"/>
    <n v="0"/>
    <n v="3.6843679762831982"/>
    <n v="0"/>
    <n v="-53.193252714476841"/>
    <m/>
    <n v="0"/>
    <n v="0"/>
    <n v="0"/>
    <n v="0"/>
    <n v="-7.0362552564965029"/>
    <n v="-0.99007248759190869"/>
    <n v="0"/>
    <n v="0"/>
    <m/>
    <m/>
    <m/>
    <n v="1871.6248045674233"/>
    <n v="0"/>
    <n v="0"/>
    <n v="-117.79871000000003"/>
    <n v="32.931760000000054"/>
    <n v="0"/>
    <n v="0"/>
    <n v="-84.292797750362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5"/>
    <s v="Regular"/>
    <s v="Verde"/>
    <s v="A4"/>
    <s v="Rural"/>
    <s v="Não se aplica"/>
    <s v="Não se aplica"/>
    <s v="Não se aplica"/>
    <s v="Fora ponta"/>
    <s v="CATIVO"/>
    <x v="9"/>
    <n v="0"/>
    <n v="0"/>
    <n v="33.51"/>
    <n v="32.169599999999996"/>
    <n v="33.51"/>
    <n v="32.169599999999996"/>
    <m/>
    <n v="69.64"/>
    <n v="144.41999999999999"/>
    <m/>
    <n v="7173.150599999999"/>
    <n v="7173.150599999999"/>
    <n v="7058.5463999999993"/>
    <n v="0"/>
    <n v="1790.0656175415811"/>
    <n v="0"/>
    <n v="0"/>
    <n v="0"/>
    <n v="0"/>
    <n v="0"/>
    <n v="4839.5753098575851"/>
    <n v="0"/>
    <n v="0"/>
    <n v="0"/>
    <n v="0"/>
    <n v="0"/>
    <n v="317.76714193114964"/>
    <m/>
    <n v="16.677431167614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.05556626760446"/>
    <n v="0"/>
    <n v="0"/>
    <n v="0"/>
    <n v="0"/>
    <n v="0"/>
    <m/>
    <m/>
    <m/>
    <m/>
    <m/>
    <n v="282.34185600000052"/>
    <m/>
    <m/>
    <m/>
    <n v="5048.6308761251894"/>
    <m/>
    <m/>
    <m/>
    <m/>
    <m/>
    <m/>
    <m/>
    <m/>
    <m/>
    <m/>
    <m/>
    <m/>
    <n v="6776.2888000000003"/>
    <n v="-109.9657759999991"/>
    <m/>
    <m/>
    <m/>
    <m/>
    <n v="-310.30259999999993"/>
    <n v="195.69840000000011"/>
    <n v="30"/>
    <n v="-114.69096024656119"/>
    <n v="0"/>
    <n v="0"/>
    <n v="0"/>
    <n v="0"/>
    <n v="0"/>
    <n v="0"/>
    <n v="0"/>
    <n v="0"/>
    <n v="0"/>
    <n v="0"/>
    <n v="195.69144326837431"/>
    <n v="0"/>
    <n v="0"/>
    <n v="0"/>
    <n v="8.4533007272062548"/>
    <n v="0"/>
    <n v="-275.0097768508665"/>
    <m/>
    <n v="0"/>
    <n v="0"/>
    <n v="0"/>
    <n v="0"/>
    <n v="-41.813249449405475"/>
    <n v="-2.0126779418695833"/>
    <n v="0"/>
    <n v="0"/>
    <m/>
    <m/>
    <m/>
    <n v="0"/>
    <n v="0"/>
    <n v="0"/>
    <n v="-310.30259999999998"/>
    <n v="195.6984000000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6"/>
    <s v="Regular"/>
    <s v="Verde"/>
    <s v="A4"/>
    <s v="Rural"/>
    <s v="Não se aplica"/>
    <s v="Não se aplica"/>
    <s v="Não se aplica"/>
    <s v="Não se aplica"/>
    <s v="CATIVO"/>
    <x v="9"/>
    <n v="170"/>
    <n v="163.19999999999999"/>
    <n v="0"/>
    <n v="0"/>
    <n v="0"/>
    <n v="0"/>
    <n v="34.950000000000003"/>
    <m/>
    <m/>
    <n v="5941.5000000000009"/>
    <m/>
    <n v="5941.5000000000009"/>
    <n v="5861.5999999999995"/>
    <n v="0"/>
    <n v="0"/>
    <n v="0"/>
    <n v="0"/>
    <n v="0"/>
    <n v="2153.8625169442898"/>
    <n v="3788.4173587408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19.12"/>
    <n v="1"/>
    <m/>
    <m/>
    <m/>
    <m/>
    <m/>
    <n v="234.46400000000037"/>
    <m/>
    <m/>
    <m/>
    <n v="0"/>
    <m/>
    <m/>
    <m/>
    <m/>
    <m/>
    <m/>
    <m/>
    <m/>
    <m/>
    <m/>
    <m/>
    <m/>
    <n v="5627.1359999999995"/>
    <n v="-76.734000000001288"/>
    <m/>
    <m/>
    <m/>
    <m/>
    <n v="-79.900000000001015"/>
    <n v="0"/>
    <n v="30"/>
    <n v="90.142057533469142"/>
    <n v="0"/>
    <n v="0"/>
    <n v="0"/>
    <n v="0"/>
    <m/>
    <m/>
    <m/>
    <n v="90.1420575334691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8.4173587408613"/>
    <m/>
    <n v="0"/>
    <n v="0"/>
    <n v="-79.900000000001455"/>
    <m/>
    <n v="0"/>
    <m/>
    <n v="-170.61982585131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77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71.867999999999995"/>
    <n v="71.867999999999995"/>
    <n v="71.867999999999995"/>
    <n v="71.867999999999995"/>
    <m/>
    <n v="522.37"/>
    <n v="144.41999999999999"/>
    <m/>
    <n v="47920.863720000001"/>
    <n v="47920.863720000001"/>
    <n v="46839.250319999999"/>
    <n v="0"/>
    <n v="4412.7653025680556"/>
    <n v="0"/>
    <n v="0"/>
    <n v="0"/>
    <n v="7327.9238469108559"/>
    <n v="23853.507972096391"/>
    <n v="10379.307620675767"/>
    <n v="0"/>
    <n v="0"/>
    <n v="0"/>
    <n v="0"/>
    <n v="0"/>
    <n v="681.50668326791595"/>
    <m/>
    <n v="104.55753280997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1.266451246081"/>
    <n v="0"/>
    <n v="281.47000000000003"/>
    <n v="1302.01"/>
    <n v="11706"/>
    <n v="128"/>
    <m/>
    <m/>
    <m/>
    <m/>
    <m/>
    <m/>
    <m/>
    <m/>
    <m/>
    <n v="11540.574071921848"/>
    <m/>
    <m/>
    <m/>
    <m/>
    <m/>
    <m/>
    <m/>
    <m/>
    <m/>
    <m/>
    <m/>
    <m/>
    <n v="46840.553800000009"/>
    <n v="-1080.3399199999985"/>
    <m/>
    <m/>
    <m/>
    <m/>
    <n v="-1501.3225199999988"/>
    <n v="419.70912000000021"/>
    <n v="30"/>
    <n v="-6.8978011980216252"/>
    <n v="0"/>
    <n v="0"/>
    <n v="0"/>
    <n v="0"/>
    <n v="0"/>
    <n v="0"/>
    <n v="0"/>
    <n v="306.68351754706055"/>
    <n v="0"/>
    <n v="0"/>
    <n v="419.6942000839008"/>
    <n v="0"/>
    <n v="0"/>
    <n v="0"/>
    <n v="46.956580549657929"/>
    <n v="0"/>
    <n v="-677.93805392516697"/>
    <m/>
    <n v="0"/>
    <n v="0"/>
    <n v="0"/>
    <n v="0"/>
    <n v="-89.675756831688318"/>
    <n v="-12.618288621786704"/>
    <n v="0"/>
    <n v="0"/>
    <m/>
    <m/>
    <m/>
    <n v="23853.507972096391"/>
    <n v="0"/>
    <n v="0"/>
    <n v="-1501.3225200000015"/>
    <n v="419.70912000000135"/>
    <n v="0"/>
    <n v="0"/>
    <n v="-1074.2959369964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8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0.66300000000000003"/>
    <n v="0.66300000000000003"/>
    <n v="0.66300000000000003"/>
    <n v="0.66300000000000003"/>
    <m/>
    <n v="522.37"/>
    <n v="144.41999999999999"/>
    <m/>
    <n v="442.08177000000001"/>
    <n v="442.08177000000001"/>
    <n v="432.10361999999998"/>
    <n v="0"/>
    <n v="40.708846713455522"/>
    <n v="0"/>
    <n v="0"/>
    <n v="0"/>
    <n v="67.601902244418909"/>
    <n v="220.05448580035497"/>
    <n v="95.751669067012216"/>
    <n v="0"/>
    <n v="0"/>
    <n v="0"/>
    <n v="0"/>
    <n v="0"/>
    <n v="6.287066997921583"/>
    <m/>
    <n v="0.96456899110889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12969015085321"/>
    <n v="0"/>
    <n v="0.39"/>
    <n v="1.81"/>
    <n v="363.39"/>
    <n v="2"/>
    <m/>
    <m/>
    <m/>
    <m/>
    <m/>
    <m/>
    <m/>
    <m/>
    <m/>
    <n v="106.46463808209754"/>
    <m/>
    <m/>
    <m/>
    <m/>
    <m/>
    <m/>
    <m/>
    <m/>
    <m/>
    <m/>
    <m/>
    <m/>
    <n v="430.14840000000004"/>
    <n v="-11.963369999999941"/>
    <m/>
    <m/>
    <m/>
    <m/>
    <n v="-13.850069999999992"/>
    <n v="3.8719200000000025"/>
    <n v="30"/>
    <n v="-6.3633914875794062E-2"/>
    <n v="0"/>
    <n v="0"/>
    <n v="0"/>
    <n v="0"/>
    <n v="0"/>
    <n v="0"/>
    <n v="0"/>
    <n v="2.8292309808774547"/>
    <n v="0"/>
    <n v="0"/>
    <n v="3.8717823600994308"/>
    <n v="0"/>
    <n v="0"/>
    <n v="0"/>
    <n v="0.43318602026525355"/>
    <n v="0"/>
    <n v="-6.2541455133353665"/>
    <m/>
    <n v="0"/>
    <n v="0"/>
    <n v="0"/>
    <n v="0"/>
    <n v="-0.82728094255314399"/>
    <n v="-0.11640682022937321"/>
    <n v="0"/>
    <n v="0"/>
    <m/>
    <m/>
    <m/>
    <n v="220.05448580035497"/>
    <n v="0"/>
    <n v="0"/>
    <n v="-13.850070000000017"/>
    <n v="3.8719200000000029"/>
    <n v="0"/>
    <n v="0"/>
    <n v="-9.910644601612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79"/>
    <s v="Regular"/>
    <s v="Verde"/>
    <s v="A4"/>
    <s v="Poder público"/>
    <s v="Não se aplica"/>
    <s v="Não se aplica"/>
    <s v="Não se aplica"/>
    <s v="Ponta"/>
    <s v="CATIVO"/>
    <x v="9"/>
    <n v="0"/>
    <n v="0"/>
    <n v="9.0999999999999998E-2"/>
    <n v="9.0999999999999998E-2"/>
    <n v="9.0999999999999998E-2"/>
    <n v="9.0999999999999998E-2"/>
    <m/>
    <n v="2740.31"/>
    <n v="144.41999999999999"/>
    <m/>
    <n v="262.51042999999999"/>
    <n v="262.51042999999999"/>
    <n v="257.20421999999996"/>
    <n v="0"/>
    <n v="4.8611152251949834"/>
    <n v="0"/>
    <n v="0"/>
    <n v="0"/>
    <n v="68.492316005509394"/>
    <n v="174.53868850559869"/>
    <n v="13.142385950374225"/>
    <n v="0"/>
    <n v="0"/>
    <n v="0"/>
    <n v="0"/>
    <n v="0"/>
    <n v="0.86293076442060934"/>
    <m/>
    <n v="4.52893535139629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771281797529116"/>
    <n v="0"/>
    <n v="0"/>
    <n v="0"/>
    <n v="0"/>
    <n v="0"/>
    <m/>
    <m/>
    <m/>
    <m/>
    <m/>
    <m/>
    <m/>
    <m/>
    <m/>
    <n v="13.710098768349516"/>
    <m/>
    <m/>
    <m/>
    <m/>
    <m/>
    <m/>
    <m/>
    <m/>
    <m/>
    <m/>
    <m/>
    <m/>
    <n v="254.37779999999998"/>
    <n v="-8.1626299999999787"/>
    <m/>
    <m/>
    <m/>
    <m/>
    <n v="-5.837650000000008"/>
    <n v="0.53144000000000025"/>
    <n v="30"/>
    <n v="2.5550403935206845"/>
    <n v="0"/>
    <n v="0"/>
    <n v="0"/>
    <n v="0"/>
    <n v="0"/>
    <n v="0"/>
    <n v="0"/>
    <n v="2.8664960002779907"/>
    <n v="0"/>
    <n v="0"/>
    <n v="0.53142110824894218"/>
    <n v="0"/>
    <n v="0"/>
    <n v="0"/>
    <n v="2.2955845006737419E-2"/>
    <n v="0"/>
    <n v="-0.74681855247474971"/>
    <m/>
    <n v="0"/>
    <n v="0"/>
    <n v="0"/>
    <n v="0"/>
    <n v="-0.11354836466415696"/>
    <n v="-5.4656428740713775E-3"/>
    <n v="0"/>
    <n v="0"/>
    <m/>
    <m/>
    <m/>
    <n v="174.53868850559869"/>
    <n v="0"/>
    <n v="0"/>
    <n v="-5.8376499999999965"/>
    <n v="0.53143999999999991"/>
    <n v="0"/>
    <n v="0"/>
    <n v="-7.8607391470307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0"/>
    <s v="Regular"/>
    <s v="Verde"/>
    <s v="A4"/>
    <s v="Poder público"/>
    <s v="Não se aplica"/>
    <s v="Não se aplica"/>
    <s v="Não se aplica"/>
    <s v="Fora ponta"/>
    <s v="CATIVO"/>
    <x v="9"/>
    <n v="0"/>
    <n v="0"/>
    <n v="1.6539999999999999"/>
    <n v="1.6539999999999999"/>
    <n v="1.6539999999999999"/>
    <n v="1.6539999999999999"/>
    <m/>
    <n v="69.64"/>
    <n v="144.41999999999999"/>
    <m/>
    <n v="354.05523999999997"/>
    <n v="354.05523999999997"/>
    <n v="348.39855999999997"/>
    <n v="0"/>
    <n v="88.354775631565957"/>
    <n v="0"/>
    <n v="0"/>
    <n v="0"/>
    <n v="0"/>
    <n v="0"/>
    <n v="238.87369628482381"/>
    <n v="0"/>
    <n v="0"/>
    <n v="0"/>
    <n v="0"/>
    <n v="0"/>
    <n v="15.684477850018547"/>
    <m/>
    <n v="0.8231713265065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318648361880566"/>
    <n v="0"/>
    <n v="0"/>
    <n v="0"/>
    <n v="0"/>
    <n v="0"/>
    <m/>
    <m/>
    <m/>
    <m/>
    <m/>
    <m/>
    <m/>
    <m/>
    <m/>
    <n v="249.19234464670438"/>
    <m/>
    <m/>
    <m/>
    <m/>
    <m/>
    <m/>
    <m/>
    <m/>
    <m/>
    <m/>
    <m/>
    <m/>
    <n v="347.55599999999998"/>
    <n v="-6.5292399999999589"/>
    <m/>
    <m/>
    <m/>
    <m/>
    <n v="-15.316039999999996"/>
    <n v="9.6593600000000048"/>
    <n v="30"/>
    <n v="-5.6609623469952339"/>
    <n v="0"/>
    <n v="0"/>
    <n v="0"/>
    <n v="0"/>
    <n v="0"/>
    <n v="0"/>
    <n v="0"/>
    <n v="0"/>
    <n v="0"/>
    <n v="0"/>
    <n v="9.6590166268543953"/>
    <n v="0"/>
    <n v="0"/>
    <n v="0"/>
    <n v="0.41724140264993004"/>
    <n v="0"/>
    <n v="-13.574042701024567"/>
    <m/>
    <n v="0"/>
    <n v="0"/>
    <n v="0"/>
    <n v="0"/>
    <n v="-2.0638351115880837"/>
    <n v="-9.9342563886967716E-2"/>
    <n v="0"/>
    <n v="0"/>
    <m/>
    <m/>
    <m/>
    <n v="0"/>
    <n v="0"/>
    <n v="0"/>
    <n v="-15.316039999999987"/>
    <n v="9.6593600000000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1"/>
    <s v="Regular"/>
    <s v="Verde"/>
    <s v="A4"/>
    <s v="Poder público"/>
    <s v="Não se aplica"/>
    <s v="Não se aplica"/>
    <s v="Não se aplica"/>
    <s v="Não se aplica"/>
    <s v="CATIVO"/>
    <x v="9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010000000000002"/>
    <n v="92.37"/>
    <n v="339.47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0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82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492.63400000000001"/>
    <n v="492.63400000000001"/>
    <n v="492.63400000000001"/>
    <n v="492.63400000000001"/>
    <m/>
    <n v="287.3"/>
    <n v="79.430000000000007"/>
    <m/>
    <n v="180663.66682000001"/>
    <n v="180663.66682000001"/>
    <n v="176589.58364"/>
    <n v="0"/>
    <n v="16636.514472865827"/>
    <n v="0"/>
    <n v="0"/>
    <n v="0"/>
    <n v="27626.919352416873"/>
    <n v="89929.829346568018"/>
    <n v="39130.905364309561"/>
    <n v="0"/>
    <n v="0"/>
    <n v="0"/>
    <n v="0"/>
    <n v="0"/>
    <n v="2569.3403165908826"/>
    <m/>
    <n v="394.19112247551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8.0769649738359"/>
    <n v="0"/>
    <n v="1101.79"/>
    <n v="5085.29"/>
    <n v="56503.31"/>
    <n v="6"/>
    <m/>
    <m/>
    <m/>
    <m/>
    <m/>
    <m/>
    <m/>
    <m/>
    <m/>
    <n v="43508.982329283397"/>
    <m/>
    <m/>
    <m/>
    <m/>
    <m/>
    <m/>
    <m/>
    <m/>
    <m/>
    <m/>
    <m/>
    <m/>
    <n v="176588.14980000001"/>
    <n v="-4075.5470200000273"/>
    <m/>
    <m/>
    <m/>
    <m/>
    <n v="-5655.4383200000093"/>
    <n v="1581.3551399999969"/>
    <n v="30"/>
    <n v="-26.005319022180629"/>
    <n v="0"/>
    <n v="0"/>
    <n v="0"/>
    <n v="0"/>
    <n v="0"/>
    <n v="0"/>
    <n v="0"/>
    <n v="1156.2239159402525"/>
    <n v="0"/>
    <n v="0"/>
    <n v="1582.2841585999049"/>
    <n v="0"/>
    <n v="0"/>
    <n v="0"/>
    <n v="177.03045105436468"/>
    <n v="0"/>
    <n v="-2555.8862691539034"/>
    <m/>
    <n v="0"/>
    <n v="0"/>
    <n v="0"/>
    <n v="0"/>
    <n v="-338.08551420746153"/>
    <n v="-47.572061255329345"/>
    <n v="0"/>
    <n v="0"/>
    <m/>
    <m/>
    <m/>
    <n v="89929.829346568018"/>
    <n v="0"/>
    <n v="0"/>
    <n v="-5655.4383200000157"/>
    <n v="1581.3551399999997"/>
    <n v="0"/>
    <n v="0"/>
    <n v="-4050.190453949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3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1.469000000000001"/>
    <n v="20.180859999999999"/>
    <n v="21.469000000000001"/>
    <n v="20.180859999999999"/>
    <m/>
    <n v="522.37"/>
    <n v="144.41999999999999"/>
    <m/>
    <n v="14315.314510000002"/>
    <n v="14315.314510000002"/>
    <n v="13992.206060000002"/>
    <n v="0"/>
    <n v="1318.217541615651"/>
    <n v="0"/>
    <n v="0"/>
    <n v="0"/>
    <n v="2189.0576761469524"/>
    <n v="7125.7160718669993"/>
    <n v="3100.5921315229039"/>
    <n v="0"/>
    <n v="0"/>
    <n v="0"/>
    <n v="0"/>
    <n v="0"/>
    <n v="203.58528111369301"/>
    <m/>
    <n v="31.234286078607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.9030645322274"/>
    <n v="0"/>
    <n v="79.09"/>
    <n v="365.59"/>
    <n v="4321.2299999999996"/>
    <n v="35"/>
    <m/>
    <m/>
    <m/>
    <m/>
    <n v="839.53236360000142"/>
    <m/>
    <m/>
    <m/>
    <m/>
    <n v="3447.4951960551311"/>
    <m/>
    <m/>
    <m/>
    <m/>
    <m/>
    <m/>
    <m/>
    <m/>
    <m/>
    <m/>
    <m/>
    <m/>
    <n v="13152.1132"/>
    <n v="-304.31243940000059"/>
    <m/>
    <m/>
    <m/>
    <m/>
    <n v="-448.48740999999973"/>
    <n v="125.37896000000008"/>
    <n v="30"/>
    <n v="-2.0605679011569009"/>
    <n v="0"/>
    <n v="0"/>
    <n v="0"/>
    <n v="0"/>
    <n v="0"/>
    <n v="0"/>
    <n v="0"/>
    <n v="91.61502251652837"/>
    <n v="0"/>
    <n v="0"/>
    <n v="125.37450299996181"/>
    <n v="0"/>
    <n v="0"/>
    <n v="0"/>
    <n v="14.027255911123234"/>
    <n v="0"/>
    <n v="-202.51923080814026"/>
    <m/>
    <n v="0"/>
    <n v="0"/>
    <n v="0"/>
    <n v="0"/>
    <n v="-26.788679571151505"/>
    <n v="-3.7694389494787544"/>
    <n v="0"/>
    <n v="0"/>
    <m/>
    <m/>
    <m/>
    <n v="7125.7160718669993"/>
    <n v="0"/>
    <n v="0"/>
    <n v="-448.48740999999973"/>
    <n v="125.37896000000001"/>
    <n v="0"/>
    <n v="0"/>
    <n v="-320.9225172730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4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0.69699999999999995"/>
    <n v="0.65517999999999998"/>
    <n v="0.69699999999999995"/>
    <n v="0.65517999999999998"/>
    <m/>
    <n v="2740.31"/>
    <n v="144.41999999999999"/>
    <m/>
    <n v="2010.65681"/>
    <n v="2010.65681"/>
    <n v="1970.0147399999996"/>
    <n v="0"/>
    <n v="37.232937494075863"/>
    <n v="0"/>
    <n v="0"/>
    <n v="0"/>
    <n v="524.6059808334071"/>
    <n v="1336.8512734989263"/>
    <n v="100.66201107044873"/>
    <n v="0"/>
    <n v="0"/>
    <n v="0"/>
    <n v="0"/>
    <n v="0"/>
    <n v="6.6094806901226892"/>
    <m/>
    <n v="0.34688658680474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483058695470103"/>
    <n v="0"/>
    <n v="0"/>
    <n v="0"/>
    <n v="0"/>
    <n v="0"/>
    <m/>
    <m/>
    <m/>
    <m/>
    <n v="118.20088439999989"/>
    <m/>
    <m/>
    <m/>
    <m/>
    <n v="105.01031693999573"/>
    <m/>
    <m/>
    <m/>
    <m/>
    <m/>
    <m/>
    <m/>
    <m/>
    <m/>
    <m/>
    <m/>
    <m/>
    <n v="1865.4371999999998"/>
    <n v="-24.610201400000051"/>
    <m/>
    <m/>
    <m/>
    <m/>
    <n v="-44.712550000000057"/>
    <n v="4.0704800000000025"/>
    <n v="30"/>
    <n v="19.56992477235076"/>
    <n v="0"/>
    <n v="0"/>
    <n v="0"/>
    <n v="0"/>
    <n v="0"/>
    <n v="0"/>
    <n v="0"/>
    <n v="21.9554693647666"/>
    <n v="0"/>
    <n v="0"/>
    <n v="4.0703353016429986"/>
    <n v="0"/>
    <n v="0"/>
    <n v="0"/>
    <n v="0.17582663702962531"/>
    <n v="0"/>
    <n v="-5.7201377041197858"/>
    <m/>
    <n v="0"/>
    <n v="0"/>
    <n v="0"/>
    <n v="0"/>
    <n v="-0.86970560627381843"/>
    <n v="-4.186322069481041E-2"/>
    <n v="0"/>
    <n v="0"/>
    <m/>
    <m/>
    <m/>
    <n v="1336.8512734989263"/>
    <n v="0"/>
    <n v="0"/>
    <n v="-44.712550000000192"/>
    <n v="4.0704800000000034"/>
    <n v="0"/>
    <n v="0"/>
    <n v="-60.20807896132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5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5.3840000000000003"/>
    <n v="5.0609599999999997"/>
    <n v="5.3840000000000003"/>
    <n v="5.0609599999999997"/>
    <m/>
    <n v="69.64"/>
    <n v="144.41999999999999"/>
    <m/>
    <n v="1152.4990400000002"/>
    <n v="1152.4990400000002"/>
    <n v="1134.0857599999999"/>
    <n v="0"/>
    <n v="287.60708101593178"/>
    <n v="0"/>
    <n v="0"/>
    <n v="0"/>
    <n v="0"/>
    <n v="0"/>
    <n v="777.56709842653663"/>
    <n v="0"/>
    <n v="0"/>
    <n v="0"/>
    <n v="0"/>
    <n v="0"/>
    <n v="51.055156435610563"/>
    <m/>
    <n v="2.6795371353755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58863529647217"/>
    <n v="0"/>
    <n v="0"/>
    <n v="0"/>
    <n v="0"/>
    <n v="0"/>
    <m/>
    <m/>
    <m/>
    <m/>
    <n v="68.045145600000126"/>
    <m/>
    <m/>
    <m/>
    <m/>
    <n v="811.15573372300878"/>
    <m/>
    <m/>
    <m/>
    <m/>
    <m/>
    <m/>
    <m/>
    <m/>
    <m/>
    <m/>
    <m/>
    <m/>
    <n v="1065.8383999999999"/>
    <n v="-17.54069759999993"/>
    <m/>
    <m/>
    <m/>
    <m/>
    <n v="-49.855839999999993"/>
    <n v="31.442560000000022"/>
    <n v="30"/>
    <n v="-18.427219634959329"/>
    <n v="0"/>
    <n v="0"/>
    <n v="0"/>
    <n v="0"/>
    <n v="0"/>
    <n v="0"/>
    <n v="0"/>
    <n v="0"/>
    <n v="0"/>
    <n v="0"/>
    <n v="31.441442272662698"/>
    <n v="0"/>
    <n v="0"/>
    <n v="0"/>
    <n v="1.3581787858931236"/>
    <n v="0"/>
    <n v="-44.185396555209337"/>
    <m/>
    <n v="0"/>
    <n v="0"/>
    <n v="0"/>
    <n v="0"/>
    <n v="-6.7180702785914477"/>
    <n v="-0.32337385971428922"/>
    <n v="0"/>
    <n v="0"/>
    <m/>
    <m/>
    <m/>
    <n v="0"/>
    <n v="0"/>
    <n v="0"/>
    <n v="-49.855840000000001"/>
    <n v="31.44255999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6"/>
    <s v="Regular"/>
    <s v="Verde"/>
    <s v="A4"/>
    <s v="Serviço público"/>
    <s v="Água, esgoto e saneamento"/>
    <s v="Não se aplica"/>
    <s v="Não se aplica"/>
    <s v="Não se aplica"/>
    <s v="CATIVO"/>
    <x v="9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4.21"/>
    <n v="157.88999999999999"/>
    <n v="1146.21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0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487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5.4729999999999999"/>
    <n v="5.4729999999999999"/>
    <n v="5.4729999999999999"/>
    <n v="5.4729999999999999"/>
    <m/>
    <n v="522.37"/>
    <n v="144.41999999999999"/>
    <m/>
    <n v="3649.3416699999998"/>
    <n v="3649.3416699999998"/>
    <n v="3566.9730199999999"/>
    <n v="0"/>
    <n v="336.04753855617201"/>
    <n v="0"/>
    <n v="0"/>
    <n v="0"/>
    <n v="558.04707539020308"/>
    <n v="1816.528206312734"/>
    <n v="790.42064072964979"/>
    <n v="0"/>
    <n v="0"/>
    <n v="0"/>
    <n v="0"/>
    <n v="0"/>
    <n v="51.899121688725216"/>
    <m/>
    <n v="7.9624224560165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434508928449404"/>
    <n v="0"/>
    <n v="0"/>
    <n v="0"/>
    <n v="0"/>
    <n v="4"/>
    <m/>
    <m/>
    <m/>
    <m/>
    <m/>
    <m/>
    <m/>
    <m/>
    <m/>
    <n v="878.85514965809921"/>
    <m/>
    <m/>
    <m/>
    <m/>
    <m/>
    <m/>
    <m/>
    <m/>
    <m/>
    <m/>
    <m/>
    <m/>
    <n v="3565.0178000000001"/>
    <n v="-84.35387000000037"/>
    <m/>
    <m/>
    <m/>
    <m/>
    <n v="-114.33096999999992"/>
    <n v="31.96232000000002"/>
    <n v="30"/>
    <n v="-0.52529172868003116"/>
    <n v="0"/>
    <n v="0"/>
    <n v="0"/>
    <n v="0"/>
    <n v="0"/>
    <n v="0"/>
    <n v="0"/>
    <n v="23.355024371557079"/>
    <n v="0"/>
    <n v="0"/>
    <n v="31.961183796114938"/>
    <n v="0"/>
    <n v="0"/>
    <n v="0"/>
    <n v="3.5759081280719869"/>
    <n v="0"/>
    <n v="-51.627358061062523"/>
    <m/>
    <n v="0"/>
    <n v="0"/>
    <n v="0"/>
    <n v="0"/>
    <n v="-6.8291230748014371"/>
    <n v="-0.96092688856012032"/>
    <n v="0"/>
    <n v="0"/>
    <m/>
    <m/>
    <m/>
    <n v="1816.528206312734"/>
    <n v="0"/>
    <n v="0"/>
    <n v="-114.33096999999998"/>
    <n v="31.962320000000091"/>
    <n v="0"/>
    <n v="0"/>
    <n v="-81.81139955448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88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25.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489"/>
    <s v="Regular"/>
    <s v="Convencional"/>
    <s v="B2"/>
    <s v="Rural"/>
    <s v="Agropecuária rural"/>
    <s v="IRRIG./AQUIC."/>
    <s v="Não se aplica"/>
    <s v="Não se aplica"/>
    <s v="CATIVO"/>
    <x v="9"/>
    <n v="0"/>
    <n v="0"/>
    <n v="1.764"/>
    <n v="1.764"/>
    <n v="1.764"/>
    <n v="1.764"/>
    <m/>
    <n v="522.37"/>
    <n v="144.41999999999999"/>
    <m/>
    <n v="1176.21756"/>
    <n v="1176.21756"/>
    <n v="1149.6693599999999"/>
    <n v="0"/>
    <n v="108.31132066747442"/>
    <n v="0"/>
    <n v="0"/>
    <n v="0"/>
    <n v="179.86388470460778"/>
    <n v="585.48433326067288"/>
    <n v="254.76009688417727"/>
    <n v="0"/>
    <n v="0"/>
    <n v="0"/>
    <n v="0"/>
    <n v="0"/>
    <n v="16.727580971845658"/>
    <m/>
    <n v="2.5663645555295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503284076335603"/>
    <n v="0"/>
    <n v="0"/>
    <n v="0"/>
    <n v="0"/>
    <n v="0"/>
    <m/>
    <m/>
    <m/>
    <m/>
    <m/>
    <n v="137.94480000000004"/>
    <m/>
    <m/>
    <m/>
    <n v="283.2633809605129"/>
    <m/>
    <m/>
    <m/>
    <m/>
    <m/>
    <m/>
    <m/>
    <m/>
    <m/>
    <m/>
    <m/>
    <m/>
    <n v="1009.4304"/>
    <n v="-25.66188000000011"/>
    <m/>
    <m/>
    <m/>
    <m/>
    <n v="-36.849959999999975"/>
    <n v="10.301760000000007"/>
    <n v="30"/>
    <n v="-0.16930652464668583"/>
    <n v="0"/>
    <n v="0"/>
    <n v="0"/>
    <n v="0"/>
    <n v="0"/>
    <n v="0"/>
    <n v="0"/>
    <n v="7.5275466821535701"/>
    <n v="0"/>
    <n v="0"/>
    <n v="10.301393790671824"/>
    <n v="0"/>
    <n v="0"/>
    <n v="0"/>
    <n v="1.152549230388999"/>
    <n v="0"/>
    <n v="-16.639988967607223"/>
    <m/>
    <n v="0"/>
    <n v="0"/>
    <n v="0"/>
    <n v="0"/>
    <n v="-2.201091376566735"/>
    <n v="-0.30971588368720093"/>
    <n v="0"/>
    <n v="0"/>
    <m/>
    <m/>
    <m/>
    <n v="585.48433326067288"/>
    <n v="0"/>
    <n v="0"/>
    <n v="-36.84996000000001"/>
    <n v="10.301760000000002"/>
    <n v="0"/>
    <n v="0"/>
    <n v="-26.368592876687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0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0.26900000000000002"/>
    <n v="0.1076"/>
    <n v="0.26900000000000002"/>
    <n v="0.1076"/>
    <m/>
    <n v="522.37"/>
    <n v="144.41999999999999"/>
    <m/>
    <n v="179.36651000000001"/>
    <n v="179.36651000000001"/>
    <n v="175.31806"/>
    <n v="0"/>
    <n v="16.516862392035499"/>
    <n v="0"/>
    <n v="0"/>
    <n v="0"/>
    <n v="27.42822278091808"/>
    <n v="89.283041750068605"/>
    <n v="38.849470556600735"/>
    <n v="0"/>
    <n v="0"/>
    <n v="0"/>
    <n v="0"/>
    <n v="0"/>
    <n v="2.5508612706499334"/>
    <m/>
    <n v="0.39135604616635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465892383981162"/>
    <n v="0"/>
    <n v="0"/>
    <n v="0"/>
    <n v="0"/>
    <n v="0"/>
    <m/>
    <m/>
    <m/>
    <m/>
    <m/>
    <m/>
    <n v="113.60515600000001"/>
    <m/>
    <m/>
    <n v="43.196059794998853"/>
    <m/>
    <m/>
    <m/>
    <m/>
    <m/>
    <m/>
    <m/>
    <m/>
    <m/>
    <m/>
    <m/>
    <m/>
    <n v="63.089399999999998"/>
    <n v="-7.7051999999994791E-2"/>
    <m/>
    <m/>
    <m/>
    <m/>
    <n v="-5.6194099999999967"/>
    <n v="1.570960000000001"/>
    <n v="30"/>
    <n v="-2.5818285221077986E-2"/>
    <n v="0"/>
    <n v="0"/>
    <n v="0"/>
    <n v="0"/>
    <n v="0"/>
    <n v="0"/>
    <n v="0"/>
    <n v="1.1479081958612909"/>
    <n v="0"/>
    <n v="0"/>
    <n v="1.5709041551534639"/>
    <n v="0"/>
    <n v="0"/>
    <n v="0"/>
    <n v="0.17575722390852722"/>
    <n v="0"/>
    <n v="-2.5375039865568834"/>
    <m/>
    <n v="0"/>
    <n v="0"/>
    <n v="0"/>
    <n v="0"/>
    <n v="-0.33565395708415657"/>
    <n v="-4.7229916503320368E-2"/>
    <n v="0"/>
    <n v="0"/>
    <m/>
    <m/>
    <m/>
    <n v="89.283041750068605"/>
    <n v="0"/>
    <n v="0"/>
    <n v="-5.6194100000000162"/>
    <n v="1.5709599999999995"/>
    <n v="0"/>
    <n v="0"/>
    <n v="-4.021060931875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1"/>
    <s v="Regular"/>
    <s v="Convencional"/>
    <s v="B1"/>
    <s v="Residencial"/>
    <s v="Residencial"/>
    <s v="Não se aplica"/>
    <s v="Não se aplica"/>
    <s v="Não se aplica"/>
    <s v="CATIVO"/>
    <x v="10"/>
    <n v="0"/>
    <n v="0"/>
    <n v="2394.3290000000002"/>
    <n v="2394.3290000000002"/>
    <n v="2394.3290000000002"/>
    <n v="2394.3290000000002"/>
    <m/>
    <n v="522.37"/>
    <n v="144.41999999999999"/>
    <m/>
    <n v="1596514.6339100001"/>
    <n v="1596514.6339100001"/>
    <n v="1560479.9824600001"/>
    <n v="0"/>
    <n v="147014.13611249058"/>
    <n v="0"/>
    <n v="0"/>
    <n v="0"/>
    <n v="244134.53242681341"/>
    <n v="794695.0783286246"/>
    <n v="345793.36055135791"/>
    <n v="0"/>
    <n v="0"/>
    <n v="0"/>
    <n v="0"/>
    <n v="0"/>
    <n v="22704.836859828938"/>
    <m/>
    <n v="3483.401972719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688.344478009385"/>
    <n v="0"/>
    <n v="486.25"/>
    <n v="2243.3000000000002"/>
    <n v="224084.5"/>
    <n v="12091"/>
    <m/>
    <m/>
    <m/>
    <m/>
    <m/>
    <m/>
    <m/>
    <m/>
    <m/>
    <n v="384481.70502936729"/>
    <m/>
    <m/>
    <m/>
    <m/>
    <m/>
    <m/>
    <m/>
    <m/>
    <m/>
    <m/>
    <m/>
    <m/>
    <n v="1560480.6342"/>
    <n v="-36034.029710000148"/>
    <m/>
    <m/>
    <m/>
    <m/>
    <n v="-50017.532809999968"/>
    <n v="13982.881360000008"/>
    <n v="31"/>
    <n v="-229.80471760267392"/>
    <n v="0"/>
    <n v="0"/>
    <n v="0"/>
    <n v="0"/>
    <n v="0"/>
    <n v="0"/>
    <n v="0"/>
    <n v="10217.360158692813"/>
    <n v="0"/>
    <n v="0"/>
    <n v="13982.384293325071"/>
    <n v="0"/>
    <n v="0"/>
    <n v="0"/>
    <n v="1564.3889151066105"/>
    <n v="0"/>
    <n v="-22585.945660329962"/>
    <m/>
    <n v="0"/>
    <n v="0"/>
    <n v="0"/>
    <n v="0"/>
    <n v="-2987.6059606369927"/>
    <n v="-420.38646376014322"/>
    <n v="0"/>
    <n v="0"/>
    <m/>
    <m/>
    <m/>
    <n v="794695.0783286246"/>
    <n v="0"/>
    <n v="0"/>
    <n v="-50017.532810000004"/>
    <n v="13982.881359999999"/>
    <n v="0"/>
    <n v="0"/>
    <n v="-35790.86542735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2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2.63"/>
    <n v="-2.63"/>
    <n v="-2.63"/>
    <n v="-2.63"/>
    <m/>
    <n v="522.37"/>
    <n v="144.41999999999999"/>
    <m/>
    <n v="-1753.6577"/>
    <n v="-1753.6577"/>
    <n v="-1714.0762"/>
    <n v="0"/>
    <n v="-161.48456539425038"/>
    <n v="0"/>
    <n v="0"/>
    <n v="0"/>
    <n v="-268.16440860154103"/>
    <n v="-872.91598439658139"/>
    <n v="-379.82939614817815"/>
    <n v="0"/>
    <n v="0"/>
    <n v="0"/>
    <n v="0"/>
    <n v="0"/>
    <n v="-24.939647367320909"/>
    <m/>
    <n v="-3.8262691502509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2.4963929256024"/>
    <n v="0"/>
    <n v="-0.65"/>
    <n v="-3.02"/>
    <n v="-500.39"/>
    <n v="0"/>
    <m/>
    <m/>
    <m/>
    <m/>
    <m/>
    <m/>
    <m/>
    <m/>
    <m/>
    <n v="-422.32578907378053"/>
    <m/>
    <m/>
    <m/>
    <m/>
    <m/>
    <m/>
    <m/>
    <m/>
    <m/>
    <m/>
    <m/>
    <m/>
    <n v="-1714.0762"/>
    <n v="39.551500000000033"/>
    <m/>
    <m/>
    <m/>
    <m/>
    <n v="54.940699999999964"/>
    <n v="-15.359200000000008"/>
    <n v="31"/>
    <n v="0.25242412688260174"/>
    <n v="0"/>
    <n v="0"/>
    <n v="0"/>
    <n v="0"/>
    <n v="0"/>
    <n v="0"/>
    <n v="0"/>
    <n v="-11.223042955818585"/>
    <n v="0"/>
    <n v="0"/>
    <n v="-15.358654007634243"/>
    <n v="0"/>
    <n v="0"/>
    <n v="0"/>
    <n v="-1.7183698843101283"/>
    <n v="0"/>
    <n v="24.809053846262458"/>
    <m/>
    <n v="0"/>
    <n v="0"/>
    <n v="0"/>
    <n v="0"/>
    <n v="3.2816725172168475"/>
    <n v="0.46176461116629186"/>
    <n v="0"/>
    <n v="0"/>
    <m/>
    <m/>
    <m/>
    <n v="-872.91598439658139"/>
    <n v="0"/>
    <n v="0"/>
    <n v="54.940700000000106"/>
    <n v="-15.359199999999987"/>
    <n v="0"/>
    <n v="0"/>
    <n v="39.313718404584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3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23.007999999999999"/>
    <n v="23.007999999999999"/>
    <n v="23.007999999999999"/>
    <n v="23.007999999999999"/>
    <m/>
    <n v="522.37"/>
    <n v="144.41999999999999"/>
    <m/>
    <n v="15341.50432"/>
    <n v="15341.50432"/>
    <n v="14995.233919999999"/>
    <n v="0"/>
    <n v="1412.7136428102331"/>
    <n v="0"/>
    <n v="0"/>
    <n v="0"/>
    <n v="2345.9797388229113"/>
    <n v="7636.5212809872801"/>
    <n v="3322.8573180902217"/>
    <n v="0"/>
    <n v="0"/>
    <n v="0"/>
    <n v="0"/>
    <n v="0"/>
    <n v="218.17924206361957"/>
    <m/>
    <n v="33.473308216339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77072563964259"/>
    <n v="0"/>
    <n v="3.24"/>
    <n v="14.9"/>
    <n v="5000.0600000000004"/>
    <n v="128"/>
    <m/>
    <m/>
    <m/>
    <m/>
    <m/>
    <m/>
    <m/>
    <m/>
    <m/>
    <n v="3694.6280437298642"/>
    <m/>
    <m/>
    <m/>
    <m/>
    <m/>
    <m/>
    <m/>
    <m/>
    <m/>
    <m/>
    <m/>
    <m/>
    <n v="14996.537400000001"/>
    <n v="-344.99691999999959"/>
    <m/>
    <m/>
    <m/>
    <m/>
    <n v="-480.63711999999964"/>
    <n v="134.36672000000007"/>
    <n v="31"/>
    <n v="-2.2082792058236009"/>
    <n v="0"/>
    <n v="0"/>
    <n v="0"/>
    <n v="0"/>
    <n v="0"/>
    <n v="0"/>
    <n v="0"/>
    <n v="98.182422938202762"/>
    <n v="0"/>
    <n v="0"/>
    <n v="134.36194350100686"/>
    <n v="0"/>
    <n v="0"/>
    <n v="0"/>
    <n v="15.032796311105471"/>
    <n v="0"/>
    <n v="-217.03677220334839"/>
    <m/>
    <n v="0"/>
    <n v="0"/>
    <n v="0"/>
    <n v="0"/>
    <n v="-28.709019496625558"/>
    <n v="-4.0396502561650358"/>
    <n v="0"/>
    <n v="0"/>
    <m/>
    <m/>
    <m/>
    <n v="7636.5212809872801"/>
    <n v="0"/>
    <n v="0"/>
    <n v="-480.63711999999941"/>
    <n v="134.36671999999999"/>
    <n v="0"/>
    <n v="0"/>
    <n v="-343.9277692215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4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15.99"/>
    <n v="15.99"/>
    <n v="15.99"/>
    <n v="15.99"/>
    <m/>
    <n v="451.48"/>
    <n v="144.41999999999999"/>
    <m/>
    <n v="9528.4410000000007"/>
    <n v="9528.4410000000007"/>
    <n v="9458.7245999999996"/>
    <n v="0"/>
    <n v="0"/>
    <n v="0"/>
    <n v="0"/>
    <n v="0"/>
    <n v="1630.3988188359854"/>
    <n v="5307.1964222438546"/>
    <n v="2309.3049598514708"/>
    <n v="0"/>
    <n v="0"/>
    <n v="0"/>
    <n v="0"/>
    <n v="0"/>
    <n v="0"/>
    <m/>
    <n v="23.2631344914497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37160565794005"/>
    <n v="0"/>
    <n v="0.96"/>
    <n v="4.08"/>
    <n v="400.47"/>
    <n v="10"/>
    <m/>
    <m/>
    <m/>
    <m/>
    <m/>
    <m/>
    <m/>
    <n v="6148.1549999999997"/>
    <m/>
    <n v="2567.6765655094109"/>
    <m/>
    <m/>
    <m/>
    <m/>
    <m/>
    <m/>
    <m/>
    <m/>
    <m/>
    <m/>
    <m/>
    <m/>
    <n v="3310.5695999999998"/>
    <n v="-24.494700000001103"/>
    <m/>
    <m/>
    <m/>
    <m/>
    <n v="-163.09800000000072"/>
    <n v="93.381600000000063"/>
    <n v="31"/>
    <n v="169.25264363619044"/>
    <n v="0"/>
    <n v="0"/>
    <n v="0"/>
    <n v="0"/>
    <n v="0"/>
    <n v="0"/>
    <n v="0"/>
    <n v="68.234394244691657"/>
    <n v="0"/>
    <n v="0"/>
    <n v="93.378280449457179"/>
    <n v="0"/>
    <n v="0"/>
    <n v="0"/>
    <n v="10.447427547573795"/>
    <n v="0"/>
    <n v="0"/>
    <m/>
    <n v="0"/>
    <n v="0"/>
    <n v="0"/>
    <n v="0"/>
    <n v="0"/>
    <n v="-2.8074586055319415"/>
    <n v="0"/>
    <n v="0"/>
    <m/>
    <m/>
    <m/>
    <n v="5307.1964222438546"/>
    <n v="0"/>
    <n v="0"/>
    <n v="-163.09800000000087"/>
    <n v="93.381600000000162"/>
    <n v="0"/>
    <n v="0"/>
    <n v="-239.0214286271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5"/>
    <s v="Refaturamento - 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06"/>
    <n v="0.06"/>
    <n v="0.06"/>
    <n v="0.06"/>
    <m/>
    <n v="451.48"/>
    <n v="144.41999999999999"/>
    <m/>
    <n v="35.753999999999998"/>
    <n v="35.753999999999998"/>
    <n v="35.492399999999996"/>
    <n v="0"/>
    <n v="0"/>
    <n v="0"/>
    <n v="0"/>
    <n v="0"/>
    <n v="6.1178192076397195"/>
    <n v="19.914433104104518"/>
    <n v="8.6653094178291585"/>
    <n v="0"/>
    <n v="0"/>
    <n v="0"/>
    <n v="0"/>
    <n v="0"/>
    <n v="0"/>
    <m/>
    <n v="8.729131141256939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6949945837876195"/>
    <n v="0"/>
    <n v="0"/>
    <n v="0"/>
    <n v="1.5"/>
    <n v="0"/>
    <m/>
    <m/>
    <m/>
    <m/>
    <m/>
    <m/>
    <m/>
    <n v="23.069999999999997"/>
    <m/>
    <n v="9.63480887620792"/>
    <m/>
    <m/>
    <m/>
    <m/>
    <m/>
    <m/>
    <m/>
    <m/>
    <m/>
    <m/>
    <m/>
    <m/>
    <n v="12.4224"/>
    <n v="-0.12179999999999858"/>
    <m/>
    <m/>
    <m/>
    <m/>
    <n v="-0.61200000000000265"/>
    <n v="0.35040000000000021"/>
    <n v="31"/>
    <n v="0.63509434760296379"/>
    <n v="0"/>
    <n v="0"/>
    <n v="0"/>
    <n v="0"/>
    <n v="0"/>
    <n v="0"/>
    <n v="0"/>
    <n v="0.25603900279434022"/>
    <n v="0"/>
    <n v="0"/>
    <n v="0.35038754390040161"/>
    <n v="0"/>
    <n v="0"/>
    <n v="0"/>
    <n v="3.9202354775136117E-2"/>
    <n v="0"/>
    <n v="0"/>
    <m/>
    <n v="0"/>
    <n v="0"/>
    <n v="0"/>
    <n v="0"/>
    <n v="0"/>
    <n v="-1.05345538669116E-2"/>
    <n v="0"/>
    <n v="0"/>
    <m/>
    <m/>
    <m/>
    <n v="19.914433104104518"/>
    <n v="0"/>
    <n v="0"/>
    <n v="-0.61200000000000188"/>
    <n v="0.35040000000000049"/>
    <n v="0"/>
    <n v="0"/>
    <n v="-0.8968909141730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34.805"/>
    <n v="34.805"/>
    <n v="34.805"/>
    <n v="34.805"/>
    <m/>
    <n v="451.48"/>
    <n v="144.41999999999999"/>
    <m/>
    <n v="20740.299500000001"/>
    <n v="20740.299500000001"/>
    <n v="20588.5497"/>
    <n v="0"/>
    <n v="0"/>
    <n v="0"/>
    <n v="0"/>
    <n v="0"/>
    <n v="3548.8449586983411"/>
    <n v="11552.03073647263"/>
    <n v="5026.6015714590649"/>
    <n v="0"/>
    <n v="0"/>
    <n v="0"/>
    <n v="0"/>
    <n v="0"/>
    <n v="0"/>
    <m/>
    <n v="50.63623489524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.39047748121357"/>
    <n v="0"/>
    <n v="3.2"/>
    <n v="14.8"/>
    <n v="1499.3"/>
    <n v="72"/>
    <m/>
    <m/>
    <m/>
    <m/>
    <m/>
    <m/>
    <m/>
    <n v="8235.2110499999999"/>
    <m/>
    <n v="5588.9920489402784"/>
    <m/>
    <m/>
    <m/>
    <m/>
    <m/>
    <m/>
    <m/>
    <m/>
    <m/>
    <m/>
    <m/>
    <m/>
    <n v="12355.113300000001"/>
    <n v="-89.096399999998539"/>
    <m/>
    <m/>
    <m/>
    <m/>
    <n v="-355.01100000000156"/>
    <n v="203.26120000000012"/>
    <n v="31"/>
    <n v="368.40764613868669"/>
    <n v="0"/>
    <n v="0"/>
    <n v="0"/>
    <n v="0"/>
    <n v="0"/>
    <n v="0"/>
    <n v="0"/>
    <n v="148.52395820428319"/>
    <n v="0"/>
    <n v="0"/>
    <n v="203.253974424224"/>
    <n v="0"/>
    <n v="0"/>
    <n v="0"/>
    <n v="22.740632632476718"/>
    <n v="0"/>
    <n v="0"/>
    <m/>
    <n v="0"/>
    <n v="0"/>
    <n v="0"/>
    <n v="0"/>
    <n v="0"/>
    <n v="-6.1109191222976378"/>
    <n v="0"/>
    <n v="0"/>
    <m/>
    <m/>
    <m/>
    <n v="11552.03073647263"/>
    <n v="0"/>
    <n v="0"/>
    <n v="-355.01100000000224"/>
    <n v="203.26119999999992"/>
    <n v="0"/>
    <n v="0"/>
    <n v="-520.27147112987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7"/>
    <s v="Refaturamento - 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14000000000000001"/>
    <n v="0.14000000000000001"/>
    <n v="0.14000000000000001"/>
    <n v="0.14000000000000001"/>
    <m/>
    <n v="451.48"/>
    <n v="144.41999999999999"/>
    <m/>
    <n v="83.426000000000016"/>
    <n v="83.426000000000016"/>
    <n v="82.815600000000003"/>
    <n v="0"/>
    <n v="0"/>
    <n v="0"/>
    <n v="0"/>
    <n v="0"/>
    <n v="14.274911484492682"/>
    <n v="46.467010576243887"/>
    <n v="20.21905530826804"/>
    <n v="0"/>
    <n v="0"/>
    <n v="0"/>
    <n v="0"/>
    <n v="0"/>
    <n v="0"/>
    <m/>
    <n v="0.20367972662932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621654028837783"/>
    <n v="0"/>
    <n v="0"/>
    <n v="0"/>
    <n v="6.02"/>
    <n v="0"/>
    <m/>
    <m/>
    <m/>
    <m/>
    <m/>
    <m/>
    <m/>
    <n v="33.125399999999999"/>
    <m/>
    <n v="22.481220711151817"/>
    <m/>
    <m/>
    <m/>
    <m/>
    <m/>
    <m/>
    <m/>
    <m/>
    <m/>
    <m/>
    <m/>
    <m/>
    <n v="49.690199999999997"/>
    <n v="-0.39540000000000219"/>
    <m/>
    <m/>
    <m/>
    <m/>
    <n v="-1.4280000000000066"/>
    <n v="0.81760000000000055"/>
    <n v="31"/>
    <n v="1.4818868110735792"/>
    <n v="0"/>
    <n v="0"/>
    <n v="0"/>
    <n v="0"/>
    <n v="0"/>
    <n v="0"/>
    <n v="0"/>
    <n v="0.59742433985345933"/>
    <n v="0"/>
    <n v="0"/>
    <n v="0.81757093576760553"/>
    <n v="0"/>
    <n v="0"/>
    <n v="0"/>
    <n v="9.1472161141983754E-2"/>
    <n v="0"/>
    <n v="0"/>
    <m/>
    <n v="0"/>
    <n v="0"/>
    <n v="0"/>
    <n v="0"/>
    <n v="0"/>
    <n v="-2.45806256894604E-2"/>
    <n v="0"/>
    <n v="0"/>
    <m/>
    <m/>
    <m/>
    <n v="46.467010576243887"/>
    <n v="0"/>
    <n v="0"/>
    <n v="-1.4280000000000044"/>
    <n v="0.81759999999999877"/>
    <n v="0"/>
    <n v="0"/>
    <n v="-2.092745466403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8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37.328000000000003"/>
    <n v="37.328000000000003"/>
    <n v="37.328000000000003"/>
    <n v="37.328000000000003"/>
    <m/>
    <n v="451.48"/>
    <n v="144.41999999999999"/>
    <m/>
    <n v="22243.7552"/>
    <n v="22243.7552"/>
    <n v="22081.005119999998"/>
    <n v="0"/>
    <n v="0"/>
    <n v="0"/>
    <n v="0"/>
    <n v="0"/>
    <n v="3806.0992563795917"/>
    <n v="12389.432648500226"/>
    <n v="5390.9778324787812"/>
    <n v="0"/>
    <n v="0"/>
    <n v="0"/>
    <n v="0"/>
    <n v="0"/>
    <n v="0"/>
    <m/>
    <n v="54.306834540139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3.15792970604048"/>
    <n v="0"/>
    <n v="4.87"/>
    <n v="22.88"/>
    <n v="2993.46"/>
    <n v="262"/>
    <m/>
    <m/>
    <m/>
    <m/>
    <m/>
    <m/>
    <m/>
    <n v="2207.9511999999991"/>
    <m/>
    <n v="5994.1357621848219"/>
    <m/>
    <m/>
    <m/>
    <m/>
    <m/>
    <m/>
    <m/>
    <m/>
    <m/>
    <m/>
    <m/>
    <m/>
    <n v="19874.118699999999"/>
    <n v="-145.66426000000138"/>
    <m/>
    <m/>
    <m/>
    <m/>
    <n v="-380.74560000000173"/>
    <n v="217.99552000000014"/>
    <n v="31"/>
    <n v="395.11336345538984"/>
    <n v="0"/>
    <n v="0"/>
    <n v="0"/>
    <n v="0"/>
    <n v="0"/>
    <n v="0"/>
    <n v="0"/>
    <n v="159.29039827178531"/>
    <n v="0"/>
    <n v="0"/>
    <n v="217.9877706452362"/>
    <n v="0"/>
    <n v="0"/>
    <n v="0"/>
    <n v="24.38909165077132"/>
    <n v="0"/>
    <n v="0"/>
    <m/>
    <n v="0"/>
    <n v="0"/>
    <n v="0"/>
    <n v="0"/>
    <n v="0"/>
    <n v="-6.5538971124012733"/>
    <n v="0"/>
    <n v="0"/>
    <m/>
    <m/>
    <m/>
    <n v="12389.432648500226"/>
    <n v="0"/>
    <n v="0"/>
    <n v="-380.74560000000201"/>
    <n v="217.9955200000004"/>
    <n v="0"/>
    <n v="0"/>
    <n v="-557.98573407085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499"/>
    <s v="Refaturamento - 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.13200000000000001"/>
    <n v="0.13200000000000001"/>
    <n v="0.13200000000000001"/>
    <n v="0.13200000000000001"/>
    <m/>
    <n v="451.48"/>
    <n v="144.41999999999999"/>
    <m/>
    <n v="78.658800000000014"/>
    <n v="78.658800000000014"/>
    <n v="78.083280000000002"/>
    <n v="0"/>
    <n v="0"/>
    <n v="0"/>
    <n v="0"/>
    <n v="0"/>
    <n v="13.459202256807385"/>
    <n v="43.811752829029949"/>
    <n v="19.063680719224152"/>
    <n v="0"/>
    <n v="0"/>
    <n v="0"/>
    <n v="0"/>
    <n v="0"/>
    <n v="0"/>
    <m/>
    <n v="0.19204088510765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28988084332763"/>
    <n v="0"/>
    <n v="0"/>
    <n v="0"/>
    <n v="15.05"/>
    <n v="0"/>
    <m/>
    <m/>
    <m/>
    <m/>
    <m/>
    <m/>
    <m/>
    <n v="7.8077999999999967"/>
    <m/>
    <n v="21.196579527657427"/>
    <m/>
    <m/>
    <m/>
    <m/>
    <m/>
    <m/>
    <m/>
    <m/>
    <m/>
    <m/>
    <m/>
    <m/>
    <n v="69.210700000000003"/>
    <n v="-1.6135400000000004"/>
    <m/>
    <m/>
    <m/>
    <m/>
    <n v="-1.346400000000006"/>
    <n v="0.77088000000000045"/>
    <n v="31"/>
    <n v="1.3972075647265214"/>
    <n v="0"/>
    <n v="0"/>
    <n v="0"/>
    <n v="0"/>
    <n v="0"/>
    <n v="0"/>
    <n v="0"/>
    <n v="0.56328580614754742"/>
    <n v="0"/>
    <n v="0"/>
    <n v="0.7708525965808839"/>
    <n v="0"/>
    <n v="0"/>
    <n v="0"/>
    <n v="8.6245180505299501E-2"/>
    <n v="0"/>
    <n v="0"/>
    <m/>
    <n v="0"/>
    <n v="0"/>
    <n v="0"/>
    <n v="0"/>
    <n v="0"/>
    <n v="-2.317601850720552E-2"/>
    <n v="0"/>
    <n v="0"/>
    <m/>
    <m/>
    <m/>
    <n v="43.811752829029949"/>
    <n v="0"/>
    <n v="0"/>
    <n v="-1.3464000000000098"/>
    <n v="0.77087999999999823"/>
    <n v="0"/>
    <n v="0"/>
    <n v="-1.973160011180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0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8.992000000000001"/>
    <n v="18.992000000000001"/>
    <n v="18.992000000000001"/>
    <n v="18.992000000000001"/>
    <m/>
    <n v="451.48"/>
    <n v="144.41999999999999"/>
    <m/>
    <n v="11317.3328"/>
    <n v="11317.3328"/>
    <n v="11234.527679999999"/>
    <n v="0"/>
    <n v="0"/>
    <n v="0"/>
    <n v="0"/>
    <n v="0"/>
    <n v="1936.4937065248928"/>
    <n v="6303.581891885884"/>
    <n v="2742.85927439019"/>
    <n v="0"/>
    <n v="0"/>
    <n v="0"/>
    <n v="0"/>
    <n v="0"/>
    <n v="0"/>
    <m/>
    <n v="27.630609772458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.87889522549079"/>
    <n v="0"/>
    <n v="1.99"/>
    <n v="9.2200000000000006"/>
    <n v="2047.51"/>
    <n v="189"/>
    <m/>
    <m/>
    <m/>
    <m/>
    <m/>
    <m/>
    <m/>
    <m/>
    <m/>
    <n v="3049.7381696156808"/>
    <m/>
    <m/>
    <m/>
    <m/>
    <m/>
    <m/>
    <m/>
    <m/>
    <m/>
    <m/>
    <m/>
    <m/>
    <n v="11233.3446"/>
    <n v="-84.018200000000434"/>
    <m/>
    <m/>
    <m/>
    <m/>
    <n v="-193.71840000000088"/>
    <n v="110.91328000000007"/>
    <n v="31"/>
    <n v="201.02853082792626"/>
    <n v="0"/>
    <n v="0"/>
    <n v="0"/>
    <n v="0"/>
    <n v="0"/>
    <n v="0"/>
    <n v="0"/>
    <n v="81.044879017835001"/>
    <n v="0"/>
    <n v="0"/>
    <n v="110.90933722927366"/>
    <n v="0"/>
    <n v="0"/>
    <n v="0"/>
    <n v="12.408852031489744"/>
    <n v="0"/>
    <n v="0"/>
    <m/>
    <n v="0"/>
    <n v="0"/>
    <n v="0"/>
    <n v="0"/>
    <n v="0"/>
    <n v="-3.3345374506730856"/>
    <n v="0"/>
    <n v="0"/>
    <m/>
    <m/>
    <m/>
    <n v="6303.581891885884"/>
    <n v="0"/>
    <n v="0"/>
    <n v="-193.71840000000157"/>
    <n v="110.91328000000021"/>
    <n v="0"/>
    <n v="0"/>
    <n v="-283.8958706995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1"/>
    <s v="Refaturamento - 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313"/>
    <n v="0.313"/>
    <n v="0.313"/>
    <n v="0.313"/>
    <m/>
    <n v="451.48"/>
    <n v="144.41999999999999"/>
    <m/>
    <n v="186.51670000000001"/>
    <n v="186.51670000000001"/>
    <n v="185.15201999999999"/>
    <n v="0"/>
    <n v="0"/>
    <n v="0"/>
    <n v="0"/>
    <n v="0"/>
    <n v="31.914623533187207"/>
    <n v="103.88695935974525"/>
    <n v="45.204030796342117"/>
    <n v="0"/>
    <n v="0"/>
    <n v="0"/>
    <n v="0"/>
    <n v="0"/>
    <n v="0"/>
    <m/>
    <n v="0.45536967453557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575555078758754"/>
    <n v="0"/>
    <n v="0"/>
    <n v="0"/>
    <n v="54.84"/>
    <n v="0"/>
    <m/>
    <m/>
    <m/>
    <m/>
    <m/>
    <m/>
    <m/>
    <m/>
    <m/>
    <n v="50.261586304217992"/>
    <m/>
    <m/>
    <m/>
    <m/>
    <m/>
    <m/>
    <m/>
    <m/>
    <m/>
    <m/>
    <m/>
    <m/>
    <n v="183.37739999999999"/>
    <n v="-3.1692999999999927"/>
    <m/>
    <m/>
    <m/>
    <m/>
    <n v="-3.1926000000000143"/>
    <n v="1.8279200000000011"/>
    <n v="31"/>
    <n v="3.3130755133287977"/>
    <n v="0"/>
    <n v="0"/>
    <n v="0"/>
    <n v="0"/>
    <n v="0"/>
    <n v="0"/>
    <n v="0"/>
    <n v="1.3356701312438055"/>
    <n v="0"/>
    <n v="0"/>
    <n v="1.827855020680424"/>
    <n v="0"/>
    <n v="0"/>
    <n v="0"/>
    <n v="0.20450561741029283"/>
    <n v="0"/>
    <n v="0"/>
    <m/>
    <n v="0"/>
    <n v="0"/>
    <n v="0"/>
    <n v="0"/>
    <n v="0"/>
    <n v="-5.4955256005722208E-2"/>
    <n v="0"/>
    <n v="0"/>
    <m/>
    <m/>
    <m/>
    <n v="103.88695935974525"/>
    <n v="0"/>
    <n v="0"/>
    <n v="-3.1926000000000272"/>
    <n v="1.827920000000006"/>
    <n v="0"/>
    <n v="0"/>
    <n v="-4.678780935602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2"/>
    <s v="Regular"/>
    <s v="Convencional"/>
    <s v="B3"/>
    <s v="Industrial"/>
    <s v="Não se aplica"/>
    <s v="Não se aplica"/>
    <s v="Não se aplica"/>
    <s v="Não se aplica"/>
    <s v="CATIVO"/>
    <x v="10"/>
    <n v="0"/>
    <n v="0"/>
    <n v="353.32600000000002"/>
    <n v="353.32600000000002"/>
    <n v="353.32600000000002"/>
    <n v="353.32600000000002"/>
    <m/>
    <n v="522.37"/>
    <n v="144.41999999999999"/>
    <m/>
    <n v="235594.24354"/>
    <n v="235594.24354"/>
    <n v="230276.68724"/>
    <n v="0"/>
    <n v="21694.561046573734"/>
    <n v="0"/>
    <n v="0"/>
    <n v="0"/>
    <n v="36026.409822641865"/>
    <n v="117271.44984901389"/>
    <n v="51027.985256065098"/>
    <n v="0"/>
    <n v="0"/>
    <n v="0"/>
    <n v="0"/>
    <n v="0"/>
    <n v="3350.5041238425961"/>
    <m/>
    <n v="514.03816493595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09.1560938522416"/>
    <n v="0"/>
    <n v="25.91"/>
    <n v="119.1"/>
    <n v="42135.12"/>
    <n v="575"/>
    <m/>
    <m/>
    <m/>
    <m/>
    <m/>
    <m/>
    <m/>
    <m/>
    <m/>
    <n v="56737.141349917336"/>
    <m/>
    <m/>
    <m/>
    <m/>
    <m/>
    <m/>
    <m/>
    <m/>
    <m/>
    <m/>
    <m/>
    <m/>
    <n v="230279.2942"/>
    <n v="-5314.9793400000199"/>
    <m/>
    <m/>
    <m/>
    <m/>
    <n v="-7380.980139999996"/>
    <n v="2063.4238400000013"/>
    <n v="31"/>
    <n v="-33.911789754740312"/>
    <n v="0"/>
    <n v="0"/>
    <n v="0"/>
    <n v="0"/>
    <n v="0"/>
    <n v="0"/>
    <n v="0"/>
    <n v="1507.7539450218828"/>
    <n v="0"/>
    <n v="0"/>
    <n v="2063.3504889358883"/>
    <n v="0"/>
    <n v="0"/>
    <n v="0"/>
    <n v="230.8535200546612"/>
    <n v="0"/>
    <n v="-3332.959604290696"/>
    <m/>
    <n v="0"/>
    <n v="0"/>
    <n v="0"/>
    <n v="0"/>
    <n v="-440.87460981679078"/>
    <n v="-62.0355296596735"/>
    <n v="0"/>
    <n v="0"/>
    <m/>
    <m/>
    <m/>
    <n v="117271.44984901389"/>
    <n v="0"/>
    <n v="0"/>
    <n v="-7380.9801399999997"/>
    <n v="2063.4238399999958"/>
    <n v="0"/>
    <n v="0"/>
    <n v="-5281.5813190183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3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15.151"/>
    <n v="15.151"/>
    <n v="15.151"/>
    <n v="15.151"/>
    <m/>
    <n v="522.37"/>
    <n v="144.41999999999999"/>
    <m/>
    <n v="10102.53529"/>
    <n v="10102.53529"/>
    <n v="9874.5127400000001"/>
    <n v="0"/>
    <n v="930.28617881683942"/>
    <n v="0"/>
    <n v="0"/>
    <n v="0"/>
    <n v="1544.8513135824899"/>
    <n v="5028.7262660047927"/>
    <n v="2188.1350498254933"/>
    <n v="0"/>
    <n v="0"/>
    <n v="0"/>
    <n v="0"/>
    <n v="0"/>
    <n v="143.67323089820496"/>
    <m/>
    <n v="22.042510986863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81477156494373"/>
    <n v="0"/>
    <n v="0"/>
    <n v="0"/>
    <n v="4498.63"/>
    <n v="11"/>
    <m/>
    <m/>
    <m/>
    <m/>
    <m/>
    <m/>
    <m/>
    <m/>
    <m/>
    <n v="2432.9498213904371"/>
    <m/>
    <m/>
    <m/>
    <m/>
    <m/>
    <m/>
    <m/>
    <m/>
    <m/>
    <m/>
    <m/>
    <m/>
    <n v="9873.8610000000008"/>
    <n v="-228.70428999999967"/>
    <m/>
    <m/>
    <m/>
    <m/>
    <n v="-316.50438999999977"/>
    <n v="88.481840000000048"/>
    <n v="31"/>
    <n v="-1.4541741241046111"/>
    <n v="0"/>
    <n v="0"/>
    <n v="0"/>
    <n v="0"/>
    <n v="0"/>
    <n v="0"/>
    <n v="0"/>
    <n v="64.654115522284201"/>
    <n v="0"/>
    <n v="0"/>
    <n v="88.478694627249752"/>
    <n v="0"/>
    <n v="0"/>
    <n v="0"/>
    <n v="9.8992479533014262"/>
    <n v="0"/>
    <n v="-142.92090297517962"/>
    <m/>
    <n v="0"/>
    <n v="0"/>
    <n v="0"/>
    <n v="0"/>
    <n v="-18.905178824468592"/>
    <n v="-2.6601504272929581"/>
    <n v="0"/>
    <n v="0"/>
    <m/>
    <m/>
    <m/>
    <n v="5028.7262660047927"/>
    <n v="0"/>
    <n v="0"/>
    <n v="-316.50438999999915"/>
    <n v="88.48183999999992"/>
    <n v="0"/>
    <n v="0"/>
    <n v="-226.47990401059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4"/>
    <s v="Regular"/>
    <s v="Azul"/>
    <s v="A4"/>
    <s v="Industrial"/>
    <s v="Não se aplica"/>
    <s v="Não se aplica"/>
    <s v="Não se aplica"/>
    <s v="Ponta"/>
    <s v="CATIVO"/>
    <x v="10"/>
    <n v="105"/>
    <n v="105"/>
    <n v="3.5680000000000001"/>
    <n v="3.5680000000000001"/>
    <n v="3.5680000000000001"/>
    <n v="3.5680000000000001"/>
    <n v="111"/>
    <n v="69.64"/>
    <n v="144.41999999999999"/>
    <n v="11655"/>
    <n v="763.76607999999987"/>
    <n v="12418.766079999999"/>
    <n v="12166.113519999999"/>
    <n v="0"/>
    <n v="190.59845190654616"/>
    <n v="0"/>
    <n v="0"/>
    <n v="0"/>
    <n v="3280.7576257730502"/>
    <n v="8373.8629100487578"/>
    <n v="515.29706671357405"/>
    <n v="0"/>
    <n v="0"/>
    <n v="0"/>
    <n v="0"/>
    <n v="0"/>
    <n v="33.834472169810269"/>
    <m/>
    <n v="1.7757408059101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59333346547681"/>
    <n v="0"/>
    <n v="0"/>
    <n v="0"/>
    <n v="0"/>
    <n v="0"/>
    <m/>
    <m/>
    <m/>
    <m/>
    <m/>
    <m/>
    <m/>
    <m/>
    <m/>
    <n v="537.55640006012175"/>
    <m/>
    <m/>
    <m/>
    <m/>
    <m/>
    <m/>
    <m/>
    <m/>
    <m/>
    <m/>
    <m/>
    <m/>
    <n v="12166.534799999999"/>
    <n v="-252.26128000000062"/>
    <m/>
    <m/>
    <m/>
    <m/>
    <n v="-273.48968000000065"/>
    <n v="20.837120000000013"/>
    <n v="31"/>
    <n v="125.09234311352384"/>
    <n v="0"/>
    <n v="0"/>
    <n v="0"/>
    <n v="0"/>
    <n v="0"/>
    <n v="0"/>
    <n v="0"/>
    <n v="137.30414096967797"/>
    <n v="0"/>
    <n v="0"/>
    <n v="20.83637927727716"/>
    <n v="0"/>
    <n v="0"/>
    <n v="0"/>
    <n v="0.90007093389053594"/>
    <n v="0"/>
    <n v="-29.281852694834129"/>
    <m/>
    <n v="0"/>
    <n v="0"/>
    <n v="0"/>
    <n v="0"/>
    <n v="-4.4520941222166215"/>
    <n v="-0.21430125027128222"/>
    <n v="0"/>
    <n v="0"/>
    <m/>
    <m/>
    <n v="8373.8629100487578"/>
    <n v="0"/>
    <n v="0"/>
    <n v="0"/>
    <n v="-273.48968000000059"/>
    <n v="20.837120000000027"/>
    <n v="0"/>
    <n v="0"/>
    <n v="-377.13559413377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5"/>
    <s v="Regular"/>
    <s v="Azul"/>
    <s v="A4"/>
    <s v="Industrial"/>
    <s v="Não se aplica"/>
    <s v="Não se aplica"/>
    <s v="Não se aplica"/>
    <s v="Fora ponta"/>
    <s v="CATIVO"/>
    <x v="10"/>
    <n v="3995"/>
    <n v="3995"/>
    <n v="1469.89"/>
    <n v="1469.89"/>
    <n v="1469.89"/>
    <n v="1469.89"/>
    <n v="34.950000000000003"/>
    <n v="69.64"/>
    <n v="144.41999999999999"/>
    <n v="139625.25"/>
    <n v="314644.65340000001"/>
    <n v="454269.90339999995"/>
    <n v="447365.22959999996"/>
    <n v="0"/>
    <n v="78519.831410569837"/>
    <n v="0"/>
    <n v="0"/>
    <n v="0"/>
    <n v="50615.769148190811"/>
    <n v="89027.807930410243"/>
    <n v="212284.19433621506"/>
    <n v="0"/>
    <n v="0"/>
    <n v="0"/>
    <n v="0"/>
    <n v="0"/>
    <n v="13938.607706749555"/>
    <m/>
    <n v="731.54250369932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70.0592748758318"/>
    <n v="0"/>
    <n v="0"/>
    <n v="0"/>
    <n v="0"/>
    <n v="0"/>
    <m/>
    <m/>
    <m/>
    <m/>
    <m/>
    <m/>
    <m/>
    <m/>
    <m/>
    <n v="221454.25361109088"/>
    <m/>
    <m/>
    <m/>
    <m/>
    <m/>
    <m/>
    <m/>
    <m/>
    <m/>
    <m/>
    <m/>
    <m/>
    <n v="447365.22959999996"/>
    <n v="-6904.7038000000175"/>
    <m/>
    <m/>
    <m/>
    <m/>
    <n v="-15488.831400000021"/>
    <n v="8584.1576000000059"/>
    <n v="31"/>
    <n v="-2912.4911184743396"/>
    <n v="0"/>
    <n v="0"/>
    <n v="0"/>
    <n v="0"/>
    <n v="0"/>
    <n v="0"/>
    <n v="0"/>
    <n v="2118.3383520365242"/>
    <n v="0"/>
    <n v="0"/>
    <n v="8583.8524483960064"/>
    <n v="0"/>
    <n v="0"/>
    <n v="0"/>
    <n v="370.79743974673875"/>
    <n v="0"/>
    <n v="-12063.089253814396"/>
    <m/>
    <n v="0"/>
    <n v="0"/>
    <n v="0"/>
    <n v="0"/>
    <n v="-1834.1055575406335"/>
    <n v="-88.284547298557982"/>
    <n v="0"/>
    <n v="0"/>
    <m/>
    <m/>
    <n v="89027.807930410243"/>
    <n v="0"/>
    <n v="0"/>
    <n v="0"/>
    <n v="-15488.831400000025"/>
    <n v="8584.1576000000059"/>
    <n v="0"/>
    <n v="0"/>
    <n v="-4009.5659075059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6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6348.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07"/>
    <s v="Regular"/>
    <s v="Verde"/>
    <s v="A4"/>
    <s v="Industrial"/>
    <s v="Não se aplica"/>
    <s v="Não se aplica"/>
    <s v="Não se aplica"/>
    <s v="Ponta"/>
    <s v="CATIVO"/>
    <x v="10"/>
    <n v="0"/>
    <n v="0"/>
    <n v="116.777"/>
    <n v="116.777"/>
    <n v="116.777"/>
    <n v="116.777"/>
    <m/>
    <n v="2740.31"/>
    <n v="144.41999999999999"/>
    <m/>
    <n v="336870.11520999996"/>
    <n v="336870.11520999996"/>
    <n v="330060.84833999997"/>
    <n v="0"/>
    <n v="6238.0928862922483"/>
    <n v="0"/>
    <n v="0"/>
    <n v="0"/>
    <n v="87893.705342586487"/>
    <n v="223979.16953426701"/>
    <n v="16865.147298097261"/>
    <n v="0"/>
    <n v="0"/>
    <n v="0"/>
    <n v="0"/>
    <n v="0"/>
    <n v="1107.3677568873131"/>
    <m/>
    <n v="58.118185003297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.52527191978652"/>
    <n v="0"/>
    <n v="0"/>
    <n v="0"/>
    <n v="0"/>
    <n v="0"/>
    <m/>
    <m/>
    <m/>
    <m/>
    <m/>
    <m/>
    <m/>
    <m/>
    <m/>
    <n v="17593.672570017046"/>
    <m/>
    <m/>
    <m/>
    <m/>
    <m/>
    <m/>
    <m/>
    <m/>
    <m/>
    <m/>
    <m/>
    <m/>
    <n v="330069.32759999996"/>
    <n v="-6800.8176100000273"/>
    <m/>
    <m/>
    <m/>
    <m/>
    <n v="-7491.2445500000103"/>
    <n v="681.97768000000042"/>
    <n v="31"/>
    <n v="3278.790681694154"/>
    <n v="0"/>
    <n v="0"/>
    <n v="0"/>
    <n v="0"/>
    <n v="0"/>
    <n v="0"/>
    <n v="0"/>
    <n v="3678.4703673018084"/>
    <n v="0"/>
    <n v="0"/>
    <n v="681.95343690095251"/>
    <n v="0"/>
    <n v="0"/>
    <n v="0"/>
    <n v="29.45840343243708"/>
    <n v="0"/>
    <n v="-958.36516595982175"/>
    <m/>
    <n v="0"/>
    <n v="0"/>
    <n v="0"/>
    <n v="0"/>
    <n v="-145.71249868556333"/>
    <n v="-7.0138612956641069"/>
    <n v="0"/>
    <n v="0"/>
    <m/>
    <m/>
    <m/>
    <n v="223979.16953426701"/>
    <n v="0"/>
    <n v="0"/>
    <n v="-7491.2445500000031"/>
    <n v="681.97767999999996"/>
    <n v="0"/>
    <n v="0"/>
    <n v="-10087.4014876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8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0.27500000000000002"/>
    <n v="0.27500000000000002"/>
    <n v="0.27500000000000002"/>
    <n v="0.27500000000000002"/>
    <m/>
    <n v="2740.31"/>
    <n v="144.41999999999999"/>
    <m/>
    <n v="793.30075000000011"/>
    <n v="793.30075000000011"/>
    <n v="777.26550000000009"/>
    <n v="0"/>
    <n v="14.690183372841984"/>
    <n v="0"/>
    <n v="0"/>
    <n v="0"/>
    <n v="206.98227364302292"/>
    <n v="527.45208064878727"/>
    <n v="39.716001498383648"/>
    <n v="0"/>
    <n v="0"/>
    <n v="0"/>
    <n v="0"/>
    <n v="0"/>
    <n v="2.6077578045677758"/>
    <m/>
    <n v="0.13686343094878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56156587165394"/>
    <n v="0"/>
    <n v="0"/>
    <n v="0"/>
    <n v="0"/>
    <n v="0"/>
    <m/>
    <m/>
    <m/>
    <m/>
    <m/>
    <m/>
    <m/>
    <m/>
    <m/>
    <n v="41.431617157100185"/>
    <m/>
    <m/>
    <m/>
    <m/>
    <m/>
    <m/>
    <m/>
    <m/>
    <m/>
    <m/>
    <m/>
    <m/>
    <n v="791.39760000000001"/>
    <n v="-1.9331500000000688"/>
    <m/>
    <m/>
    <m/>
    <m/>
    <n v="-17.641250000000028"/>
    <n v="1.606000000000001"/>
    <n v="31"/>
    <n v="7.7212759144856591"/>
    <n v="0"/>
    <n v="0"/>
    <n v="0"/>
    <n v="0"/>
    <n v="0"/>
    <n v="0"/>
    <n v="0"/>
    <n v="8.6624879129280146"/>
    <n v="0"/>
    <n v="0"/>
    <n v="1.6059429095435078"/>
    <n v="0"/>
    <n v="0"/>
    <n v="0"/>
    <n v="6.9372059086294291E-2"/>
    <n v="0"/>
    <n v="-2.2568692519841331"/>
    <m/>
    <n v="0"/>
    <n v="0"/>
    <n v="0"/>
    <n v="0"/>
    <n v="-0.34314066244662822"/>
    <n v="-1.6517052641424487E-2"/>
    <n v="0"/>
    <n v="0"/>
    <m/>
    <m/>
    <m/>
    <n v="527.45208064878727"/>
    <n v="0"/>
    <n v="0"/>
    <n v="-17.641250000000014"/>
    <n v="1.6060000000000016"/>
    <n v="0"/>
    <n v="0"/>
    <n v="-23.754980938829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09"/>
    <s v="Regular"/>
    <s v="Verde"/>
    <s v="A4"/>
    <s v="Industrial"/>
    <s v="Não se aplica"/>
    <s v="Não se aplica"/>
    <s v="Não se aplica"/>
    <s v="Fora ponta"/>
    <s v="CATIVO"/>
    <x v="10"/>
    <n v="0"/>
    <n v="0"/>
    <n v="5803.6809999999996"/>
    <n v="5803.6809999999996"/>
    <n v="5803.6809999999996"/>
    <n v="5803.6809999999996"/>
    <m/>
    <n v="69.64"/>
    <n v="144.41999999999999"/>
    <m/>
    <n v="1242335.9548599999"/>
    <n v="1242335.9548599999"/>
    <n v="1222487.3658399999"/>
    <n v="0"/>
    <n v="310025.95682719612"/>
    <n v="0"/>
    <n v="0"/>
    <n v="0"/>
    <n v="0"/>
    <n v="0"/>
    <n v="838178.19378960249"/>
    <n v="0"/>
    <n v="0"/>
    <n v="0"/>
    <n v="0"/>
    <n v="0"/>
    <n v="55034.888810806224"/>
    <m/>
    <n v="2888.4061592447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06.858188347862"/>
    <n v="0"/>
    <n v="0"/>
    <n v="0"/>
    <n v="0"/>
    <n v="0"/>
    <m/>
    <m/>
    <m/>
    <m/>
    <m/>
    <m/>
    <m/>
    <m/>
    <m/>
    <n v="874385.05197795038"/>
    <m/>
    <m/>
    <m/>
    <m/>
    <m/>
    <m/>
    <m/>
    <m/>
    <m/>
    <m/>
    <m/>
    <m/>
    <n v="1222487.1552000002"/>
    <n v="-19848.829659999814"/>
    <m/>
    <m/>
    <m/>
    <m/>
    <n v="-53742.086059999987"/>
    <n v="33893.497040000017"/>
    <n v="31"/>
    <n v="-19863.615244843764"/>
    <n v="0"/>
    <n v="0"/>
    <n v="0"/>
    <n v="0"/>
    <n v="0"/>
    <n v="0"/>
    <n v="0"/>
    <n v="0"/>
    <n v="0"/>
    <n v="0"/>
    <n v="33892.292186190374"/>
    <n v="0"/>
    <n v="0"/>
    <n v="0"/>
    <n v="1464.0483681818296"/>
    <n v="0"/>
    <n v="-47629.633444452833"/>
    <m/>
    <n v="0"/>
    <n v="0"/>
    <n v="0"/>
    <n v="0"/>
    <n v="-7241.741610796038"/>
    <n v="-348.58074396740039"/>
    <n v="0"/>
    <n v="0"/>
    <m/>
    <m/>
    <m/>
    <n v="0"/>
    <n v="0"/>
    <n v="0"/>
    <n v="-53742.086060000001"/>
    <n v="33893.49703999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0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6.0250000000000004"/>
    <n v="6.0250000000000004"/>
    <n v="6.0250000000000004"/>
    <n v="6.0250000000000004"/>
    <m/>
    <n v="69.64"/>
    <n v="144.41999999999999"/>
    <m/>
    <n v="1289.7114999999999"/>
    <n v="1289.7114999999999"/>
    <n v="1269.106"/>
    <n v="0"/>
    <n v="321.84856298681075"/>
    <n v="0"/>
    <n v="0"/>
    <n v="0"/>
    <n v="0"/>
    <n v="0"/>
    <n v="870.14148737367816"/>
    <n v="0"/>
    <n v="0"/>
    <n v="0"/>
    <n v="0"/>
    <n v="0"/>
    <n v="57.133602809166725"/>
    <m/>
    <n v="2.9985533507871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587579431880542"/>
    <n v="0"/>
    <n v="0"/>
    <n v="0"/>
    <n v="0"/>
    <n v="0"/>
    <m/>
    <m/>
    <m/>
    <m/>
    <m/>
    <m/>
    <m/>
    <m/>
    <m/>
    <n v="907.72906680555866"/>
    <m/>
    <m/>
    <m/>
    <m/>
    <m/>
    <m/>
    <m/>
    <m/>
    <m/>
    <m/>
    <m/>
    <m/>
    <n v="1270.1592000000001"/>
    <n v="-19.582299999999805"/>
    <m/>
    <m/>
    <m/>
    <m/>
    <n v="-55.791499999999992"/>
    <n v="35.186000000000021"/>
    <n v="31"/>
    <n v="-20.621099238601573"/>
    <n v="0"/>
    <n v="0"/>
    <n v="0"/>
    <n v="0"/>
    <n v="0"/>
    <n v="0"/>
    <n v="0"/>
    <n v="0"/>
    <n v="0"/>
    <n v="0"/>
    <n v="35.184749199998578"/>
    <n v="0"/>
    <n v="0"/>
    <n v="0"/>
    <n v="1.519878749072447"/>
    <n v="0"/>
    <n v="-49.445953611652385"/>
    <m/>
    <n v="0"/>
    <n v="0"/>
    <n v="0"/>
    <n v="0"/>
    <n v="-7.5178999681488605"/>
    <n v="-0.36187360787120948"/>
    <n v="0"/>
    <n v="0"/>
    <m/>
    <m/>
    <m/>
    <n v="0"/>
    <n v="0"/>
    <n v="0"/>
    <n v="-55.791499999999985"/>
    <n v="35.18600000000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1"/>
    <s v="Regular"/>
    <s v="Verde"/>
    <s v="A4"/>
    <s v="Industrial"/>
    <s v="Não se aplica"/>
    <s v="Não se aplica"/>
    <s v="Não se aplica"/>
    <s v="Não se aplica"/>
    <s v="CATIVO"/>
    <x v="10"/>
    <n v="21750"/>
    <n v="21750"/>
    <n v="0"/>
    <n v="0"/>
    <n v="0"/>
    <n v="0"/>
    <n v="34.950000000000003"/>
    <m/>
    <m/>
    <n v="760162.50000000012"/>
    <m/>
    <n v="760162.50000000012"/>
    <n v="749939.99999999988"/>
    <n v="0"/>
    <n v="0"/>
    <n v="0"/>
    <n v="0"/>
    <n v="0"/>
    <n v="275567.70437375474"/>
    <n v="484694.573838904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.73"/>
    <n v="317.22000000000003"/>
    <n v="441709.32"/>
    <n v="71"/>
    <m/>
    <m/>
    <m/>
    <m/>
    <m/>
    <m/>
    <m/>
    <m/>
    <m/>
    <n v="0"/>
    <m/>
    <m/>
    <m/>
    <m/>
    <m/>
    <m/>
    <m/>
    <m/>
    <m/>
    <m/>
    <m/>
    <m/>
    <n v="749939.99999999988"/>
    <n v="-10222.530000000261"/>
    <m/>
    <m/>
    <m/>
    <m/>
    <n v="-10222.500000000129"/>
    <n v="0"/>
    <n v="31"/>
    <n v="11532.880890311499"/>
    <n v="0"/>
    <n v="0"/>
    <n v="0"/>
    <n v="0"/>
    <m/>
    <m/>
    <m/>
    <n v="11532.8808903114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4694.57383890427"/>
    <m/>
    <n v="0"/>
    <n v="0"/>
    <n v="-10222.500000000233"/>
    <m/>
    <n v="0"/>
    <m/>
    <n v="-21829.30124862410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12"/>
    <s v="Sistema de Compensação"/>
    <s v="Verde"/>
    <s v="A4"/>
    <s v="Industrial"/>
    <s v="Não se aplica"/>
    <s v="Não se aplica"/>
    <s v="Não se aplica"/>
    <s v="Não se aplica"/>
    <s v="CATIVO"/>
    <x v="10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5.55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1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13"/>
    <s v="Regular"/>
    <s v="Convencional"/>
    <s v="B3"/>
    <s v="Comercial"/>
    <s v="Não se aplica"/>
    <s v="Não se aplica"/>
    <s v="Não se aplica"/>
    <s v="Não se aplica"/>
    <s v="CATIVO"/>
    <x v="10"/>
    <n v="0"/>
    <n v="0"/>
    <n v="632.80499999999995"/>
    <n v="632.80499999999995"/>
    <n v="632.80499999999995"/>
    <n v="632.80499999999995"/>
    <m/>
    <n v="522.37"/>
    <n v="144.41999999999999"/>
    <m/>
    <n v="421948.04594999994"/>
    <n v="421948.04594999994"/>
    <n v="412424.33069999999"/>
    <n v="0"/>
    <n v="38854.844260193393"/>
    <n v="0"/>
    <n v="0"/>
    <n v="0"/>
    <n v="64523.109728174211"/>
    <n v="210032.54734071434"/>
    <n v="91390.852102489676"/>
    <n v="0"/>
    <n v="0"/>
    <n v="0"/>
    <n v="0"/>
    <n v="0"/>
    <n v="6000.73519098004"/>
    <m/>
    <n v="920.63963864051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25.068412656206"/>
    <n v="0"/>
    <n v="188.13"/>
    <n v="868.12"/>
    <n v="75335.210000000006"/>
    <n v="1216"/>
    <m/>
    <m/>
    <m/>
    <m/>
    <m/>
    <m/>
    <m/>
    <m/>
    <m/>
    <n v="101615.92051514589"/>
    <m/>
    <m/>
    <m/>
    <m/>
    <m/>
    <m/>
    <m/>
    <m/>
    <m/>
    <m/>
    <m/>
    <m/>
    <n v="412427.5894"/>
    <n v="-9520.4865499999723"/>
    <m/>
    <m/>
    <m/>
    <m/>
    <n v="-13219.296449999991"/>
    <n v="3695.5812000000019"/>
    <n v="31"/>
    <n v="-60.735836354375351"/>
    <n v="0"/>
    <n v="0"/>
    <n v="0"/>
    <n v="0"/>
    <n v="0"/>
    <n v="0"/>
    <n v="0"/>
    <n v="2700.379352721211"/>
    <n v="0"/>
    <n v="0"/>
    <n v="3695.4498286315647"/>
    <n v="0"/>
    <n v="0"/>
    <n v="0"/>
    <n v="413.45743522466728"/>
    <n v="0"/>
    <n v="-5969.3130491194388"/>
    <m/>
    <n v="0"/>
    <n v="0"/>
    <n v="0"/>
    <n v="0"/>
    <n v="-789.60409781650378"/>
    <n v="-111.1053059958499"/>
    <n v="0"/>
    <n v="0"/>
    <m/>
    <m/>
    <m/>
    <n v="210032.54734071434"/>
    <n v="0"/>
    <n v="0"/>
    <n v="-13219.296449999965"/>
    <n v="3695.5812000000005"/>
    <n v="0"/>
    <n v="0"/>
    <n v="-9459.2842490545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4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42.026000000000003"/>
    <n v="42.026000000000003"/>
    <n v="42.026000000000003"/>
    <n v="42.026000000000003"/>
    <m/>
    <n v="522.37"/>
    <n v="144.41999999999999"/>
    <m/>
    <n v="28022.516540000001"/>
    <n v="28022.516540000001"/>
    <n v="27390.025240000003"/>
    <n v="0"/>
    <n v="2580.4373936345123"/>
    <n v="0"/>
    <n v="0"/>
    <n v="0"/>
    <n v="4285.1245003377817"/>
    <n v="13948.732760551611"/>
    <n v="6069.4715598948051"/>
    <n v="0"/>
    <n v="0"/>
    <n v="0"/>
    <n v="0"/>
    <n v="0"/>
    <n v="398.52228907187396"/>
    <m/>
    <n v="61.141744223744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9.06973729709762"/>
    <n v="0"/>
    <n v="0.39"/>
    <n v="1.81"/>
    <n v="8913.24"/>
    <n v="51"/>
    <m/>
    <m/>
    <m/>
    <m/>
    <m/>
    <m/>
    <m/>
    <m/>
    <m/>
    <n v="6748.5412971919031"/>
    <m/>
    <m/>
    <m/>
    <m/>
    <m/>
    <m/>
    <m/>
    <m/>
    <m/>
    <m/>
    <m/>
    <m/>
    <n v="27392.6322"/>
    <n v="-629.91433999999572"/>
    <m/>
    <m/>
    <m/>
    <m/>
    <n v="-877.92313999999953"/>
    <n v="245.43184000000016"/>
    <n v="31"/>
    <n v="-4.0336031773240393"/>
    <n v="0"/>
    <n v="0"/>
    <n v="0"/>
    <n v="0"/>
    <n v="0"/>
    <n v="0"/>
    <n v="0"/>
    <n v="179.33825219058235"/>
    <n v="0"/>
    <n v="0"/>
    <n v="245.42311533263728"/>
    <n v="0"/>
    <n v="0"/>
    <n v="0"/>
    <n v="27.458636029664376"/>
    <n v="0"/>
    <n v="-396.43547412282351"/>
    <m/>
    <n v="0"/>
    <n v="0"/>
    <n v="0"/>
    <n v="0"/>
    <n v="-52.439379927207256"/>
    <n v="-7.3787526801804475"/>
    <n v="0"/>
    <n v="0"/>
    <m/>
    <m/>
    <m/>
    <n v="13948.732760551611"/>
    <n v="0"/>
    <n v="0"/>
    <n v="-877.92313999999897"/>
    <n v="245.43184000000019"/>
    <n v="0"/>
    <n v="0"/>
    <n v="-628.2122926506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5"/>
    <s v="Regular"/>
    <s v="Verde"/>
    <s v="A4"/>
    <s v="Comercial"/>
    <s v="Não se aplica"/>
    <s v="Não se aplica"/>
    <s v="Não se aplica"/>
    <s v="Ponta"/>
    <s v="CATIVO"/>
    <x v="10"/>
    <n v="0"/>
    <n v="0"/>
    <n v="6.944"/>
    <n v="6.944"/>
    <n v="6.944"/>
    <n v="6.944"/>
    <m/>
    <n v="2740.31"/>
    <n v="144.41999999999999"/>
    <m/>
    <n v="20031.565119999999"/>
    <n v="20031.565119999999"/>
    <n v="19626.660479999999"/>
    <n v="0"/>
    <n v="370.9404848764172"/>
    <n v="0"/>
    <n v="0"/>
    <n v="0"/>
    <n v="5226.4905751896404"/>
    <n v="13318.644538273378"/>
    <n v="1002.8651432900947"/>
    <n v="0"/>
    <n v="0"/>
    <n v="0"/>
    <n v="0"/>
    <n v="0"/>
    <n v="65.84825525424958"/>
    <m/>
    <n v="3.455926052757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320855033191449"/>
    <n v="0"/>
    <n v="0"/>
    <n v="0"/>
    <n v="0"/>
    <n v="0"/>
    <m/>
    <m/>
    <m/>
    <m/>
    <m/>
    <m/>
    <m/>
    <m/>
    <m/>
    <n v="1046.1859983232862"/>
    <m/>
    <m/>
    <m/>
    <m/>
    <m/>
    <m/>
    <m/>
    <m/>
    <m/>
    <m/>
    <m/>
    <m/>
    <n v="19615.354800000001"/>
    <n v="-416.24031999999352"/>
    <m/>
    <m/>
    <m/>
    <m/>
    <n v="-445.45760000000064"/>
    <n v="40.55296000000002"/>
    <n v="31"/>
    <n v="194.96923618250185"/>
    <n v="0"/>
    <n v="0"/>
    <n v="0"/>
    <n v="0"/>
    <n v="0"/>
    <n v="0"/>
    <n v="0"/>
    <n v="218.73569479044363"/>
    <n v="0"/>
    <n v="0"/>
    <n v="40.551518414073144"/>
    <n v="0"/>
    <n v="0"/>
    <n v="0"/>
    <n v="1.751707557437193"/>
    <n v="0"/>
    <n v="-56.988000311919336"/>
    <m/>
    <n v="0"/>
    <n v="0"/>
    <n v="0"/>
    <n v="0"/>
    <n v="-8.6646136728341361"/>
    <n v="-0.41707059469836993"/>
    <n v="0"/>
    <n v="0"/>
    <m/>
    <m/>
    <m/>
    <n v="13318.644538273378"/>
    <n v="0"/>
    <n v="0"/>
    <n v="-445.45759999999791"/>
    <n v="40.552960000000098"/>
    <n v="0"/>
    <n v="0"/>
    <n v="-599.8348641426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6"/>
    <s v="Regular"/>
    <s v="Verde"/>
    <s v="A4"/>
    <s v="Comercial"/>
    <s v="Não se aplica"/>
    <s v="Não se aplica"/>
    <s v="Não se aplica"/>
    <s v="Fora ponta"/>
    <s v="CATIVO"/>
    <x v="10"/>
    <n v="0"/>
    <n v="0"/>
    <n v="401.84199999999998"/>
    <n v="401.84199999999998"/>
    <n v="401.84199999999998"/>
    <n v="401.84199999999998"/>
    <m/>
    <n v="69.64"/>
    <n v="144.41999999999999"/>
    <m/>
    <n v="86018.298519999982"/>
    <n v="86018.298519999982"/>
    <n v="84643.998879999999"/>
    <n v="0"/>
    <n v="21465.936970580246"/>
    <n v="0"/>
    <n v="0"/>
    <n v="0"/>
    <n v="0"/>
    <n v="0"/>
    <n v="58034.754451321751"/>
    <n v="0"/>
    <n v="0"/>
    <n v="0"/>
    <n v="0"/>
    <n v="0"/>
    <n v="3810.569497102269"/>
    <m/>
    <n v="199.99081752481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6.932463745351"/>
    <n v="0"/>
    <n v="0"/>
    <n v="0"/>
    <n v="0"/>
    <n v="0"/>
    <m/>
    <m/>
    <m/>
    <m/>
    <m/>
    <m/>
    <m/>
    <m/>
    <m/>
    <n v="60541.686915067105"/>
    <m/>
    <m/>
    <m/>
    <m/>
    <m/>
    <m/>
    <m/>
    <m/>
    <m/>
    <m/>
    <m/>
    <m/>
    <n v="84643.57759999999"/>
    <n v="-1374.7509199999913"/>
    <m/>
    <m/>
    <m/>
    <m/>
    <n v="-3721.0569199999991"/>
    <n v="2346.7572800000012"/>
    <n v="31"/>
    <n v="-1375.3400431930495"/>
    <n v="0"/>
    <n v="0"/>
    <n v="0"/>
    <n v="0"/>
    <n v="0"/>
    <n v="0"/>
    <n v="0"/>
    <n v="0"/>
    <n v="0"/>
    <n v="0"/>
    <n v="2346.6738569337467"/>
    <n v="0"/>
    <n v="0"/>
    <n v="0"/>
    <n v="101.36947988128986"/>
    <n v="0"/>
    <n v="-3297.8358325665722"/>
    <m/>
    <n v="0"/>
    <n v="0"/>
    <n v="0"/>
    <n v="0"/>
    <n v="-501.41210937773803"/>
    <n v="-24.135438063764724"/>
    <n v="0"/>
    <n v="0"/>
    <m/>
    <m/>
    <m/>
    <n v="0"/>
    <n v="0"/>
    <n v="0"/>
    <n v="-3721.0569199999991"/>
    <n v="2346.757280000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7"/>
    <s v="Regular"/>
    <s v="Verde"/>
    <s v="A4"/>
    <s v="Comercial"/>
    <s v="Não se aplica"/>
    <s v="Não se aplica"/>
    <s v="Não se aplica"/>
    <s v="Não se aplica"/>
    <s v="CATIVO"/>
    <x v="10"/>
    <n v="1909"/>
    <n v="1909"/>
    <n v="0"/>
    <n v="0"/>
    <n v="0"/>
    <n v="0"/>
    <n v="34.950000000000003"/>
    <m/>
    <m/>
    <n v="66719.55"/>
    <m/>
    <n v="66719.55"/>
    <n v="65822.319999999992"/>
    <n v="0"/>
    <n v="0"/>
    <n v="0"/>
    <n v="0"/>
    <n v="0"/>
    <n v="24186.609087333232"/>
    <n v="42541.698457860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830.6"/>
    <n v="14"/>
    <m/>
    <m/>
    <m/>
    <m/>
    <m/>
    <m/>
    <m/>
    <m/>
    <m/>
    <n v="0"/>
    <m/>
    <m/>
    <m/>
    <m/>
    <m/>
    <m/>
    <m/>
    <m/>
    <m/>
    <m/>
    <m/>
    <m/>
    <n v="65822.319999999992"/>
    <n v="-897.25999999999476"/>
    <m/>
    <m/>
    <m/>
    <m/>
    <n v="-897.23000000001139"/>
    <n v="0"/>
    <n v="31"/>
    <n v="1012.2422813611302"/>
    <n v="0"/>
    <n v="0"/>
    <n v="0"/>
    <n v="0"/>
    <m/>
    <m/>
    <m/>
    <n v="1012.24228136113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541.698457860613"/>
    <m/>
    <n v="0"/>
    <n v="0"/>
    <n v="-897.23000000001048"/>
    <m/>
    <n v="0"/>
    <m/>
    <n v="-1915.960279706829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18"/>
    <s v="Regular"/>
    <s v="Branca"/>
    <s v="B3"/>
    <s v="Comercial"/>
    <s v="Não se aplica"/>
    <s v="Não se aplica"/>
    <s v="Não se aplica"/>
    <s v="Ponta"/>
    <s v="CATIVO"/>
    <x v="10"/>
    <n v="0"/>
    <n v="0"/>
    <n v="7.6999999999999999E-2"/>
    <n v="7.6999999999999999E-2"/>
    <n v="7.6999999999999999E-2"/>
    <n v="7.6999999999999999E-2"/>
    <m/>
    <n v="1585.55"/>
    <n v="144.41999999999999"/>
    <m/>
    <n v="133.20769000000001"/>
    <n v="133.20769000000001"/>
    <n v="130.03529"/>
    <n v="0"/>
    <n v="4.727875108500867"/>
    <n v="0"/>
    <n v="0"/>
    <n v="0"/>
    <n v="27.102168534906539"/>
    <n v="88.171091871878403"/>
    <n v="11.120480419547421"/>
    <n v="0"/>
    <n v="0"/>
    <n v="0"/>
    <n v="0"/>
    <n v="0"/>
    <n v="0.7301721852789772"/>
    <m/>
    <n v="0.11202384964613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41909715860779"/>
    <n v="0"/>
    <n v="0"/>
    <n v="0"/>
    <n v="0"/>
    <n v="0"/>
    <m/>
    <m/>
    <m/>
    <m/>
    <m/>
    <m/>
    <m/>
    <m/>
    <m/>
    <n v="12.364671391133498"/>
    <m/>
    <m/>
    <m/>
    <m/>
    <m/>
    <m/>
    <m/>
    <m/>
    <m/>
    <m/>
    <m/>
    <m/>
    <n v="135.10159999999999"/>
    <n v="1.8639100000000042"/>
    <m/>
    <m/>
    <m/>
    <m/>
    <n v="-3.6220799999999973"/>
    <n v="0.44968000000000025"/>
    <n v="31"/>
    <n v="0.79828863387430005"/>
    <n v="0"/>
    <n v="0"/>
    <n v="0"/>
    <n v="0"/>
    <n v="0"/>
    <n v="0"/>
    <n v="0"/>
    <n v="1.1342623849647921"/>
    <n v="0"/>
    <n v="0"/>
    <n v="0.44966401467218198"/>
    <n v="0"/>
    <n v="0"/>
    <n v="0"/>
    <n v="5.0309688628091154E-2"/>
    <n v="0"/>
    <n v="-0.72634872477650525"/>
    <m/>
    <n v="0"/>
    <n v="0"/>
    <n v="0"/>
    <n v="0"/>
    <n v="-9.6079385485056013E-2"/>
    <n v="-1.351934412920322E-2"/>
    <n v="0"/>
    <n v="0"/>
    <m/>
    <m/>
    <m/>
    <n v="88.171091871878403"/>
    <n v="0"/>
    <n v="0"/>
    <n v="-3.6220799999999969"/>
    <n v="0.44968000000000075"/>
    <n v="0"/>
    <n v="0"/>
    <n v="-3.9709817888971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19"/>
    <s v="Regular"/>
    <s v="Branca"/>
    <s v="B3"/>
    <s v="Comercial"/>
    <s v="Não se aplica"/>
    <s v="Não se aplica"/>
    <s v="Não se aplica"/>
    <s v="Fora ponta"/>
    <s v="CATIVO"/>
    <x v="10"/>
    <n v="0"/>
    <n v="0"/>
    <n v="3.302"/>
    <n v="3.302"/>
    <n v="3.302"/>
    <n v="3.302"/>
    <m/>
    <n v="387.88"/>
    <n v="144.41999999999999"/>
    <m/>
    <n v="1757.6545999999998"/>
    <n v="1757.6545999999998"/>
    <n v="1718.9221399999999"/>
    <n v="0"/>
    <n v="202.74602088662161"/>
    <n v="0"/>
    <n v="0"/>
    <n v="0"/>
    <n v="232.34521228769128"/>
    <n v="756.2103811706063"/>
    <n v="476.88086162786476"/>
    <n v="0"/>
    <n v="0"/>
    <n v="0"/>
    <n v="0"/>
    <n v="0"/>
    <n v="31.312059166119255"/>
    <m/>
    <n v="4.803931838071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354786859444538"/>
    <n v="0"/>
    <n v="0"/>
    <n v="0"/>
    <n v="0"/>
    <n v="0"/>
    <m/>
    <m/>
    <m/>
    <m/>
    <m/>
    <m/>
    <m/>
    <m/>
    <m/>
    <n v="530.23564848730928"/>
    <m/>
    <m/>
    <m/>
    <m/>
    <m/>
    <m/>
    <m/>
    <m/>
    <m/>
    <m/>
    <m/>
    <m/>
    <n v="1717.8809999999999"/>
    <n v="-39.80359999999996"/>
    <m/>
    <m/>
    <m/>
    <m/>
    <n v="-58.016139999999979"/>
    <n v="19.283680000000011"/>
    <n v="31"/>
    <n v="-4.6836404614608682"/>
    <n v="0"/>
    <n v="0"/>
    <n v="0"/>
    <n v="0"/>
    <n v="0"/>
    <n v="0"/>
    <n v="0"/>
    <n v="9.7239611762120433"/>
    <n v="0"/>
    <n v="0"/>
    <n v="19.282994499318761"/>
    <n v="0"/>
    <n v="0"/>
    <n v="0"/>
    <n v="2.1574362577916517"/>
    <n v="0"/>
    <n v="-31.148097262493792"/>
    <m/>
    <n v="0"/>
    <n v="0"/>
    <n v="0"/>
    <n v="0"/>
    <n v="-4.1201835178136967"/>
    <n v="-0.57975161447570223"/>
    <n v="0"/>
    <n v="0"/>
    <m/>
    <m/>
    <m/>
    <n v="756.2103811706063"/>
    <n v="0"/>
    <n v="0"/>
    <n v="-58.01613999999995"/>
    <n v="19.283680000000004"/>
    <n v="0"/>
    <n v="0"/>
    <n v="-34.05762125036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0"/>
    <s v="Regular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4.1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21"/>
    <s v="Regular"/>
    <s v="Branca"/>
    <s v="B3"/>
    <s v="Comercial"/>
    <s v="Não se aplica"/>
    <s v="Não se aplica"/>
    <s v="Não se aplica"/>
    <s v="Intermediário"/>
    <s v="CATIVO"/>
    <x v="10"/>
    <n v="0"/>
    <n v="0"/>
    <n v="8.7999999999999995E-2"/>
    <n v="8.7999999999999995E-2"/>
    <n v="8.7999999999999995E-2"/>
    <n v="8.7999999999999995E-2"/>
    <m/>
    <n v="986.74"/>
    <n v="144.41999999999999"/>
    <m/>
    <n v="99.542079999999999"/>
    <n v="99.542079999999999"/>
    <n v="97.21271999999999"/>
    <n v="0"/>
    <n v="5.4032858382867053"/>
    <n v="0"/>
    <n v="0"/>
    <n v="0"/>
    <n v="18.585231422038071"/>
    <n v="60.460187955493737"/>
    <n v="12.709120479482767"/>
    <n v="0"/>
    <n v="0"/>
    <n v="0"/>
    <n v="0"/>
    <n v="0"/>
    <n v="0.83448249746168812"/>
    <m/>
    <n v="0.1280272567384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219325389555175"/>
    <n v="0"/>
    <n v="0"/>
    <n v="0"/>
    <n v="0"/>
    <n v="0"/>
    <m/>
    <m/>
    <m/>
    <m/>
    <m/>
    <m/>
    <m/>
    <m/>
    <m/>
    <n v="14.131053018438283"/>
    <m/>
    <m/>
    <m/>
    <m/>
    <m/>
    <m/>
    <m/>
    <m/>
    <m/>
    <m/>
    <m/>
    <m/>
    <n v="99.422099999999986"/>
    <n v="-0.14998000000002776"/>
    <m/>
    <m/>
    <m/>
    <m/>
    <n v="-2.8432800000000049"/>
    <n v="0.51392000000000027"/>
    <n v="31"/>
    <n v="0.39384705389939967"/>
    <n v="0"/>
    <n v="0"/>
    <n v="0"/>
    <n v="0"/>
    <n v="0"/>
    <n v="0"/>
    <n v="0"/>
    <n v="0.77781705514568245"/>
    <n v="0"/>
    <n v="0"/>
    <n v="0.51390173105392201"/>
    <n v="0"/>
    <n v="0"/>
    <n v="0"/>
    <n v="5.7496787003532779E-2"/>
    <n v="0"/>
    <n v="-0.83011282831600663"/>
    <m/>
    <n v="0"/>
    <n v="0"/>
    <n v="0"/>
    <n v="0"/>
    <n v="-0.10980501198292103"/>
    <n v="-1.5450679004803666E-2"/>
    <n v="0"/>
    <n v="0"/>
    <m/>
    <m/>
    <m/>
    <n v="60.460187955493737"/>
    <n v="0"/>
    <n v="0"/>
    <n v="-2.8432800000000071"/>
    <n v="0.5139200000000006"/>
    <n v="0"/>
    <n v="0"/>
    <n v="-2.7229594215917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2"/>
    <s v="Regular"/>
    <s v="Convencional"/>
    <s v="B2"/>
    <s v="Rural"/>
    <s v="Não se aplica"/>
    <s v="Não se aplica"/>
    <s v="Não se aplica"/>
    <s v="Não se aplica"/>
    <s v="CATIVO"/>
    <x v="10"/>
    <n v="0"/>
    <n v="0"/>
    <n v="214.50700000000001"/>
    <n v="214.50700000000001"/>
    <n v="214.50700000000001"/>
    <n v="214.50700000000001"/>
    <m/>
    <n v="522.37"/>
    <n v="144.41999999999999"/>
    <m/>
    <n v="143031.12252999999"/>
    <n v="143031.12252999999"/>
    <n v="139802.79217999999"/>
    <n v="0"/>
    <n v="13170.93903765189"/>
    <n v="0"/>
    <n v="0"/>
    <n v="0"/>
    <n v="21871.917412886225"/>
    <n v="71196.421697702477"/>
    <n v="30979.49212150466"/>
    <n v="0"/>
    <n v="0"/>
    <n v="0"/>
    <n v="0"/>
    <n v="0"/>
    <n v="2034.1174668524359"/>
    <m/>
    <n v="312.07662228626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6.0736719742185"/>
    <n v="0"/>
    <n v="3.45"/>
    <n v="15.89"/>
    <n v="18547.03"/>
    <n v="750"/>
    <m/>
    <m/>
    <m/>
    <m/>
    <m/>
    <n v="16774.447400000005"/>
    <m/>
    <m/>
    <m/>
    <n v="34445.565793478876"/>
    <m/>
    <m/>
    <m/>
    <m/>
    <m/>
    <m/>
    <m/>
    <m/>
    <m/>
    <m/>
    <m/>
    <m/>
    <n v="123030.06539999999"/>
    <n v="-2836.2369899999903"/>
    <m/>
    <m/>
    <m/>
    <m/>
    <n v="-4481.0512299999973"/>
    <n v="1252.7208800000008"/>
    <n v="31"/>
    <n v="-20.588114899335778"/>
    <n v="0"/>
    <n v="0"/>
    <n v="0"/>
    <n v="0"/>
    <n v="0"/>
    <n v="0"/>
    <n v="0"/>
    <n v="915.36930620675776"/>
    <n v="0"/>
    <n v="0"/>
    <n v="1252.676347990724"/>
    <n v="0"/>
    <n v="0"/>
    <n v="0"/>
    <n v="140.15299192916837"/>
    <n v="0"/>
    <n v="-2023.4660507225162"/>
    <m/>
    <n v="0"/>
    <n v="0"/>
    <n v="0"/>
    <n v="0"/>
    <n v="-267.65845119795972"/>
    <n v="-37.662259105493433"/>
    <n v="0"/>
    <n v="0"/>
    <m/>
    <m/>
    <m/>
    <n v="71196.421697702477"/>
    <n v="0"/>
    <n v="0"/>
    <n v="-4481.0512299999973"/>
    <n v="1252.7208800000008"/>
    <n v="0"/>
    <n v="0"/>
    <n v="-3206.489655441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3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5.5209999999999999"/>
    <n v="5.5209999999999999"/>
    <n v="5.5209999999999999"/>
    <n v="5.5209999999999999"/>
    <m/>
    <n v="522.37"/>
    <n v="144.41999999999999"/>
    <m/>
    <n v="3681.3475899999999"/>
    <n v="3681.3475899999999"/>
    <n v="3598.2565399999999"/>
    <n v="0"/>
    <n v="338.99478537705568"/>
    <n v="0"/>
    <n v="0"/>
    <n v="0"/>
    <n v="562.94133075631487"/>
    <n v="1832.4597527960175"/>
    <n v="797.35288826391309"/>
    <n v="0"/>
    <n v="0"/>
    <n v="0"/>
    <n v="0"/>
    <n v="0"/>
    <n v="52.354293960067956"/>
    <m/>
    <n v="8.032255505146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210108495152411"/>
    <n v="0"/>
    <n v="0"/>
    <n v="0"/>
    <n v="941.74"/>
    <n v="12"/>
    <m/>
    <m/>
    <m/>
    <m/>
    <m/>
    <n v="431.74220000000008"/>
    <m/>
    <m/>
    <m/>
    <n v="886.56299675906553"/>
    <m/>
    <m/>
    <m/>
    <m/>
    <m/>
    <m/>
    <m/>
    <m/>
    <m/>
    <m/>
    <m/>
    <m/>
    <n v="3165.9407999999999"/>
    <n v="-73.646370000000843"/>
    <m/>
    <m/>
    <m/>
    <m/>
    <n v="-115.33368999999992"/>
    <n v="32.242640000000016"/>
    <n v="31"/>
    <n v="-0.5298987089424827"/>
    <n v="0"/>
    <n v="0"/>
    <n v="0"/>
    <n v="0"/>
    <n v="0"/>
    <n v="0"/>
    <n v="0"/>
    <n v="23.559855573792561"/>
    <n v="0"/>
    <n v="0"/>
    <n v="32.241493831235289"/>
    <n v="0"/>
    <n v="0"/>
    <n v="0"/>
    <n v="3.6072700118920977"/>
    <n v="0"/>
    <n v="-52.080146876507627"/>
    <m/>
    <n v="0"/>
    <n v="0"/>
    <n v="0"/>
    <n v="0"/>
    <n v="-6.8890167177012174"/>
    <n v="-0.96935453165364915"/>
    <n v="0"/>
    <n v="0"/>
    <m/>
    <m/>
    <m/>
    <n v="1832.4597527960175"/>
    <n v="0"/>
    <n v="0"/>
    <n v="-115.33368999999993"/>
    <n v="32.242639999999938"/>
    <n v="0"/>
    <n v="0"/>
    <n v="-82.528912285822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4"/>
    <s v="Regular"/>
    <s v="Verde"/>
    <s v="A4"/>
    <s v="Rural"/>
    <s v="Não se aplica"/>
    <s v="Não se aplica"/>
    <s v="Não se aplica"/>
    <s v="Ponta"/>
    <s v="CATIVO"/>
    <x v="10"/>
    <n v="0"/>
    <n v="0"/>
    <n v="7.0000000000000001E-3"/>
    <n v="6.7200000000000003E-3"/>
    <n v="7.0000000000000001E-3"/>
    <n v="6.7200000000000003E-3"/>
    <m/>
    <n v="2740.31"/>
    <n v="144.41999999999999"/>
    <m/>
    <n v="20.193110000000001"/>
    <n v="20.193110000000001"/>
    <n v="19.784939999999999"/>
    <n v="0"/>
    <n v="0.37393194039961414"/>
    <n v="0"/>
    <n v="0"/>
    <n v="0"/>
    <n v="5.268639692731492"/>
    <n v="13.42605296196913"/>
    <n v="1.0109527654134018"/>
    <n v="0"/>
    <n v="0"/>
    <n v="0"/>
    <n v="0"/>
    <n v="0"/>
    <n v="6.6379289570816111E-2"/>
    <m/>
    <n v="3.4837964241509942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670216767330086E-2"/>
    <n v="0"/>
    <n v="0"/>
    <n v="0"/>
    <n v="0"/>
    <n v="0"/>
    <m/>
    <m/>
    <m/>
    <m/>
    <m/>
    <n v="0.79139759999999959"/>
    <m/>
    <m/>
    <m/>
    <n v="1.054622982180732"/>
    <m/>
    <m/>
    <m/>
    <m/>
    <m/>
    <m/>
    <m/>
    <m/>
    <m/>
    <m/>
    <m/>
    <m/>
    <n v="28.264199999999999"/>
    <n v="8.8488143999999913"/>
    <m/>
    <m/>
    <m/>
    <m/>
    <n v="-0.44905000000000067"/>
    <n v="4.0880000000000027E-2"/>
    <n v="31"/>
    <n v="0.19654156873236239"/>
    <n v="0"/>
    <n v="0"/>
    <n v="0"/>
    <n v="0"/>
    <n v="0"/>
    <n v="0"/>
    <n v="0"/>
    <n v="0.22049969232907696"/>
    <n v="0"/>
    <n v="0"/>
    <n v="4.0878546788380321E-2"/>
    <n v="0"/>
    <n v="0"/>
    <n v="0"/>
    <n v="1.7658342312874969E-3"/>
    <n v="0"/>
    <n v="-5.7447580959596123E-2"/>
    <m/>
    <n v="0"/>
    <n v="0"/>
    <n v="0"/>
    <n v="0"/>
    <n v="-8.7344895895505453E-3"/>
    <n v="-4.2043406723625987E-4"/>
    <n v="0"/>
    <n v="0"/>
    <m/>
    <m/>
    <m/>
    <n v="13.42605296196913"/>
    <n v="0"/>
    <n v="0"/>
    <n v="-0.44904999999999973"/>
    <n v="4.0880000000000027E-2"/>
    <n v="0"/>
    <n v="0"/>
    <n v="-0.60467224207929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5"/>
    <s v="Regular"/>
    <s v="Verde"/>
    <s v="A4"/>
    <s v="Rural"/>
    <s v="Não se aplica"/>
    <s v="Não se aplica"/>
    <s v="Não se aplica"/>
    <s v="Fora ponta"/>
    <s v="CATIVO"/>
    <x v="10"/>
    <n v="0"/>
    <n v="0"/>
    <n v="32.932000000000002"/>
    <n v="31.614720000000002"/>
    <n v="32.932000000000002"/>
    <n v="31.614720000000002"/>
    <m/>
    <n v="69.64"/>
    <n v="144.41999999999999"/>
    <m/>
    <n v="7049.4239199999993"/>
    <n v="7049.4239199999993"/>
    <n v="6936.7964800000009"/>
    <n v="0"/>
    <n v="1759.1895230342989"/>
    <n v="0"/>
    <n v="0"/>
    <n v="0"/>
    <n v="0"/>
    <n v="0"/>
    <n v="4756.0994957991652"/>
    <n v="0"/>
    <n v="0"/>
    <n v="0"/>
    <n v="0"/>
    <n v="0"/>
    <n v="312.28610916373088"/>
    <m/>
    <n v="16.389769120020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44965408310208"/>
    <n v="0"/>
    <n v="0"/>
    <n v="0"/>
    <n v="0"/>
    <n v="0"/>
    <m/>
    <m/>
    <m/>
    <m/>
    <m/>
    <n v="277.47185920000004"/>
    <m/>
    <m/>
    <m/>
    <n v="4961.5491498822676"/>
    <m/>
    <m/>
    <m/>
    <m/>
    <m/>
    <m/>
    <m/>
    <m/>
    <m/>
    <m/>
    <m/>
    <m/>
    <n v="6658.3303999999989"/>
    <n v="-109.14656320000176"/>
    <m/>
    <m/>
    <m/>
    <m/>
    <n v="-304.95031999999998"/>
    <n v="192.32288000000011"/>
    <n v="31"/>
    <n v="-112.71270375528911"/>
    <n v="0"/>
    <n v="0"/>
    <n v="0"/>
    <n v="0"/>
    <n v="0"/>
    <n v="0"/>
    <n v="0"/>
    <n v="0"/>
    <n v="0"/>
    <n v="0"/>
    <n v="192.31604326213346"/>
    <n v="0"/>
    <n v="0"/>
    <n v="0"/>
    <n v="8.3074932721085304"/>
    <n v="0"/>
    <n v="-270.26624802305969"/>
    <m/>
    <n v="0"/>
    <n v="0"/>
    <n v="0"/>
    <n v="0"/>
    <n v="-41.092030166154075"/>
    <n v="-1.9779621003177876"/>
    <n v="0"/>
    <n v="0"/>
    <m/>
    <m/>
    <m/>
    <n v="0"/>
    <n v="0"/>
    <n v="0"/>
    <n v="-304.95031999999992"/>
    <n v="192.3228800000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6"/>
    <s v="Regular"/>
    <s v="Verde"/>
    <s v="A4"/>
    <s v="Rural"/>
    <s v="Não se aplica"/>
    <s v="Não se aplica"/>
    <s v="Não se aplica"/>
    <s v="Não se aplica"/>
    <s v="CATIVO"/>
    <x v="10"/>
    <n v="170"/>
    <n v="163.19999999999999"/>
    <n v="0"/>
    <n v="0"/>
    <n v="0"/>
    <n v="0"/>
    <n v="34.950000000000003"/>
    <m/>
    <m/>
    <n v="5941.5000000000009"/>
    <m/>
    <n v="5941.5000000000009"/>
    <n v="5861.5999999999995"/>
    <n v="0"/>
    <n v="0"/>
    <n v="0"/>
    <n v="0"/>
    <n v="0"/>
    <n v="2153.8625169442898"/>
    <n v="3788.4173587408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51.52"/>
    <n v="1"/>
    <m/>
    <m/>
    <m/>
    <m/>
    <m/>
    <n v="234.46400000000037"/>
    <m/>
    <m/>
    <m/>
    <n v="0"/>
    <m/>
    <m/>
    <m/>
    <m/>
    <m/>
    <m/>
    <m/>
    <m/>
    <m/>
    <m/>
    <m/>
    <m/>
    <n v="5627.1359999999995"/>
    <n v="-76.734000000001288"/>
    <m/>
    <m/>
    <m/>
    <m/>
    <n v="-79.900000000001015"/>
    <n v="0"/>
    <n v="31"/>
    <n v="90.142057533469142"/>
    <n v="0"/>
    <n v="0"/>
    <n v="0"/>
    <n v="0"/>
    <m/>
    <m/>
    <m/>
    <n v="90.1420575334691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8.4173587408613"/>
    <m/>
    <n v="0"/>
    <n v="0"/>
    <n v="-79.900000000001455"/>
    <m/>
    <n v="0"/>
    <m/>
    <n v="-170.61982585131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27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65.524000000000001"/>
    <n v="65.524000000000001"/>
    <n v="65.524000000000001"/>
    <n v="65.524000000000001"/>
    <m/>
    <n v="522.37"/>
    <n v="144.41999999999999"/>
    <m/>
    <n v="43690.747960000001"/>
    <n v="43690.747960000001"/>
    <n v="42704.61176"/>
    <n v="0"/>
    <n v="4023.2375144079328"/>
    <n v="0"/>
    <n v="0"/>
    <n v="0"/>
    <n v="6681.0664293564168"/>
    <n v="21747.888578555743"/>
    <n v="9463.0955715639648"/>
    <n v="0"/>
    <n v="0"/>
    <n v="0"/>
    <n v="0"/>
    <n v="0"/>
    <n v="621.34808140545067"/>
    <m/>
    <n v="95.327931483286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8.7580418468333"/>
    <n v="0"/>
    <n v="257.19"/>
    <n v="1186.98"/>
    <n v="6471.33"/>
    <n v="128"/>
    <m/>
    <m/>
    <m/>
    <m/>
    <m/>
    <m/>
    <m/>
    <m/>
    <m/>
    <n v="10521.853613410798"/>
    <m/>
    <m/>
    <m/>
    <m/>
    <m/>
    <m/>
    <m/>
    <m/>
    <m/>
    <m/>
    <m/>
    <m/>
    <n v="42702.004799999995"/>
    <n v="-988.77316000001156"/>
    <m/>
    <m/>
    <m/>
    <m/>
    <n v="-1368.7963599999991"/>
    <n v="382.66016000000025"/>
    <n v="31"/>
    <n v="-6.2889119733263215"/>
    <n v="0"/>
    <n v="0"/>
    <n v="0"/>
    <n v="0"/>
    <n v="0"/>
    <n v="0"/>
    <n v="0"/>
    <n v="279.6116603182727"/>
    <n v="0"/>
    <n v="0"/>
    <n v="382.64655710883017"/>
    <n v="0"/>
    <n v="0"/>
    <n v="0"/>
    <n v="42.81158490476696"/>
    <n v="0"/>
    <n v="-618.09446548384085"/>
    <m/>
    <n v="0"/>
    <n v="0"/>
    <n v="0"/>
    <n v="0"/>
    <n v="-81.759813695101343"/>
    <n v="-11.504435126258599"/>
    <n v="0"/>
    <n v="0"/>
    <m/>
    <m/>
    <m/>
    <n v="21747.888578555743"/>
    <n v="0"/>
    <n v="0"/>
    <n v="-1368.7963600000003"/>
    <n v="382.66016000000127"/>
    <n v="0"/>
    <n v="0"/>
    <n v="-979.46467100457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8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0.48799999999999999"/>
    <n v="0.48799999999999999"/>
    <n v="0.48799999999999999"/>
    <n v="0.48799999999999999"/>
    <m/>
    <n v="522.37"/>
    <n v="144.41999999999999"/>
    <m/>
    <n v="325.39351999999997"/>
    <n v="325.39351999999997"/>
    <n v="318.04912000000002"/>
    <n v="0"/>
    <n v="29.963676012317183"/>
    <n v="0"/>
    <n v="0"/>
    <n v="0"/>
    <n v="49.758262888803053"/>
    <n v="161.97072258005008"/>
    <n v="70.477849931677156"/>
    <n v="0"/>
    <n v="0"/>
    <n v="0"/>
    <n v="0"/>
    <n v="0"/>
    <n v="4.6275847586511798"/>
    <m/>
    <n v="0.70996933282223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8852622614805972"/>
    <n v="0"/>
    <n v="0.39"/>
    <n v="1.81"/>
    <n v="211.86"/>
    <n v="2"/>
    <m/>
    <m/>
    <m/>
    <m/>
    <m/>
    <m/>
    <m/>
    <m/>
    <m/>
    <n v="78.363112193157747"/>
    <m/>
    <m/>
    <m/>
    <m/>
    <m/>
    <m/>
    <m/>
    <m/>
    <m/>
    <m/>
    <m/>
    <m/>
    <n v="319.3526"/>
    <n v="-6.0709199999999441"/>
    <m/>
    <m/>
    <m/>
    <m/>
    <n v="-10.194319999999992"/>
    <n v="2.8499200000000018"/>
    <n v="31"/>
    <n v="-4.6837632668683682E-2"/>
    <n v="0"/>
    <n v="0"/>
    <n v="0"/>
    <n v="0"/>
    <n v="0"/>
    <n v="0"/>
    <n v="0"/>
    <n v="2.0824505560606354"/>
    <n v="0"/>
    <n v="0"/>
    <n v="2.8498186903899381"/>
    <n v="0"/>
    <n v="0"/>
    <n v="0"/>
    <n v="0.31884581883777319"/>
    <n v="0"/>
    <n v="-4.6033529570251233"/>
    <m/>
    <n v="0"/>
    <n v="0"/>
    <n v="0"/>
    <n v="0"/>
    <n v="-0.6089187028143801"/>
    <n v="-8.5681038117547681E-2"/>
    <n v="0"/>
    <n v="0"/>
    <m/>
    <m/>
    <m/>
    <n v="161.97072258005008"/>
    <n v="0"/>
    <n v="0"/>
    <n v="-10.194320000000005"/>
    <n v="2.8499199999999973"/>
    <n v="0"/>
    <n v="0"/>
    <n v="-7.2947127686073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29"/>
    <s v="Regular"/>
    <s v="Verde"/>
    <s v="A4"/>
    <s v="Poder público"/>
    <s v="Não se aplica"/>
    <s v="Não se aplica"/>
    <s v="Não se aplica"/>
    <s v="Ponta"/>
    <s v="CATIVO"/>
    <x v="10"/>
    <n v="0"/>
    <n v="0"/>
    <n v="8.6999999999999994E-2"/>
    <n v="8.6999999999999994E-2"/>
    <n v="8.6999999999999994E-2"/>
    <n v="8.6999999999999994E-2"/>
    <m/>
    <n v="2740.31"/>
    <n v="144.41999999999999"/>
    <m/>
    <n v="250.97150999999997"/>
    <n v="250.97150999999997"/>
    <n v="245.89853999999997"/>
    <n v="0"/>
    <n v="4.6474398306809181"/>
    <n v="0"/>
    <n v="0"/>
    <n v="0"/>
    <n v="65.481664752519961"/>
    <n v="166.86665824161634"/>
    <n v="12.564698655852281"/>
    <n v="0"/>
    <n v="0"/>
    <n v="0"/>
    <n v="0"/>
    <n v="0"/>
    <n v="0.82499974180871438"/>
    <m/>
    <n v="4.32986127001623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275840839395961"/>
    <n v="0"/>
    <n v="0"/>
    <n v="0"/>
    <n v="0"/>
    <n v="0"/>
    <m/>
    <m/>
    <m/>
    <m/>
    <m/>
    <m/>
    <m/>
    <m/>
    <m/>
    <n v="13.10745706424624"/>
    <m/>
    <m/>
    <m/>
    <m/>
    <m/>
    <m/>
    <m/>
    <m/>
    <m/>
    <m/>
    <m/>
    <m/>
    <n v="254.37779999999998"/>
    <n v="3.37629000000004"/>
    <m/>
    <m/>
    <m/>
    <m/>
    <n v="-5.5810500000000074"/>
    <n v="0.50808000000000031"/>
    <n v="31"/>
    <n v="2.4427309256736436"/>
    <n v="0"/>
    <n v="0"/>
    <n v="0"/>
    <n v="0"/>
    <n v="0"/>
    <n v="0"/>
    <n v="0"/>
    <n v="2.7404961760899624"/>
    <n v="0"/>
    <n v="0"/>
    <n v="0.50806193865558136"/>
    <n v="0"/>
    <n v="0"/>
    <n v="0"/>
    <n v="2.1946796874573127E-2"/>
    <n v="0"/>
    <n v="-0.71399136335498037"/>
    <m/>
    <n v="0"/>
    <n v="0"/>
    <n v="0"/>
    <n v="0"/>
    <n v="-0.10855722775584242"/>
    <n v="-5.225394835650661E-3"/>
    <n v="0"/>
    <n v="0"/>
    <m/>
    <m/>
    <m/>
    <n v="166.86665824161634"/>
    <n v="0"/>
    <n v="0"/>
    <n v="-5.5810500000000047"/>
    <n v="0.50808000000000142"/>
    <n v="0"/>
    <n v="0"/>
    <n v="-7.5152121515569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0"/>
    <s v="Regular"/>
    <s v="Verde"/>
    <s v="A4"/>
    <s v="Poder público"/>
    <s v="Não se aplica"/>
    <s v="Não se aplica"/>
    <s v="Não se aplica"/>
    <s v="Fora ponta"/>
    <s v="CATIVO"/>
    <x v="10"/>
    <n v="0"/>
    <n v="0"/>
    <n v="1.732"/>
    <n v="1.732"/>
    <n v="1.732"/>
    <n v="1.732"/>
    <m/>
    <n v="69.64"/>
    <n v="144.41999999999999"/>
    <m/>
    <n v="370.75191999999998"/>
    <n v="370.75191999999998"/>
    <n v="364.82848000000001"/>
    <n v="0"/>
    <n v="92.521445824590231"/>
    <n v="0"/>
    <n v="0"/>
    <n v="0"/>
    <n v="0"/>
    <n v="0"/>
    <n v="250.13859852800172"/>
    <n v="0"/>
    <n v="0"/>
    <n v="0"/>
    <n v="0"/>
    <n v="0"/>
    <n v="16.424132790950498"/>
    <m/>
    <n v="0.8619907723756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05259348716531"/>
    <n v="0"/>
    <n v="0"/>
    <n v="0"/>
    <n v="0"/>
    <n v="0"/>
    <m/>
    <m/>
    <m/>
    <m/>
    <m/>
    <m/>
    <m/>
    <m/>
    <m/>
    <n v="260.94385787671825"/>
    <m/>
    <m/>
    <m/>
    <m/>
    <m/>
    <m/>
    <m/>
    <m/>
    <m/>
    <m/>
    <m/>
    <m/>
    <n v="364.40719999999999"/>
    <n v="-6.3747200000000248"/>
    <m/>
    <m/>
    <m/>
    <m/>
    <n v="-16.038319999999995"/>
    <n v="10.114880000000007"/>
    <n v="31"/>
    <n v="-5.9279242956443454"/>
    <n v="0"/>
    <n v="0"/>
    <n v="0"/>
    <n v="0"/>
    <n v="0"/>
    <n v="0"/>
    <n v="0"/>
    <n v="0"/>
    <n v="0"/>
    <n v="0"/>
    <n v="10.114520433924923"/>
    <n v="0"/>
    <n v="0"/>
    <n v="0"/>
    <n v="0.43691784122713351"/>
    <n v="0"/>
    <n v="-14.214172888860062"/>
    <m/>
    <n v="0"/>
    <n v="0"/>
    <n v="0"/>
    <n v="0"/>
    <n v="-2.1611622813002178"/>
    <n v="-0.10402740063617177"/>
    <n v="0"/>
    <n v="0"/>
    <m/>
    <m/>
    <m/>
    <n v="0"/>
    <n v="0"/>
    <n v="0"/>
    <n v="-16.038319999999999"/>
    <n v="10.114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1"/>
    <s v="Regular"/>
    <s v="Verde"/>
    <s v="A4"/>
    <s v="Poder público"/>
    <s v="Não se aplica"/>
    <s v="Não se aplica"/>
    <s v="Não se aplica"/>
    <s v="Não se aplica"/>
    <s v="CATIVO"/>
    <x v="10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05"/>
    <n v="92.52"/>
    <n v="216.42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1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32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488.19900000000001"/>
    <n v="488.19900000000001"/>
    <n v="488.19900000000001"/>
    <n v="488.19900000000001"/>
    <m/>
    <n v="287.3"/>
    <n v="79.430000000000007"/>
    <m/>
    <n v="179037.21927000003"/>
    <n v="179037.21927000003"/>
    <n v="174999.81354"/>
    <n v="0"/>
    <n v="16486.742143535816"/>
    <n v="0"/>
    <n v="0"/>
    <n v="0"/>
    <n v="27378.204510712952"/>
    <n v="89120.224664081572"/>
    <n v="38778.624431018892"/>
    <n v="0"/>
    <n v="0"/>
    <n v="0"/>
    <n v="0"/>
    <n v="0"/>
    <n v="2546.2095048643664"/>
    <m/>
    <n v="390.64236695279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8.6627724096625"/>
    <n v="0"/>
    <n v="1091.8900000000001"/>
    <n v="5039.53"/>
    <n v="34406.379999999997"/>
    <n v="6"/>
    <m/>
    <m/>
    <m/>
    <m/>
    <m/>
    <m/>
    <m/>
    <m/>
    <m/>
    <n v="43117.287203428554"/>
    <m/>
    <m/>
    <m/>
    <m/>
    <m/>
    <m/>
    <m/>
    <m/>
    <m/>
    <m/>
    <m/>
    <m/>
    <n v="175000.17199999999"/>
    <n v="-4037.0772700000671"/>
    <m/>
    <m/>
    <m/>
    <m/>
    <n v="-5604.524520000009"/>
    <n v="1567.118789999997"/>
    <n v="31"/>
    <n v="-25.771202842879575"/>
    <n v="0"/>
    <n v="0"/>
    <n v="0"/>
    <n v="0"/>
    <n v="0"/>
    <n v="0"/>
    <n v="0"/>
    <n v="1145.8148636474871"/>
    <n v="0"/>
    <n v="0"/>
    <n v="1568.0394449922605"/>
    <n v="0"/>
    <n v="0"/>
    <n v="0"/>
    <n v="175.43671198961056"/>
    <n v="0"/>
    <n v="-2532.8765791940168"/>
    <m/>
    <n v="0"/>
    <n v="0"/>
    <n v="0"/>
    <n v="0"/>
    <n v="-335.04185653155992"/>
    <n v="-47.143787746664941"/>
    <n v="0"/>
    <n v="0"/>
    <m/>
    <m/>
    <m/>
    <n v="89120.224664081572"/>
    <n v="0"/>
    <n v="0"/>
    <n v="-5604.5245200000063"/>
    <n v="1567.1187900000004"/>
    <n v="0"/>
    <n v="0"/>
    <n v="-4013.7281012432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3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20.888000000000002"/>
    <n v="19.634720000000002"/>
    <n v="20.888000000000002"/>
    <n v="19.634720000000002"/>
    <m/>
    <n v="522.37"/>
    <n v="144.41999999999999"/>
    <m/>
    <n v="13927.909520000001"/>
    <n v="13927.909520000001"/>
    <n v="13613.545120000002"/>
    <n v="0"/>
    <n v="1282.5435748878717"/>
    <n v="0"/>
    <n v="0"/>
    <n v="0"/>
    <n v="2129.8167934863081"/>
    <n v="6932.8779779755878"/>
    <n v="3016.6830519935916"/>
    <n v="0"/>
    <n v="0"/>
    <n v="0"/>
    <n v="0"/>
    <n v="0"/>
    <n v="198.07580007931529"/>
    <m/>
    <n v="30.389015213095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.51507811025971"/>
    <n v="0"/>
    <n v="77.06"/>
    <n v="355.7"/>
    <n v="2583.5300000000002"/>
    <n v="35"/>
    <m/>
    <m/>
    <m/>
    <m/>
    <n v="816.8127072000002"/>
    <m/>
    <m/>
    <m/>
    <m/>
    <n v="3354.1981301038513"/>
    <m/>
    <m/>
    <m/>
    <m/>
    <m/>
    <m/>
    <m/>
    <m/>
    <m/>
    <m/>
    <m/>
    <m/>
    <n v="12793.656200000001"/>
    <n v="-298.60874879999938"/>
    <m/>
    <m/>
    <m/>
    <m/>
    <n v="-436.35031999999973"/>
    <n v="121.98592000000008"/>
    <n v="31"/>
    <n v="-2.004804244231309"/>
    <n v="0"/>
    <n v="0"/>
    <n v="0"/>
    <n v="0"/>
    <n v="0"/>
    <n v="0"/>
    <n v="0"/>
    <n v="89.135711506135976"/>
    <n v="0"/>
    <n v="0"/>
    <n v="121.98158361652622"/>
    <n v="0"/>
    <n v="0"/>
    <n v="0"/>
    <n v="13.64764644238403"/>
    <n v="0"/>
    <n v="-197.03859952119024"/>
    <m/>
    <n v="0"/>
    <n v="0"/>
    <n v="0"/>
    <n v="0"/>
    <n v="-26.063716935218821"/>
    <n v="-3.6674293528674902"/>
    <n v="0"/>
    <n v="0"/>
    <m/>
    <m/>
    <m/>
    <n v="6932.8779779755878"/>
    <n v="0"/>
    <n v="0"/>
    <n v="-436.35031999999956"/>
    <n v="121.98592000000008"/>
    <n v="0"/>
    <n v="0"/>
    <n v="-312.237623587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4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0.65900000000000003"/>
    <n v="0.61946000000000001"/>
    <n v="0.65900000000000003"/>
    <n v="0.61946000000000001"/>
    <m/>
    <n v="2740.31"/>
    <n v="144.41999999999999"/>
    <m/>
    <n v="1901.0370700000001"/>
    <n v="1901.0370700000001"/>
    <n v="1862.61078"/>
    <n v="0"/>
    <n v="35.203021246192243"/>
    <n v="0"/>
    <n v="0"/>
    <n v="0"/>
    <n v="496.00479393000762"/>
    <n v="1263.9669859910939"/>
    <n v="95.173981772490265"/>
    <n v="0"/>
    <n v="0"/>
    <n v="0"/>
    <n v="0"/>
    <n v="0"/>
    <n v="6.249135975309688"/>
    <m/>
    <n v="0.327974549073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112389785243613"/>
    <n v="0"/>
    <n v="0"/>
    <n v="0"/>
    <n v="0"/>
    <n v="0"/>
    <m/>
    <m/>
    <m/>
    <m/>
    <n v="111.75664680000004"/>
    <m/>
    <m/>
    <m/>
    <m/>
    <n v="99.28522075101462"/>
    <m/>
    <m/>
    <m/>
    <m/>
    <m/>
    <m/>
    <m/>
    <m/>
    <m/>
    <m/>
    <m/>
    <m/>
    <n v="1752.3804"/>
    <n v="-34.624445799999876"/>
    <m/>
    <m/>
    <m/>
    <m/>
    <n v="-42.274850000000065"/>
    <n v="3.8485600000000026"/>
    <n v="31"/>
    <n v="18.502984827803857"/>
    <n v="0"/>
    <n v="0"/>
    <n v="0"/>
    <n v="0"/>
    <n v="0"/>
    <n v="0"/>
    <n v="0"/>
    <n v="20.758471034980289"/>
    <n v="0"/>
    <n v="0"/>
    <n v="3.8484231905060824"/>
    <n v="0"/>
    <n v="0"/>
    <n v="0"/>
    <n v="0.16624067977406565"/>
    <n v="0"/>
    <n v="-5.4082794074819738"/>
    <m/>
    <n v="0"/>
    <n v="0"/>
    <n v="0"/>
    <n v="0"/>
    <n v="-0.82228980564482956"/>
    <n v="-3.9580864329813614E-2"/>
    <n v="0"/>
    <n v="0"/>
    <m/>
    <m/>
    <m/>
    <n v="1263.9669859910939"/>
    <n v="0"/>
    <n v="0"/>
    <n v="-42.274850000000015"/>
    <n v="3.848559999999992"/>
    <n v="0"/>
    <n v="0"/>
    <n v="-56.92557250432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5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5.2229999999999999"/>
    <n v="4.9096200000000003"/>
    <n v="5.2229999999999999"/>
    <n v="4.9096200000000003"/>
    <m/>
    <n v="69.64"/>
    <n v="144.41999999999999"/>
    <m/>
    <n v="1118.0353799999998"/>
    <n v="1118.0353799999998"/>
    <n v="1100.17272"/>
    <n v="0"/>
    <n v="279.00664638674061"/>
    <n v="0"/>
    <n v="0"/>
    <n v="0"/>
    <n v="0"/>
    <n v="0"/>
    <n v="754.3151848220283"/>
    <n v="0"/>
    <n v="0"/>
    <n v="0"/>
    <n v="0"/>
    <n v="0"/>
    <n v="49.528432775481789"/>
    <m/>
    <n v="2.5994098176200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4220310823575"/>
    <n v="0"/>
    <n v="0"/>
    <n v="0"/>
    <n v="0"/>
    <n v="0"/>
    <m/>
    <m/>
    <m/>
    <m/>
    <n v="66.010363199999901"/>
    <m/>
    <m/>
    <m/>
    <m/>
    <n v="786.89940513285183"/>
    <m/>
    <m/>
    <m/>
    <m/>
    <m/>
    <m/>
    <m/>
    <m/>
    <m/>
    <m/>
    <m/>
    <m/>
    <n v="1034.2424000000001"/>
    <n v="-16.740857199999937"/>
    <m/>
    <m/>
    <m/>
    <m/>
    <n v="-48.364979999999989"/>
    <n v="30.502320000000019"/>
    <n v="31"/>
    <n v="-17.876182792234658"/>
    <n v="0"/>
    <n v="0"/>
    <n v="0"/>
    <n v="0"/>
    <n v="0"/>
    <n v="0"/>
    <n v="0"/>
    <n v="0"/>
    <n v="0"/>
    <n v="0"/>
    <n v="30.501235696529989"/>
    <n v="0"/>
    <n v="0"/>
    <n v="0"/>
    <n v="1.3175645985735116"/>
    <n v="0"/>
    <n v="-42.864102193138621"/>
    <m/>
    <n v="0"/>
    <n v="0"/>
    <n v="0"/>
    <n v="0"/>
    <n v="-6.5171770180317807"/>
    <n v="-0.313703876167855"/>
    <n v="0"/>
    <n v="0"/>
    <m/>
    <m/>
    <m/>
    <n v="0"/>
    <n v="0"/>
    <n v="0"/>
    <n v="-48.364980000000003"/>
    <n v="30.50232000000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6"/>
    <s v="Regular"/>
    <s v="Verde"/>
    <s v="A4"/>
    <s v="Serviço público"/>
    <s v="Água, esgoto e saneamento"/>
    <s v="Não se aplica"/>
    <s v="Não se aplica"/>
    <s v="Não se aplica"/>
    <s v="CATIVO"/>
    <x v="10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369999999999997"/>
    <n v="154.04"/>
    <n v="676.27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1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37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5.3940000000000001"/>
    <n v="5.3940000000000001"/>
    <n v="5.3940000000000001"/>
    <n v="5.3940000000000001"/>
    <m/>
    <n v="522.37"/>
    <n v="144.41999999999999"/>
    <m/>
    <n v="3596.6652600000002"/>
    <n v="3596.6652600000002"/>
    <n v="3515.4855600000001"/>
    <n v="0"/>
    <n v="331.19686149680103"/>
    <n v="0"/>
    <n v="0"/>
    <n v="0"/>
    <n v="549.99194676681088"/>
    <n v="1790.3075360589964"/>
    <n v="779.01131666284141"/>
    <n v="0"/>
    <n v="0"/>
    <n v="0"/>
    <n v="0"/>
    <n v="0"/>
    <n v="51.149983992140299"/>
    <m/>
    <n v="7.8474888959899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158001308250704"/>
    <n v="0"/>
    <n v="0"/>
    <n v="0"/>
    <n v="0"/>
    <n v="4"/>
    <m/>
    <m/>
    <m/>
    <m/>
    <m/>
    <m/>
    <m/>
    <m/>
    <m/>
    <n v="866.16931797109214"/>
    <m/>
    <m/>
    <m/>
    <m/>
    <m/>
    <m/>
    <m/>
    <m/>
    <m/>
    <m/>
    <m/>
    <m/>
    <n v="3512.8785999999996"/>
    <n v="-83.81666000000132"/>
    <m/>
    <m/>
    <m/>
    <m/>
    <n v="-112.68065999999993"/>
    <n v="31.500960000000021"/>
    <n v="31"/>
    <n v="-0.5177094069983923"/>
    <n v="0"/>
    <n v="0"/>
    <n v="0"/>
    <n v="0"/>
    <n v="0"/>
    <n v="0"/>
    <n v="0"/>
    <n v="23.017906351211082"/>
    <n v="0"/>
    <n v="0"/>
    <n v="31.499840196646119"/>
    <n v="0"/>
    <n v="0"/>
    <n v="0"/>
    <n v="3.5242916942847273"/>
    <n v="0"/>
    <n v="-50.88214313564248"/>
    <m/>
    <n v="0"/>
    <n v="0"/>
    <n v="0"/>
    <n v="0"/>
    <n v="-6.7305481208622311"/>
    <n v="-0.94705639263535346"/>
    <n v="0"/>
    <n v="0"/>
    <m/>
    <m/>
    <m/>
    <n v="1790.3075360589964"/>
    <n v="0"/>
    <n v="0"/>
    <n v="-112.68065999999999"/>
    <n v="31.500960000000077"/>
    <n v="0"/>
    <n v="0"/>
    <n v="-80.630493184156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38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.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39"/>
    <s v="Regular"/>
    <s v="Convencional"/>
    <s v="B2"/>
    <s v="Rural"/>
    <s v="Agropecuária rural"/>
    <s v="IRRIG./AQUIC."/>
    <s v="Não se aplica"/>
    <s v="Não se aplica"/>
    <s v="CATIVO"/>
    <x v="10"/>
    <n v="0"/>
    <n v="0"/>
    <n v="1.83"/>
    <n v="1.83"/>
    <n v="1.83"/>
    <n v="1.83"/>
    <m/>
    <n v="522.37"/>
    <n v="144.41999999999999"/>
    <m/>
    <n v="1220.2257"/>
    <n v="1220.2257"/>
    <n v="1192.6842000000001"/>
    <n v="0"/>
    <n v="112.36378504618945"/>
    <n v="0"/>
    <n v="0"/>
    <n v="0"/>
    <n v="186.59348583301147"/>
    <n v="607.39020967518786"/>
    <n v="264.29193724378939"/>
    <n v="0"/>
    <n v="0"/>
    <n v="0"/>
    <n v="0"/>
    <n v="0"/>
    <n v="17.353442844941924"/>
    <m/>
    <n v="2.6623849980833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569733480552241"/>
    <n v="0"/>
    <n v="0"/>
    <n v="0"/>
    <n v="0"/>
    <n v="0"/>
    <m/>
    <m/>
    <m/>
    <m/>
    <m/>
    <n v="143.10600000000005"/>
    <m/>
    <m/>
    <m/>
    <n v="293.86167072434165"/>
    <m/>
    <m/>
    <m/>
    <m/>
    <m/>
    <m/>
    <m/>
    <m/>
    <m/>
    <m/>
    <m/>
    <m/>
    <n v="1049.5781999999999"/>
    <n v="-24.240900000000011"/>
    <m/>
    <m/>
    <m/>
    <m/>
    <n v="-38.228699999999975"/>
    <n v="10.687200000000006"/>
    <n v="31"/>
    <n v="-0.17564112250772723"/>
    <n v="0"/>
    <n v="0"/>
    <n v="0"/>
    <n v="0"/>
    <n v="0"/>
    <n v="0"/>
    <n v="0"/>
    <n v="7.8091895852273581"/>
    <n v="0"/>
    <n v="0"/>
    <n v="10.686820088962236"/>
    <n v="0"/>
    <n v="0"/>
    <n v="0"/>
    <n v="1.1956718206416497"/>
    <n v="0"/>
    <n v="-17.262573588844219"/>
    <m/>
    <n v="0"/>
    <n v="0"/>
    <n v="0"/>
    <n v="0"/>
    <n v="-2.2834451355539258"/>
    <n v="-0.32130389294080342"/>
    <n v="0"/>
    <n v="0"/>
    <m/>
    <m/>
    <m/>
    <n v="607.39020967518786"/>
    <n v="0"/>
    <n v="0"/>
    <n v="-38.228700000000003"/>
    <n v="10.687200000000018"/>
    <n v="0"/>
    <n v="0"/>
    <n v="-27.3551728822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0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0.22"/>
    <n v="8.7999999999999995E-2"/>
    <n v="0.22"/>
    <n v="8.7999999999999995E-2"/>
    <m/>
    <n v="522.37"/>
    <n v="144.41999999999999"/>
    <m/>
    <n v="146.69380000000001"/>
    <n v="146.69380000000001"/>
    <n v="143.3828"/>
    <n v="0"/>
    <n v="13.508214595716764"/>
    <n v="0"/>
    <n v="0"/>
    <n v="0"/>
    <n v="22.432003761345641"/>
    <n v="73.019588048383241"/>
    <n v="31.772801198706919"/>
    <n v="0"/>
    <n v="0"/>
    <n v="0"/>
    <n v="0"/>
    <n v="0"/>
    <n v="2.0862062436542206"/>
    <m/>
    <n v="0.32006814184608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8313473887938"/>
    <n v="0"/>
    <n v="0"/>
    <n v="0"/>
    <n v="0"/>
    <n v="0"/>
    <m/>
    <m/>
    <m/>
    <m/>
    <m/>
    <m/>
    <n v="92.911280000000005"/>
    <m/>
    <m/>
    <n v="35.327632546095714"/>
    <m/>
    <m/>
    <m/>
    <m/>
    <m/>
    <m/>
    <m/>
    <m/>
    <m/>
    <m/>
    <m/>
    <m/>
    <n v="51.618600000000001"/>
    <n v="-4.7159999999990987E-2"/>
    <m/>
    <m/>
    <m/>
    <m/>
    <n v="-4.595799999999997"/>
    <n v="1.2848000000000008"/>
    <n v="31"/>
    <n v="-2.1115326203116069E-2"/>
    <n v="0"/>
    <n v="0"/>
    <n v="0"/>
    <n v="0"/>
    <n v="0"/>
    <n v="0"/>
    <n v="0"/>
    <n v="0.93880967691258022"/>
    <n v="0"/>
    <n v="0"/>
    <n v="1.2847543276348041"/>
    <n v="0"/>
    <n v="0"/>
    <n v="0"/>
    <n v="0.14374196750883206"/>
    <n v="0"/>
    <n v="-2.0752820707900153"/>
    <m/>
    <n v="0"/>
    <n v="0"/>
    <n v="0"/>
    <n v="0"/>
    <n v="-0.2745125299573028"/>
    <n v="-3.86266975120092E-2"/>
    <n v="0"/>
    <n v="0"/>
    <m/>
    <m/>
    <m/>
    <n v="73.019588048383241"/>
    <n v="0"/>
    <n v="0"/>
    <n v="-4.595799999999997"/>
    <n v="1.2848000000000042"/>
    <n v="0"/>
    <n v="0"/>
    <n v="-3.28860001863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1"/>
    <s v="PROJETADO"/>
    <s v="Convencional"/>
    <s v="B1"/>
    <s v="Residencial"/>
    <s v="Residencial"/>
    <s v="Não se aplica"/>
    <s v="Não se aplica"/>
    <s v="Não se aplica"/>
    <s v="CATIVO"/>
    <x v="11"/>
    <n v="0"/>
    <n v="0"/>
    <n v="2394.3290000000002"/>
    <n v="2394.3290000000002"/>
    <n v="2394.3290000000002"/>
    <n v="2394.3290000000002"/>
    <m/>
    <n v="522.37"/>
    <n v="144.41999999999999"/>
    <m/>
    <n v="1596514.6339100001"/>
    <n v="1596514.6339100001"/>
    <n v="1560479.9824600001"/>
    <n v="0"/>
    <n v="147014.13611249058"/>
    <n v="0"/>
    <n v="0"/>
    <n v="0"/>
    <n v="244134.53242681341"/>
    <n v="794695.0783286246"/>
    <n v="345793.36055135791"/>
    <n v="0"/>
    <n v="0"/>
    <n v="0"/>
    <n v="0"/>
    <n v="0"/>
    <n v="22704.836859828938"/>
    <m/>
    <n v="3483.401972719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688.344478009385"/>
    <n v="0"/>
    <n v="486.25"/>
    <n v="2243.3000000000002"/>
    <n v="224084.5"/>
    <n v="12091"/>
    <m/>
    <m/>
    <m/>
    <m/>
    <m/>
    <m/>
    <m/>
    <m/>
    <m/>
    <n v="384481.70502936729"/>
    <m/>
    <m/>
    <m/>
    <m/>
    <m/>
    <m/>
    <m/>
    <m/>
    <m/>
    <m/>
    <m/>
    <m/>
    <n v="1560480.6342"/>
    <n v="-36034.029710000148"/>
    <m/>
    <m/>
    <m/>
    <m/>
    <n v="-50017.532809999968"/>
    <n v="13982.881360000008"/>
    <n v="31"/>
    <n v="-229.80471760267392"/>
    <n v="0"/>
    <n v="0"/>
    <n v="0"/>
    <n v="0"/>
    <n v="0"/>
    <n v="0"/>
    <n v="0"/>
    <n v="10217.360158692813"/>
    <n v="0"/>
    <n v="0"/>
    <n v="13982.384293325071"/>
    <n v="0"/>
    <n v="0"/>
    <n v="0"/>
    <n v="1564.3889151066105"/>
    <n v="0"/>
    <n v="-22585.945660329962"/>
    <m/>
    <n v="0"/>
    <n v="0"/>
    <n v="0"/>
    <n v="0"/>
    <n v="-2987.6059606369927"/>
    <n v="-420.38646376014322"/>
    <n v="0"/>
    <n v="0"/>
    <m/>
    <m/>
    <m/>
    <n v="794695.0783286246"/>
    <n v="0"/>
    <n v="0"/>
    <n v="-50017.532810000004"/>
    <n v="13982.881359999999"/>
    <n v="0"/>
    <n v="0"/>
    <n v="-35790.86542735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2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2.63"/>
    <n v="-2.63"/>
    <n v="-2.63"/>
    <n v="-2.63"/>
    <m/>
    <n v="522.37"/>
    <n v="144.41999999999999"/>
    <m/>
    <n v="-1753.6577"/>
    <n v="-1753.6577"/>
    <n v="-1714.0762"/>
    <n v="0"/>
    <n v="-161.48456539425038"/>
    <n v="0"/>
    <n v="0"/>
    <n v="0"/>
    <n v="-268.16440860154103"/>
    <n v="-872.91598439658139"/>
    <n v="-379.82939614817815"/>
    <n v="0"/>
    <n v="0"/>
    <n v="0"/>
    <n v="0"/>
    <n v="0"/>
    <n v="-24.939647367320909"/>
    <m/>
    <n v="-3.8262691502509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2.4963929256024"/>
    <n v="0"/>
    <n v="-0.65"/>
    <n v="-3.02"/>
    <n v="-500.39"/>
    <n v="0"/>
    <m/>
    <m/>
    <m/>
    <m/>
    <m/>
    <m/>
    <m/>
    <m/>
    <m/>
    <n v="-422.32578907378053"/>
    <m/>
    <m/>
    <m/>
    <m/>
    <m/>
    <m/>
    <m/>
    <m/>
    <m/>
    <m/>
    <m/>
    <m/>
    <n v="-1714.0762"/>
    <n v="39.551500000000033"/>
    <m/>
    <m/>
    <m/>
    <m/>
    <n v="54.940699999999964"/>
    <n v="-15.359200000000008"/>
    <n v="31"/>
    <n v="0.25242412688260174"/>
    <n v="0"/>
    <n v="0"/>
    <n v="0"/>
    <n v="0"/>
    <n v="0"/>
    <n v="0"/>
    <n v="0"/>
    <n v="-11.223042955818585"/>
    <n v="0"/>
    <n v="0"/>
    <n v="-15.358654007634243"/>
    <n v="0"/>
    <n v="0"/>
    <n v="0"/>
    <n v="-1.7183698843101283"/>
    <n v="0"/>
    <n v="24.809053846262458"/>
    <m/>
    <n v="0"/>
    <n v="0"/>
    <n v="0"/>
    <n v="0"/>
    <n v="3.2816725172168475"/>
    <n v="0.46176461116629186"/>
    <n v="0"/>
    <n v="0"/>
    <m/>
    <m/>
    <m/>
    <n v="-872.91598439658139"/>
    <n v="0"/>
    <n v="0"/>
    <n v="54.940700000000106"/>
    <n v="-15.359199999999987"/>
    <n v="0"/>
    <n v="0"/>
    <n v="39.313718404584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3"/>
    <s v="PROJETADO"/>
    <s v="Convencional"/>
    <s v="B1"/>
    <s v="Residencial"/>
    <s v="Residencial"/>
    <s v="Não se aplica"/>
    <s v="Não se aplica"/>
    <s v="Não se aplica"/>
    <s v="CATIVO"/>
    <x v="11"/>
    <n v="0"/>
    <n v="0"/>
    <n v="23.007999999999999"/>
    <n v="23.007999999999999"/>
    <n v="23.007999999999999"/>
    <n v="23.007999999999999"/>
    <m/>
    <n v="522.37"/>
    <n v="144.41999999999999"/>
    <m/>
    <n v="15341.50432"/>
    <n v="15341.50432"/>
    <n v="14995.233919999999"/>
    <n v="0"/>
    <n v="1412.7136428102331"/>
    <n v="0"/>
    <n v="0"/>
    <n v="0"/>
    <n v="2345.9797388229113"/>
    <n v="7636.5212809872801"/>
    <n v="3322.8573180902217"/>
    <n v="0"/>
    <n v="0"/>
    <n v="0"/>
    <n v="0"/>
    <n v="0"/>
    <n v="218.17924206361957"/>
    <m/>
    <n v="33.473308216339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77072563964259"/>
    <n v="0"/>
    <n v="3.24"/>
    <n v="14.9"/>
    <n v="5000.0600000000004"/>
    <n v="128"/>
    <m/>
    <m/>
    <m/>
    <m/>
    <m/>
    <m/>
    <m/>
    <m/>
    <m/>
    <n v="3694.6280437298642"/>
    <m/>
    <m/>
    <m/>
    <m/>
    <m/>
    <m/>
    <m/>
    <m/>
    <m/>
    <m/>
    <m/>
    <m/>
    <n v="14996.537400000001"/>
    <n v="-344.99691999999959"/>
    <m/>
    <m/>
    <m/>
    <m/>
    <n v="-480.63711999999964"/>
    <n v="134.36672000000007"/>
    <n v="31"/>
    <n v="-2.2082792058236009"/>
    <n v="0"/>
    <n v="0"/>
    <n v="0"/>
    <n v="0"/>
    <n v="0"/>
    <n v="0"/>
    <n v="0"/>
    <n v="98.182422938202762"/>
    <n v="0"/>
    <n v="0"/>
    <n v="134.36194350100686"/>
    <n v="0"/>
    <n v="0"/>
    <n v="0"/>
    <n v="15.032796311105471"/>
    <n v="0"/>
    <n v="-217.03677220334839"/>
    <m/>
    <n v="0"/>
    <n v="0"/>
    <n v="0"/>
    <n v="0"/>
    <n v="-28.709019496625558"/>
    <n v="-4.0396502561650358"/>
    <n v="0"/>
    <n v="0"/>
    <m/>
    <m/>
    <m/>
    <n v="7636.5212809872801"/>
    <n v="0"/>
    <n v="0"/>
    <n v="-480.63711999999941"/>
    <n v="134.36671999999999"/>
    <n v="0"/>
    <n v="0"/>
    <n v="-343.9277692215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4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15.99"/>
    <n v="15.99"/>
    <n v="15.99"/>
    <n v="15.99"/>
    <m/>
    <n v="451.48"/>
    <n v="144.41999999999999"/>
    <m/>
    <n v="9528.4410000000007"/>
    <n v="9528.4410000000007"/>
    <n v="9458.7245999999996"/>
    <n v="0"/>
    <n v="0"/>
    <n v="0"/>
    <n v="0"/>
    <n v="0"/>
    <n v="1630.3988188359854"/>
    <n v="5307.1964222438546"/>
    <n v="2309.3049598514708"/>
    <n v="0"/>
    <n v="0"/>
    <n v="0"/>
    <n v="0"/>
    <n v="0"/>
    <n v="0"/>
    <m/>
    <n v="23.2631344914497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37160565794005"/>
    <n v="0"/>
    <n v="0.96"/>
    <n v="4.08"/>
    <n v="400.47"/>
    <n v="10"/>
    <m/>
    <m/>
    <m/>
    <m/>
    <m/>
    <m/>
    <m/>
    <n v="6148.1549999999997"/>
    <m/>
    <n v="2567.6765655094109"/>
    <m/>
    <m/>
    <m/>
    <m/>
    <m/>
    <m/>
    <m/>
    <m/>
    <m/>
    <m/>
    <m/>
    <m/>
    <n v="3310.5695999999998"/>
    <n v="-24.494700000001103"/>
    <m/>
    <m/>
    <m/>
    <m/>
    <n v="-163.09800000000072"/>
    <n v="93.381600000000063"/>
    <n v="31"/>
    <n v="169.25264363619044"/>
    <n v="0"/>
    <n v="0"/>
    <n v="0"/>
    <n v="0"/>
    <n v="0"/>
    <n v="0"/>
    <n v="0"/>
    <n v="68.234394244691657"/>
    <n v="0"/>
    <n v="0"/>
    <n v="93.378280449457179"/>
    <n v="0"/>
    <n v="0"/>
    <n v="0"/>
    <n v="10.447427547573795"/>
    <n v="0"/>
    <n v="0"/>
    <m/>
    <n v="0"/>
    <n v="0"/>
    <n v="0"/>
    <n v="0"/>
    <n v="0"/>
    <n v="-2.8074586055319415"/>
    <n v="0"/>
    <n v="0"/>
    <m/>
    <m/>
    <m/>
    <n v="5307.1964222438546"/>
    <n v="0"/>
    <n v="0"/>
    <n v="-163.09800000000087"/>
    <n v="93.381600000000162"/>
    <n v="0"/>
    <n v="0"/>
    <n v="-239.0214286271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5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06"/>
    <n v="0.06"/>
    <n v="0.06"/>
    <n v="0.06"/>
    <m/>
    <n v="451.48"/>
    <n v="144.41999999999999"/>
    <m/>
    <n v="35.753999999999998"/>
    <n v="35.753999999999998"/>
    <n v="35.492399999999996"/>
    <n v="0"/>
    <n v="0"/>
    <n v="0"/>
    <n v="0"/>
    <n v="0"/>
    <n v="6.1178192076397195"/>
    <n v="19.914433104104518"/>
    <n v="8.6653094178291585"/>
    <n v="0"/>
    <n v="0"/>
    <n v="0"/>
    <n v="0"/>
    <n v="0"/>
    <n v="0"/>
    <m/>
    <n v="8.729131141256939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6949945837876195"/>
    <n v="0"/>
    <n v="0"/>
    <n v="0"/>
    <n v="1.5"/>
    <n v="0"/>
    <m/>
    <m/>
    <m/>
    <m/>
    <m/>
    <m/>
    <m/>
    <n v="23.069999999999997"/>
    <m/>
    <n v="9.63480887620792"/>
    <m/>
    <m/>
    <m/>
    <m/>
    <m/>
    <m/>
    <m/>
    <m/>
    <m/>
    <m/>
    <m/>
    <m/>
    <n v="12.4224"/>
    <n v="-0.12179999999999858"/>
    <m/>
    <m/>
    <m/>
    <m/>
    <n v="-0.61200000000000265"/>
    <n v="0.35040000000000021"/>
    <n v="31"/>
    <n v="0.63509434760296379"/>
    <n v="0"/>
    <n v="0"/>
    <n v="0"/>
    <n v="0"/>
    <n v="0"/>
    <n v="0"/>
    <n v="0"/>
    <n v="0.25603900279434022"/>
    <n v="0"/>
    <n v="0"/>
    <n v="0.35038754390040161"/>
    <n v="0"/>
    <n v="0"/>
    <n v="0"/>
    <n v="3.9202354775136117E-2"/>
    <n v="0"/>
    <n v="0"/>
    <m/>
    <n v="0"/>
    <n v="0"/>
    <n v="0"/>
    <n v="0"/>
    <n v="0"/>
    <n v="-1.05345538669116E-2"/>
    <n v="0"/>
    <n v="0"/>
    <m/>
    <m/>
    <m/>
    <n v="19.914433104104518"/>
    <n v="0"/>
    <n v="0"/>
    <n v="-0.61200000000000188"/>
    <n v="0.35040000000000049"/>
    <n v="0"/>
    <n v="0"/>
    <n v="-0.8968909141730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6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34.805"/>
    <n v="34.805"/>
    <n v="34.805"/>
    <n v="34.805"/>
    <m/>
    <n v="451.48"/>
    <n v="144.41999999999999"/>
    <m/>
    <n v="20740.299500000001"/>
    <n v="20740.299500000001"/>
    <n v="20588.5497"/>
    <n v="0"/>
    <n v="0"/>
    <n v="0"/>
    <n v="0"/>
    <n v="0"/>
    <n v="3548.8449586983411"/>
    <n v="11552.03073647263"/>
    <n v="5026.6015714590649"/>
    <n v="0"/>
    <n v="0"/>
    <n v="0"/>
    <n v="0"/>
    <n v="0"/>
    <n v="0"/>
    <m/>
    <n v="50.63623489524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.39047748121357"/>
    <n v="0"/>
    <n v="3.2"/>
    <n v="14.8"/>
    <n v="1499.3"/>
    <n v="72"/>
    <m/>
    <m/>
    <m/>
    <m/>
    <m/>
    <m/>
    <m/>
    <n v="8235.2110499999999"/>
    <m/>
    <n v="5588.9920489402784"/>
    <m/>
    <m/>
    <m/>
    <m/>
    <m/>
    <m/>
    <m/>
    <m/>
    <m/>
    <m/>
    <m/>
    <m/>
    <n v="12355.113300000001"/>
    <n v="-89.096399999998539"/>
    <m/>
    <m/>
    <m/>
    <m/>
    <n v="-355.01100000000156"/>
    <n v="203.26120000000012"/>
    <n v="31"/>
    <n v="368.40764613868669"/>
    <n v="0"/>
    <n v="0"/>
    <n v="0"/>
    <n v="0"/>
    <n v="0"/>
    <n v="0"/>
    <n v="0"/>
    <n v="148.52395820428319"/>
    <n v="0"/>
    <n v="0"/>
    <n v="203.253974424224"/>
    <n v="0"/>
    <n v="0"/>
    <n v="0"/>
    <n v="22.740632632476718"/>
    <n v="0"/>
    <n v="0"/>
    <m/>
    <n v="0"/>
    <n v="0"/>
    <n v="0"/>
    <n v="0"/>
    <n v="0"/>
    <n v="-6.1109191222976378"/>
    <n v="0"/>
    <n v="0"/>
    <m/>
    <m/>
    <m/>
    <n v="11552.03073647263"/>
    <n v="0"/>
    <n v="0"/>
    <n v="-355.01100000000224"/>
    <n v="203.26119999999992"/>
    <n v="0"/>
    <n v="0"/>
    <n v="-520.27147112987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7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14000000000000001"/>
    <n v="0.14000000000000001"/>
    <n v="0.14000000000000001"/>
    <n v="0.14000000000000001"/>
    <m/>
    <n v="451.48"/>
    <n v="144.41999999999999"/>
    <m/>
    <n v="83.426000000000016"/>
    <n v="83.426000000000016"/>
    <n v="82.815600000000003"/>
    <n v="0"/>
    <n v="0"/>
    <n v="0"/>
    <n v="0"/>
    <n v="0"/>
    <n v="14.274911484492682"/>
    <n v="46.467010576243887"/>
    <n v="20.21905530826804"/>
    <n v="0"/>
    <n v="0"/>
    <n v="0"/>
    <n v="0"/>
    <n v="0"/>
    <n v="0"/>
    <m/>
    <n v="0.20367972662932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621654028837783"/>
    <n v="0"/>
    <n v="0"/>
    <n v="0"/>
    <n v="6.02"/>
    <n v="0"/>
    <m/>
    <m/>
    <m/>
    <m/>
    <m/>
    <m/>
    <m/>
    <n v="33.125399999999999"/>
    <m/>
    <n v="22.481220711151817"/>
    <m/>
    <m/>
    <m/>
    <m/>
    <m/>
    <m/>
    <m/>
    <m/>
    <m/>
    <m/>
    <m/>
    <m/>
    <n v="49.690199999999997"/>
    <n v="-0.39540000000000219"/>
    <m/>
    <m/>
    <m/>
    <m/>
    <n v="-1.4280000000000066"/>
    <n v="0.81760000000000055"/>
    <n v="31"/>
    <n v="1.4818868110735792"/>
    <n v="0"/>
    <n v="0"/>
    <n v="0"/>
    <n v="0"/>
    <n v="0"/>
    <n v="0"/>
    <n v="0"/>
    <n v="0.59742433985345933"/>
    <n v="0"/>
    <n v="0"/>
    <n v="0.81757093576760553"/>
    <n v="0"/>
    <n v="0"/>
    <n v="0"/>
    <n v="9.1472161141983754E-2"/>
    <n v="0"/>
    <n v="0"/>
    <m/>
    <n v="0"/>
    <n v="0"/>
    <n v="0"/>
    <n v="0"/>
    <n v="0"/>
    <n v="-2.45806256894604E-2"/>
    <n v="0"/>
    <n v="0"/>
    <m/>
    <m/>
    <m/>
    <n v="46.467010576243887"/>
    <n v="0"/>
    <n v="0"/>
    <n v="-1.4280000000000044"/>
    <n v="0.81759999999999877"/>
    <n v="0"/>
    <n v="0"/>
    <n v="-2.092745466403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8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37.328000000000003"/>
    <n v="37.328000000000003"/>
    <n v="37.328000000000003"/>
    <n v="37.328000000000003"/>
    <m/>
    <n v="451.48"/>
    <n v="144.41999999999999"/>
    <m/>
    <n v="22243.7552"/>
    <n v="22243.7552"/>
    <n v="22081.005119999998"/>
    <n v="0"/>
    <n v="0"/>
    <n v="0"/>
    <n v="0"/>
    <n v="0"/>
    <n v="3806.0992563795917"/>
    <n v="12389.432648500226"/>
    <n v="5390.9778324787812"/>
    <n v="0"/>
    <n v="0"/>
    <n v="0"/>
    <n v="0"/>
    <n v="0"/>
    <n v="0"/>
    <m/>
    <n v="54.306834540139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3.15792970604048"/>
    <n v="0"/>
    <n v="4.87"/>
    <n v="22.88"/>
    <n v="2993.46"/>
    <n v="262"/>
    <m/>
    <m/>
    <m/>
    <m/>
    <m/>
    <m/>
    <m/>
    <n v="2207.9511999999991"/>
    <m/>
    <n v="5994.1357621848219"/>
    <m/>
    <m/>
    <m/>
    <m/>
    <m/>
    <m/>
    <m/>
    <m/>
    <m/>
    <m/>
    <m/>
    <m/>
    <n v="19874.118699999999"/>
    <n v="-145.66426000000138"/>
    <m/>
    <m/>
    <m/>
    <m/>
    <n v="-380.74560000000173"/>
    <n v="217.99552000000014"/>
    <n v="31"/>
    <n v="395.11336345538984"/>
    <n v="0"/>
    <n v="0"/>
    <n v="0"/>
    <n v="0"/>
    <n v="0"/>
    <n v="0"/>
    <n v="0"/>
    <n v="159.29039827178531"/>
    <n v="0"/>
    <n v="0"/>
    <n v="217.9877706452362"/>
    <n v="0"/>
    <n v="0"/>
    <n v="0"/>
    <n v="24.38909165077132"/>
    <n v="0"/>
    <n v="0"/>
    <m/>
    <n v="0"/>
    <n v="0"/>
    <n v="0"/>
    <n v="0"/>
    <n v="0"/>
    <n v="-6.5538971124012733"/>
    <n v="0"/>
    <n v="0"/>
    <m/>
    <m/>
    <m/>
    <n v="12389.432648500226"/>
    <n v="0"/>
    <n v="0"/>
    <n v="-380.74560000000201"/>
    <n v="217.9955200000004"/>
    <n v="0"/>
    <n v="0"/>
    <n v="-557.98573407085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49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13200000000000001"/>
    <n v="0.13200000000000001"/>
    <n v="0.13200000000000001"/>
    <n v="0.13200000000000001"/>
    <m/>
    <n v="451.48"/>
    <n v="144.41999999999999"/>
    <m/>
    <n v="78.658800000000014"/>
    <n v="78.658800000000014"/>
    <n v="78.083280000000002"/>
    <n v="0"/>
    <n v="0"/>
    <n v="0"/>
    <n v="0"/>
    <n v="0"/>
    <n v="13.459202256807385"/>
    <n v="43.811752829029949"/>
    <n v="19.063680719224152"/>
    <n v="0"/>
    <n v="0"/>
    <n v="0"/>
    <n v="0"/>
    <n v="0"/>
    <n v="0"/>
    <m/>
    <n v="0.19204088510765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328988084332763"/>
    <n v="0"/>
    <n v="0"/>
    <n v="0"/>
    <n v="15.05"/>
    <n v="0"/>
    <m/>
    <m/>
    <m/>
    <m/>
    <m/>
    <m/>
    <m/>
    <n v="7.8077999999999967"/>
    <m/>
    <n v="21.196579527657427"/>
    <m/>
    <m/>
    <m/>
    <m/>
    <m/>
    <m/>
    <m/>
    <m/>
    <m/>
    <m/>
    <m/>
    <m/>
    <n v="69.210700000000003"/>
    <n v="-1.6135400000000004"/>
    <m/>
    <m/>
    <m/>
    <m/>
    <n v="-1.346400000000006"/>
    <n v="0.77088000000000045"/>
    <n v="31"/>
    <n v="1.3972075647265214"/>
    <n v="0"/>
    <n v="0"/>
    <n v="0"/>
    <n v="0"/>
    <n v="0"/>
    <n v="0"/>
    <n v="0"/>
    <n v="0.56328580614754742"/>
    <n v="0"/>
    <n v="0"/>
    <n v="0.7708525965808839"/>
    <n v="0"/>
    <n v="0"/>
    <n v="0"/>
    <n v="8.6245180505299501E-2"/>
    <n v="0"/>
    <n v="0"/>
    <m/>
    <n v="0"/>
    <n v="0"/>
    <n v="0"/>
    <n v="0"/>
    <n v="0"/>
    <n v="-2.317601850720552E-2"/>
    <n v="0"/>
    <n v="0"/>
    <m/>
    <m/>
    <m/>
    <n v="43.811752829029949"/>
    <n v="0"/>
    <n v="0"/>
    <n v="-1.3464000000000098"/>
    <n v="0.77087999999999823"/>
    <n v="0"/>
    <n v="0"/>
    <n v="-1.973160011180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0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8.992000000000001"/>
    <n v="18.992000000000001"/>
    <n v="18.992000000000001"/>
    <n v="18.992000000000001"/>
    <m/>
    <n v="451.48"/>
    <n v="144.41999999999999"/>
    <m/>
    <n v="11317.3328"/>
    <n v="11317.3328"/>
    <n v="11234.527679999999"/>
    <n v="0"/>
    <n v="0"/>
    <n v="0"/>
    <n v="0"/>
    <n v="0"/>
    <n v="1936.4937065248928"/>
    <n v="6303.581891885884"/>
    <n v="2742.85927439019"/>
    <n v="0"/>
    <n v="0"/>
    <n v="0"/>
    <n v="0"/>
    <n v="0"/>
    <n v="0"/>
    <m/>
    <n v="27.630609772458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.87889522549079"/>
    <n v="0"/>
    <n v="1.99"/>
    <n v="9.2200000000000006"/>
    <n v="2047.51"/>
    <n v="189"/>
    <m/>
    <m/>
    <m/>
    <m/>
    <m/>
    <m/>
    <m/>
    <m/>
    <m/>
    <n v="3049.7381696156808"/>
    <m/>
    <m/>
    <m/>
    <m/>
    <m/>
    <m/>
    <m/>
    <m/>
    <m/>
    <m/>
    <m/>
    <m/>
    <n v="11233.3446"/>
    <n v="-84.018200000000434"/>
    <m/>
    <m/>
    <m/>
    <m/>
    <n v="-193.71840000000088"/>
    <n v="110.91328000000007"/>
    <n v="31"/>
    <n v="201.02853082792626"/>
    <n v="0"/>
    <n v="0"/>
    <n v="0"/>
    <n v="0"/>
    <n v="0"/>
    <n v="0"/>
    <n v="0"/>
    <n v="81.044879017835001"/>
    <n v="0"/>
    <n v="0"/>
    <n v="110.90933722927366"/>
    <n v="0"/>
    <n v="0"/>
    <n v="0"/>
    <n v="12.408852031489744"/>
    <n v="0"/>
    <n v="0"/>
    <m/>
    <n v="0"/>
    <n v="0"/>
    <n v="0"/>
    <n v="0"/>
    <n v="0"/>
    <n v="-3.3345374506730856"/>
    <n v="0"/>
    <n v="0"/>
    <m/>
    <m/>
    <m/>
    <n v="6303.581891885884"/>
    <n v="0"/>
    <n v="0"/>
    <n v="-193.71840000000157"/>
    <n v="110.91328000000021"/>
    <n v="0"/>
    <n v="0"/>
    <n v="-283.8958706995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313"/>
    <n v="0.313"/>
    <n v="0.313"/>
    <n v="0.313"/>
    <m/>
    <n v="451.48"/>
    <n v="144.41999999999999"/>
    <m/>
    <n v="186.51670000000001"/>
    <n v="186.51670000000001"/>
    <n v="185.15201999999999"/>
    <n v="0"/>
    <n v="0"/>
    <n v="0"/>
    <n v="0"/>
    <n v="0"/>
    <n v="31.914623533187207"/>
    <n v="103.88695935974525"/>
    <n v="45.204030796342117"/>
    <n v="0"/>
    <n v="0"/>
    <n v="0"/>
    <n v="0"/>
    <n v="0"/>
    <n v="0"/>
    <m/>
    <n v="0.45536967453557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575555078758754"/>
    <n v="0"/>
    <n v="0"/>
    <n v="0"/>
    <n v="54.84"/>
    <n v="0"/>
    <m/>
    <m/>
    <m/>
    <m/>
    <m/>
    <m/>
    <m/>
    <m/>
    <m/>
    <n v="50.261586304217992"/>
    <m/>
    <m/>
    <m/>
    <m/>
    <m/>
    <m/>
    <m/>
    <m/>
    <m/>
    <m/>
    <m/>
    <m/>
    <n v="183.37739999999999"/>
    <n v="-3.1692999999999927"/>
    <m/>
    <m/>
    <m/>
    <m/>
    <n v="-3.1926000000000143"/>
    <n v="1.8279200000000011"/>
    <n v="31"/>
    <n v="3.3130755133287977"/>
    <n v="0"/>
    <n v="0"/>
    <n v="0"/>
    <n v="0"/>
    <n v="0"/>
    <n v="0"/>
    <n v="0"/>
    <n v="1.3356701312438055"/>
    <n v="0"/>
    <n v="0"/>
    <n v="1.827855020680424"/>
    <n v="0"/>
    <n v="0"/>
    <n v="0"/>
    <n v="0.20450561741029283"/>
    <n v="0"/>
    <n v="0"/>
    <m/>
    <n v="0"/>
    <n v="0"/>
    <n v="0"/>
    <n v="0"/>
    <n v="0"/>
    <n v="-5.4955256005722208E-2"/>
    <n v="0"/>
    <n v="0"/>
    <m/>
    <m/>
    <m/>
    <n v="103.88695935974525"/>
    <n v="0"/>
    <n v="0"/>
    <n v="-3.1926000000000272"/>
    <n v="1.827920000000006"/>
    <n v="0"/>
    <n v="0"/>
    <n v="-4.678780935602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2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353.32600000000002"/>
    <n v="353.32600000000002"/>
    <n v="353.32600000000002"/>
    <n v="353.32600000000002"/>
    <m/>
    <n v="522.37"/>
    <n v="144.41999999999999"/>
    <m/>
    <n v="235594.24354"/>
    <n v="235594.24354"/>
    <n v="230276.68724"/>
    <n v="0"/>
    <n v="21694.561046573734"/>
    <n v="0"/>
    <n v="0"/>
    <n v="0"/>
    <n v="36026.409822641865"/>
    <n v="117271.44984901389"/>
    <n v="51027.985256065098"/>
    <n v="0"/>
    <n v="0"/>
    <n v="0"/>
    <n v="0"/>
    <n v="0"/>
    <n v="3350.5041238425961"/>
    <m/>
    <n v="514.03816493595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09.1560938522416"/>
    <n v="0"/>
    <n v="25.91"/>
    <n v="119.1"/>
    <n v="42135.12"/>
    <n v="575"/>
    <m/>
    <m/>
    <m/>
    <m/>
    <m/>
    <m/>
    <m/>
    <m/>
    <m/>
    <n v="56737.141349917336"/>
    <m/>
    <m/>
    <m/>
    <m/>
    <m/>
    <m/>
    <m/>
    <m/>
    <m/>
    <m/>
    <m/>
    <m/>
    <n v="230279.2942"/>
    <n v="-5314.9793400000199"/>
    <m/>
    <m/>
    <m/>
    <m/>
    <n v="-7380.980139999996"/>
    <n v="2063.4238400000013"/>
    <n v="31"/>
    <n v="-33.911789754740312"/>
    <n v="0"/>
    <n v="0"/>
    <n v="0"/>
    <n v="0"/>
    <n v="0"/>
    <n v="0"/>
    <n v="0"/>
    <n v="1507.7539450218828"/>
    <n v="0"/>
    <n v="0"/>
    <n v="2063.3504889358883"/>
    <n v="0"/>
    <n v="0"/>
    <n v="0"/>
    <n v="230.8535200546612"/>
    <n v="0"/>
    <n v="-3332.959604290696"/>
    <m/>
    <n v="0"/>
    <n v="0"/>
    <n v="0"/>
    <n v="0"/>
    <n v="-440.87460981679078"/>
    <n v="-62.0355296596735"/>
    <n v="0"/>
    <n v="0"/>
    <m/>
    <m/>
    <m/>
    <n v="117271.44984901389"/>
    <n v="0"/>
    <n v="0"/>
    <n v="-7380.9801399999997"/>
    <n v="2063.4238399999958"/>
    <n v="0"/>
    <n v="0"/>
    <n v="-5281.5813190183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3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15.151"/>
    <n v="15.151"/>
    <n v="15.151"/>
    <n v="15.151"/>
    <m/>
    <n v="522.37"/>
    <n v="144.41999999999999"/>
    <m/>
    <n v="10102.53529"/>
    <n v="10102.53529"/>
    <n v="9874.5127400000001"/>
    <n v="0"/>
    <n v="930.28617881683942"/>
    <n v="0"/>
    <n v="0"/>
    <n v="0"/>
    <n v="1544.8513135824899"/>
    <n v="5028.7262660047927"/>
    <n v="2188.1350498254933"/>
    <n v="0"/>
    <n v="0"/>
    <n v="0"/>
    <n v="0"/>
    <n v="0"/>
    <n v="143.67323089820496"/>
    <m/>
    <n v="22.042510986863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81477156494373"/>
    <n v="0"/>
    <n v="0"/>
    <n v="0"/>
    <n v="4498.63"/>
    <n v="11"/>
    <m/>
    <m/>
    <m/>
    <m/>
    <m/>
    <m/>
    <m/>
    <m/>
    <m/>
    <n v="2432.9498213904371"/>
    <m/>
    <m/>
    <m/>
    <m/>
    <m/>
    <m/>
    <m/>
    <m/>
    <m/>
    <m/>
    <m/>
    <m/>
    <n v="9873.8610000000008"/>
    <n v="-228.70428999999967"/>
    <m/>
    <m/>
    <m/>
    <m/>
    <n v="-316.50438999999977"/>
    <n v="88.481840000000048"/>
    <n v="31"/>
    <n v="-1.4541741241046111"/>
    <n v="0"/>
    <n v="0"/>
    <n v="0"/>
    <n v="0"/>
    <n v="0"/>
    <n v="0"/>
    <n v="0"/>
    <n v="64.654115522284201"/>
    <n v="0"/>
    <n v="0"/>
    <n v="88.478694627249752"/>
    <n v="0"/>
    <n v="0"/>
    <n v="0"/>
    <n v="9.8992479533014262"/>
    <n v="0"/>
    <n v="-142.92090297517962"/>
    <m/>
    <n v="0"/>
    <n v="0"/>
    <n v="0"/>
    <n v="0"/>
    <n v="-18.905178824468592"/>
    <n v="-2.6601504272929581"/>
    <n v="0"/>
    <n v="0"/>
    <m/>
    <m/>
    <m/>
    <n v="5028.7262660047927"/>
    <n v="0"/>
    <n v="0"/>
    <n v="-316.50438999999915"/>
    <n v="88.48183999999992"/>
    <n v="0"/>
    <n v="0"/>
    <n v="-226.47990401059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4"/>
    <s v="PROJETADO"/>
    <s v="Azul"/>
    <s v="A4"/>
    <s v="Industrial"/>
    <s v="Não se aplica"/>
    <s v="Não se aplica"/>
    <s v="Não se aplica"/>
    <s v="Ponta"/>
    <s v="CATIVO"/>
    <x v="11"/>
    <n v="105"/>
    <n v="105"/>
    <n v="3.5680000000000001"/>
    <n v="3.5680000000000001"/>
    <n v="3.5680000000000001"/>
    <n v="3.5680000000000001"/>
    <n v="111"/>
    <n v="69.64"/>
    <n v="144.41999999999999"/>
    <n v="11655"/>
    <n v="763.76607999999987"/>
    <n v="12418.766079999999"/>
    <n v="12166.113519999999"/>
    <n v="0"/>
    <n v="190.59845190654616"/>
    <n v="0"/>
    <n v="0"/>
    <n v="0"/>
    <n v="3280.7576257730502"/>
    <n v="8373.8629100487578"/>
    <n v="515.29706671357405"/>
    <n v="0"/>
    <n v="0"/>
    <n v="0"/>
    <n v="0"/>
    <n v="0"/>
    <n v="33.834472169810269"/>
    <m/>
    <n v="1.7757408059101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59333346547681"/>
    <n v="0"/>
    <n v="0"/>
    <n v="0"/>
    <n v="0"/>
    <n v="0"/>
    <m/>
    <m/>
    <m/>
    <m/>
    <m/>
    <m/>
    <m/>
    <m/>
    <m/>
    <n v="537.55640006012175"/>
    <m/>
    <m/>
    <m/>
    <m/>
    <m/>
    <m/>
    <m/>
    <m/>
    <m/>
    <m/>
    <m/>
    <m/>
    <n v="12166.534799999999"/>
    <n v="-252.26128000000062"/>
    <m/>
    <m/>
    <m/>
    <m/>
    <n v="-273.48968000000065"/>
    <n v="20.837120000000013"/>
    <n v="31"/>
    <n v="125.09234311352384"/>
    <n v="0"/>
    <n v="0"/>
    <n v="0"/>
    <n v="0"/>
    <n v="0"/>
    <n v="0"/>
    <n v="0"/>
    <n v="137.30414096967797"/>
    <n v="0"/>
    <n v="0"/>
    <n v="20.83637927727716"/>
    <n v="0"/>
    <n v="0"/>
    <n v="0"/>
    <n v="0.90007093389053594"/>
    <n v="0"/>
    <n v="-29.281852694834129"/>
    <m/>
    <n v="0"/>
    <n v="0"/>
    <n v="0"/>
    <n v="0"/>
    <n v="-4.4520941222166215"/>
    <n v="-0.21430125027128222"/>
    <n v="0"/>
    <n v="0"/>
    <m/>
    <m/>
    <n v="8373.8629100487578"/>
    <n v="0"/>
    <n v="0"/>
    <n v="0"/>
    <n v="-273.48968000000059"/>
    <n v="20.837120000000027"/>
    <n v="0"/>
    <n v="0"/>
    <n v="-377.13559413377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5"/>
    <s v="PROJETADO"/>
    <s v="Azul"/>
    <s v="A4"/>
    <s v="Industrial"/>
    <s v="Não se aplica"/>
    <s v="Não se aplica"/>
    <s v="Não se aplica"/>
    <s v="Fora ponta"/>
    <s v="CATIVO"/>
    <x v="11"/>
    <n v="3995"/>
    <n v="3995"/>
    <n v="1469.89"/>
    <n v="1469.89"/>
    <n v="1469.89"/>
    <n v="1469.89"/>
    <n v="34.950000000000003"/>
    <n v="69.64"/>
    <n v="144.41999999999999"/>
    <n v="139625.25"/>
    <n v="314644.65340000001"/>
    <n v="454269.90339999995"/>
    <n v="447365.22959999996"/>
    <n v="0"/>
    <n v="78519.831410569837"/>
    <n v="0"/>
    <n v="0"/>
    <n v="0"/>
    <n v="50615.769148190811"/>
    <n v="89027.807930410243"/>
    <n v="212284.19433621506"/>
    <n v="0"/>
    <n v="0"/>
    <n v="0"/>
    <n v="0"/>
    <n v="0"/>
    <n v="13938.607706749555"/>
    <m/>
    <n v="731.54250369932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70.0592748758318"/>
    <n v="0"/>
    <n v="0"/>
    <n v="0"/>
    <n v="0"/>
    <n v="0"/>
    <m/>
    <m/>
    <m/>
    <m/>
    <m/>
    <m/>
    <m/>
    <m/>
    <m/>
    <n v="221454.25361109088"/>
    <m/>
    <m/>
    <m/>
    <m/>
    <m/>
    <m/>
    <m/>
    <m/>
    <m/>
    <m/>
    <m/>
    <m/>
    <n v="447365.22959999996"/>
    <n v="-6904.7038000000175"/>
    <m/>
    <m/>
    <m/>
    <m/>
    <n v="-15488.831400000021"/>
    <n v="8584.1576000000059"/>
    <n v="31"/>
    <n v="-2912.4911184743396"/>
    <n v="0"/>
    <n v="0"/>
    <n v="0"/>
    <n v="0"/>
    <n v="0"/>
    <n v="0"/>
    <n v="0"/>
    <n v="2118.3383520365242"/>
    <n v="0"/>
    <n v="0"/>
    <n v="8583.8524483960064"/>
    <n v="0"/>
    <n v="0"/>
    <n v="0"/>
    <n v="370.79743974673875"/>
    <n v="0"/>
    <n v="-12063.089253814396"/>
    <m/>
    <n v="0"/>
    <n v="0"/>
    <n v="0"/>
    <n v="0"/>
    <n v="-1834.1055575406335"/>
    <n v="-88.284547298557982"/>
    <n v="0"/>
    <n v="0"/>
    <m/>
    <m/>
    <n v="89027.807930410243"/>
    <n v="0"/>
    <n v="0"/>
    <n v="0"/>
    <n v="-15488.831400000025"/>
    <n v="8584.1576000000059"/>
    <n v="0"/>
    <n v="0"/>
    <n v="-4009.5659075059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6"/>
    <s v="PROJETAD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6348.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57"/>
    <s v="PROJETADO"/>
    <s v="Verde"/>
    <s v="A4"/>
    <s v="Industrial"/>
    <s v="Não se aplica"/>
    <s v="Não se aplica"/>
    <s v="Não se aplica"/>
    <s v="Ponta"/>
    <s v="CATIVO"/>
    <x v="11"/>
    <n v="0"/>
    <n v="0"/>
    <n v="116.777"/>
    <n v="116.777"/>
    <n v="116.777"/>
    <n v="116.777"/>
    <m/>
    <n v="2740.31"/>
    <n v="144.41999999999999"/>
    <m/>
    <n v="336870.11520999996"/>
    <n v="336870.11520999996"/>
    <n v="330060.84833999997"/>
    <n v="0"/>
    <n v="6238.0928862922483"/>
    <n v="0"/>
    <n v="0"/>
    <n v="0"/>
    <n v="87893.705342586487"/>
    <n v="223979.16953426701"/>
    <n v="16865.147298097261"/>
    <n v="0"/>
    <n v="0"/>
    <n v="0"/>
    <n v="0"/>
    <n v="0"/>
    <n v="1107.3677568873131"/>
    <m/>
    <n v="58.1181850032972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8.52527191978652"/>
    <n v="0"/>
    <n v="0"/>
    <n v="0"/>
    <n v="0"/>
    <n v="0"/>
    <m/>
    <m/>
    <m/>
    <m/>
    <m/>
    <m/>
    <m/>
    <m/>
    <m/>
    <n v="17593.672570017046"/>
    <m/>
    <m/>
    <m/>
    <m/>
    <m/>
    <m/>
    <m/>
    <m/>
    <m/>
    <m/>
    <m/>
    <m/>
    <n v="330069.32759999996"/>
    <n v="-6800.8176100000273"/>
    <m/>
    <m/>
    <m/>
    <m/>
    <n v="-7491.2445500000103"/>
    <n v="681.97768000000042"/>
    <n v="31"/>
    <n v="3278.790681694154"/>
    <n v="0"/>
    <n v="0"/>
    <n v="0"/>
    <n v="0"/>
    <n v="0"/>
    <n v="0"/>
    <n v="0"/>
    <n v="3678.4703673018084"/>
    <n v="0"/>
    <n v="0"/>
    <n v="681.95343690095251"/>
    <n v="0"/>
    <n v="0"/>
    <n v="0"/>
    <n v="29.45840343243708"/>
    <n v="0"/>
    <n v="-958.36516595982175"/>
    <m/>
    <n v="0"/>
    <n v="0"/>
    <n v="0"/>
    <n v="0"/>
    <n v="-145.71249868556333"/>
    <n v="-7.0138612956641069"/>
    <n v="0"/>
    <n v="0"/>
    <m/>
    <m/>
    <m/>
    <n v="223979.16953426701"/>
    <n v="0"/>
    <n v="0"/>
    <n v="-7491.2445500000031"/>
    <n v="681.97767999999996"/>
    <n v="0"/>
    <n v="0"/>
    <n v="-10087.4014876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8"/>
    <s v="PROJETADO"/>
    <s v="Verde"/>
    <s v="A4"/>
    <s v="Industrial"/>
    <s v="Não se aplica"/>
    <s v="Não se aplica"/>
    <s v="Não se aplica"/>
    <s v="Ponta"/>
    <s v="CATIVO"/>
    <x v="11"/>
    <n v="0"/>
    <n v="0"/>
    <n v="0.27500000000000002"/>
    <n v="0.27500000000000002"/>
    <n v="0.27500000000000002"/>
    <n v="0.27500000000000002"/>
    <m/>
    <n v="2740.31"/>
    <n v="144.41999999999999"/>
    <m/>
    <n v="793.30075000000011"/>
    <n v="793.30075000000011"/>
    <n v="777.26550000000009"/>
    <n v="0"/>
    <n v="14.690183372841984"/>
    <n v="0"/>
    <n v="0"/>
    <n v="0"/>
    <n v="206.98227364302292"/>
    <n v="527.45208064878727"/>
    <n v="39.716001498383648"/>
    <n v="0"/>
    <n v="0"/>
    <n v="0"/>
    <n v="0"/>
    <n v="0"/>
    <n v="2.6077578045677758"/>
    <m/>
    <n v="0.13686343094878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56156587165394"/>
    <n v="0"/>
    <n v="0"/>
    <n v="0"/>
    <n v="0"/>
    <n v="0"/>
    <m/>
    <m/>
    <m/>
    <m/>
    <m/>
    <m/>
    <m/>
    <m/>
    <m/>
    <n v="41.431617157100185"/>
    <m/>
    <m/>
    <m/>
    <m/>
    <m/>
    <m/>
    <m/>
    <m/>
    <m/>
    <m/>
    <m/>
    <m/>
    <n v="791.39760000000001"/>
    <n v="-1.9331500000000688"/>
    <m/>
    <m/>
    <m/>
    <m/>
    <n v="-17.641250000000028"/>
    <n v="1.606000000000001"/>
    <n v="31"/>
    <n v="7.7212759144856591"/>
    <n v="0"/>
    <n v="0"/>
    <n v="0"/>
    <n v="0"/>
    <n v="0"/>
    <n v="0"/>
    <n v="0"/>
    <n v="8.6624879129280146"/>
    <n v="0"/>
    <n v="0"/>
    <n v="1.6059429095435078"/>
    <n v="0"/>
    <n v="0"/>
    <n v="0"/>
    <n v="6.9372059086294291E-2"/>
    <n v="0"/>
    <n v="-2.2568692519841331"/>
    <m/>
    <n v="0"/>
    <n v="0"/>
    <n v="0"/>
    <n v="0"/>
    <n v="-0.34314066244662822"/>
    <n v="-1.6517052641424487E-2"/>
    <n v="0"/>
    <n v="0"/>
    <m/>
    <m/>
    <m/>
    <n v="527.45208064878727"/>
    <n v="0"/>
    <n v="0"/>
    <n v="-17.641250000000014"/>
    <n v="1.6060000000000016"/>
    <n v="0"/>
    <n v="0"/>
    <n v="-23.754980938829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59"/>
    <s v="PROJETADO"/>
    <s v="Verde"/>
    <s v="A4"/>
    <s v="Industrial"/>
    <s v="Não se aplica"/>
    <s v="Não se aplica"/>
    <s v="Não se aplica"/>
    <s v="Fora ponta"/>
    <s v="CATIVO"/>
    <x v="11"/>
    <n v="0"/>
    <n v="0"/>
    <n v="5803.6809999999996"/>
    <n v="5803.6809999999996"/>
    <n v="5803.6809999999996"/>
    <n v="5803.6809999999996"/>
    <m/>
    <n v="69.64"/>
    <n v="144.41999999999999"/>
    <m/>
    <n v="1242335.9548599999"/>
    <n v="1242335.9548599999"/>
    <n v="1222487.3658399999"/>
    <n v="0"/>
    <n v="310025.95682719612"/>
    <n v="0"/>
    <n v="0"/>
    <n v="0"/>
    <n v="0"/>
    <n v="0"/>
    <n v="838178.19378960249"/>
    <n v="0"/>
    <n v="0"/>
    <n v="0"/>
    <n v="0"/>
    <n v="0"/>
    <n v="55034.888810806224"/>
    <m/>
    <n v="2888.4061592447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06.858188347862"/>
    <n v="0"/>
    <n v="0"/>
    <n v="0"/>
    <n v="0"/>
    <n v="0"/>
    <m/>
    <m/>
    <m/>
    <m/>
    <m/>
    <m/>
    <m/>
    <m/>
    <m/>
    <n v="874385.05197795038"/>
    <m/>
    <m/>
    <m/>
    <m/>
    <m/>
    <m/>
    <m/>
    <m/>
    <m/>
    <m/>
    <m/>
    <m/>
    <n v="1222487.1552000002"/>
    <n v="-19848.829659999814"/>
    <m/>
    <m/>
    <m/>
    <m/>
    <n v="-53742.086059999987"/>
    <n v="33893.497040000017"/>
    <n v="31"/>
    <n v="-19863.615244843764"/>
    <n v="0"/>
    <n v="0"/>
    <n v="0"/>
    <n v="0"/>
    <n v="0"/>
    <n v="0"/>
    <n v="0"/>
    <n v="0"/>
    <n v="0"/>
    <n v="0"/>
    <n v="33892.292186190374"/>
    <n v="0"/>
    <n v="0"/>
    <n v="0"/>
    <n v="1464.0483681818296"/>
    <n v="0"/>
    <n v="-47629.633444452833"/>
    <m/>
    <n v="0"/>
    <n v="0"/>
    <n v="0"/>
    <n v="0"/>
    <n v="-7241.741610796038"/>
    <n v="-348.58074396740039"/>
    <n v="0"/>
    <n v="0"/>
    <m/>
    <m/>
    <m/>
    <n v="0"/>
    <n v="0"/>
    <n v="0"/>
    <n v="-53742.086060000001"/>
    <n v="33893.49703999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0"/>
    <s v="PROJETADO"/>
    <s v="Verde"/>
    <s v="A4"/>
    <s v="Industrial"/>
    <s v="Não se aplica"/>
    <s v="Não se aplica"/>
    <s v="Não se aplica"/>
    <s v="Fora ponta"/>
    <s v="CATIVO"/>
    <x v="11"/>
    <n v="0"/>
    <n v="0"/>
    <n v="6.0250000000000004"/>
    <n v="6.0250000000000004"/>
    <n v="6.0250000000000004"/>
    <n v="6.0250000000000004"/>
    <m/>
    <n v="69.64"/>
    <n v="144.41999999999999"/>
    <m/>
    <n v="1289.7114999999999"/>
    <n v="1289.7114999999999"/>
    <n v="1269.106"/>
    <n v="0"/>
    <n v="321.84856298681075"/>
    <n v="0"/>
    <n v="0"/>
    <n v="0"/>
    <n v="0"/>
    <n v="0"/>
    <n v="870.14148737367816"/>
    <n v="0"/>
    <n v="0"/>
    <n v="0"/>
    <n v="0"/>
    <n v="0"/>
    <n v="57.133602809166725"/>
    <m/>
    <n v="2.9985533507871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587579431880542"/>
    <n v="0"/>
    <n v="0"/>
    <n v="0"/>
    <n v="0"/>
    <n v="0"/>
    <m/>
    <m/>
    <m/>
    <m/>
    <m/>
    <m/>
    <m/>
    <m/>
    <m/>
    <n v="907.72906680555866"/>
    <m/>
    <m/>
    <m/>
    <m/>
    <m/>
    <m/>
    <m/>
    <m/>
    <m/>
    <m/>
    <m/>
    <m/>
    <n v="1270.1592000000001"/>
    <n v="-19.582299999999805"/>
    <m/>
    <m/>
    <m/>
    <m/>
    <n v="-55.791499999999992"/>
    <n v="35.186000000000021"/>
    <n v="31"/>
    <n v="-20.621099238601573"/>
    <n v="0"/>
    <n v="0"/>
    <n v="0"/>
    <n v="0"/>
    <n v="0"/>
    <n v="0"/>
    <n v="0"/>
    <n v="0"/>
    <n v="0"/>
    <n v="0"/>
    <n v="35.184749199998578"/>
    <n v="0"/>
    <n v="0"/>
    <n v="0"/>
    <n v="1.519878749072447"/>
    <n v="0"/>
    <n v="-49.445953611652385"/>
    <m/>
    <n v="0"/>
    <n v="0"/>
    <n v="0"/>
    <n v="0"/>
    <n v="-7.5178999681488605"/>
    <n v="-0.36187360787120948"/>
    <n v="0"/>
    <n v="0"/>
    <m/>
    <m/>
    <m/>
    <n v="0"/>
    <n v="0"/>
    <n v="0"/>
    <n v="-55.791499999999985"/>
    <n v="35.18600000000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1"/>
    <s v="PROJETADO"/>
    <s v="Verde"/>
    <s v="A4"/>
    <s v="Industrial"/>
    <s v="Não se aplica"/>
    <s v="Não se aplica"/>
    <s v="Não se aplica"/>
    <s v="Não se aplica"/>
    <s v="CATIVO"/>
    <x v="11"/>
    <n v="21750"/>
    <n v="21750"/>
    <n v="0"/>
    <n v="0"/>
    <n v="0"/>
    <n v="0"/>
    <n v="34.950000000000003"/>
    <m/>
    <m/>
    <n v="760162.50000000012"/>
    <m/>
    <n v="760162.50000000012"/>
    <n v="749939.99999999988"/>
    <n v="0"/>
    <n v="0"/>
    <n v="0"/>
    <n v="0"/>
    <n v="0"/>
    <n v="275567.70437375474"/>
    <n v="484694.573838904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.73"/>
    <n v="317.22000000000003"/>
    <n v="441709.32"/>
    <n v="71"/>
    <m/>
    <m/>
    <m/>
    <m/>
    <m/>
    <m/>
    <m/>
    <m/>
    <m/>
    <n v="0"/>
    <m/>
    <m/>
    <m/>
    <m/>
    <m/>
    <m/>
    <m/>
    <m/>
    <m/>
    <m/>
    <m/>
    <m/>
    <n v="749939.99999999988"/>
    <n v="-10222.530000000261"/>
    <m/>
    <m/>
    <m/>
    <m/>
    <n v="-10222.500000000129"/>
    <n v="0"/>
    <n v="31"/>
    <n v="11532.880890311499"/>
    <n v="0"/>
    <n v="0"/>
    <n v="0"/>
    <n v="0"/>
    <m/>
    <m/>
    <m/>
    <n v="11532.8808903114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4694.57383890427"/>
    <m/>
    <n v="0"/>
    <n v="0"/>
    <n v="-10222.500000000233"/>
    <m/>
    <n v="0"/>
    <m/>
    <n v="-21829.301248624106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62"/>
    <s v="PROJETADO"/>
    <s v="Verde"/>
    <s v="A4"/>
    <s v="Industrial"/>
    <s v="Não se aplica"/>
    <s v="Não se aplica"/>
    <s v="Não se aplica"/>
    <s v="Não se aplica"/>
    <s v="CATIVO"/>
    <x v="11"/>
    <n v="130"/>
    <n v="130"/>
    <n v="0"/>
    <n v="0"/>
    <n v="0"/>
    <n v="0"/>
    <n v="34.950000000000003"/>
    <m/>
    <m/>
    <n v="4543.5"/>
    <m/>
    <n v="4543.5"/>
    <n v="4482.3999999999996"/>
    <n v="0"/>
    <n v="0"/>
    <n v="0"/>
    <n v="0"/>
    <n v="0"/>
    <n v="1647.07133648681"/>
    <n v="2897.02503903712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5.55"/>
    <n v="1"/>
    <m/>
    <m/>
    <m/>
    <m/>
    <m/>
    <m/>
    <m/>
    <m/>
    <m/>
    <n v="0"/>
    <m/>
    <m/>
    <m/>
    <m/>
    <m/>
    <m/>
    <m/>
    <m/>
    <m/>
    <m/>
    <m/>
    <m/>
    <n v="4482.3999999999996"/>
    <n v="-61.130000000001019"/>
    <m/>
    <m/>
    <m/>
    <m/>
    <n v="-61.100000000000776"/>
    <n v="0"/>
    <n v="31"/>
    <n v="68.932161643240988"/>
    <n v="0"/>
    <n v="0"/>
    <n v="0"/>
    <n v="0"/>
    <m/>
    <m/>
    <m/>
    <n v="68.9321616432409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97.0250390371293"/>
    <m/>
    <n v="0"/>
    <n v="0"/>
    <n v="-61.100000000000364"/>
    <m/>
    <n v="0"/>
    <m/>
    <n v="-130.47398447453543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63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632.80499999999995"/>
    <n v="632.80499999999995"/>
    <n v="632.80499999999995"/>
    <n v="632.80499999999995"/>
    <m/>
    <n v="522.37"/>
    <n v="144.41999999999999"/>
    <m/>
    <n v="421948.04594999994"/>
    <n v="421948.04594999994"/>
    <n v="412424.33069999999"/>
    <n v="0"/>
    <n v="38854.844260193393"/>
    <n v="0"/>
    <n v="0"/>
    <n v="0"/>
    <n v="64523.109728174211"/>
    <n v="210032.54734071434"/>
    <n v="91390.852102489676"/>
    <n v="0"/>
    <n v="0"/>
    <n v="0"/>
    <n v="0"/>
    <n v="0"/>
    <n v="6000.73519098004"/>
    <m/>
    <n v="920.63963864051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25.068412656206"/>
    <n v="0"/>
    <n v="188.13"/>
    <n v="868.12"/>
    <n v="75335.210000000006"/>
    <n v="1216"/>
    <m/>
    <m/>
    <m/>
    <m/>
    <m/>
    <m/>
    <m/>
    <m/>
    <m/>
    <n v="101615.92051514589"/>
    <m/>
    <m/>
    <m/>
    <m/>
    <m/>
    <m/>
    <m/>
    <m/>
    <m/>
    <m/>
    <m/>
    <m/>
    <n v="412427.5894"/>
    <n v="-9520.4865499999723"/>
    <m/>
    <m/>
    <m/>
    <m/>
    <n v="-13219.296449999991"/>
    <n v="3695.5812000000019"/>
    <n v="31"/>
    <n v="-60.735836354375351"/>
    <n v="0"/>
    <n v="0"/>
    <n v="0"/>
    <n v="0"/>
    <n v="0"/>
    <n v="0"/>
    <n v="0"/>
    <n v="2700.379352721211"/>
    <n v="0"/>
    <n v="0"/>
    <n v="3695.4498286315647"/>
    <n v="0"/>
    <n v="0"/>
    <n v="0"/>
    <n v="413.45743522466728"/>
    <n v="0"/>
    <n v="-5969.3130491194388"/>
    <m/>
    <n v="0"/>
    <n v="0"/>
    <n v="0"/>
    <n v="0"/>
    <n v="-789.60409781650378"/>
    <n v="-111.1053059958499"/>
    <n v="0"/>
    <n v="0"/>
    <m/>
    <m/>
    <m/>
    <n v="210032.54734071434"/>
    <n v="0"/>
    <n v="0"/>
    <n v="-13219.296449999965"/>
    <n v="3695.5812000000005"/>
    <n v="0"/>
    <n v="0"/>
    <n v="-9459.2842490545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4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42.026000000000003"/>
    <n v="42.026000000000003"/>
    <n v="42.026000000000003"/>
    <n v="42.026000000000003"/>
    <m/>
    <n v="522.37"/>
    <n v="144.41999999999999"/>
    <m/>
    <n v="28022.516540000001"/>
    <n v="28022.516540000001"/>
    <n v="27390.025240000003"/>
    <n v="0"/>
    <n v="2580.4373936345123"/>
    <n v="0"/>
    <n v="0"/>
    <n v="0"/>
    <n v="4285.1245003377817"/>
    <n v="13948.732760551611"/>
    <n v="6069.4715598948051"/>
    <n v="0"/>
    <n v="0"/>
    <n v="0"/>
    <n v="0"/>
    <n v="0"/>
    <n v="398.52228907187396"/>
    <m/>
    <n v="61.141744223744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9.06973729709762"/>
    <n v="0"/>
    <n v="0.39"/>
    <n v="1.81"/>
    <n v="8913.24"/>
    <n v="51"/>
    <m/>
    <m/>
    <m/>
    <m/>
    <m/>
    <m/>
    <m/>
    <m/>
    <m/>
    <n v="6748.5412971919031"/>
    <m/>
    <m/>
    <m/>
    <m/>
    <m/>
    <m/>
    <m/>
    <m/>
    <m/>
    <m/>
    <m/>
    <m/>
    <n v="27392.6322"/>
    <n v="-629.91433999999572"/>
    <m/>
    <m/>
    <m/>
    <m/>
    <n v="-877.92313999999953"/>
    <n v="245.43184000000016"/>
    <n v="31"/>
    <n v="-4.0336031773240393"/>
    <n v="0"/>
    <n v="0"/>
    <n v="0"/>
    <n v="0"/>
    <n v="0"/>
    <n v="0"/>
    <n v="0"/>
    <n v="179.33825219058235"/>
    <n v="0"/>
    <n v="0"/>
    <n v="245.42311533263728"/>
    <n v="0"/>
    <n v="0"/>
    <n v="0"/>
    <n v="27.458636029664376"/>
    <n v="0"/>
    <n v="-396.43547412282351"/>
    <m/>
    <n v="0"/>
    <n v="0"/>
    <n v="0"/>
    <n v="0"/>
    <n v="-52.439379927207256"/>
    <n v="-7.3787526801804475"/>
    <n v="0"/>
    <n v="0"/>
    <m/>
    <m/>
    <m/>
    <n v="13948.732760551611"/>
    <n v="0"/>
    <n v="0"/>
    <n v="-877.92313999999897"/>
    <n v="245.43184000000019"/>
    <n v="0"/>
    <n v="0"/>
    <n v="-628.2122926506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5"/>
    <s v="PROJETADO"/>
    <s v="Verde"/>
    <s v="A4"/>
    <s v="Comercial"/>
    <s v="Não se aplica"/>
    <s v="Não se aplica"/>
    <s v="Não se aplica"/>
    <s v="Ponta"/>
    <s v="CATIVO"/>
    <x v="11"/>
    <n v="0"/>
    <n v="0"/>
    <n v="6.944"/>
    <n v="6.944"/>
    <n v="6.944"/>
    <n v="6.944"/>
    <m/>
    <n v="2740.31"/>
    <n v="144.41999999999999"/>
    <m/>
    <n v="20031.565119999999"/>
    <n v="20031.565119999999"/>
    <n v="19626.660479999999"/>
    <n v="0"/>
    <n v="370.9404848764172"/>
    <n v="0"/>
    <n v="0"/>
    <n v="0"/>
    <n v="5226.4905751896404"/>
    <n v="13318.644538273378"/>
    <n v="1002.8651432900947"/>
    <n v="0"/>
    <n v="0"/>
    <n v="0"/>
    <n v="0"/>
    <n v="0"/>
    <n v="65.84825525424958"/>
    <m/>
    <n v="3.455926052757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320855033191449"/>
    <n v="0"/>
    <n v="0"/>
    <n v="0"/>
    <n v="0"/>
    <n v="0"/>
    <m/>
    <m/>
    <m/>
    <m/>
    <m/>
    <m/>
    <m/>
    <m/>
    <m/>
    <n v="1046.1859983232862"/>
    <m/>
    <m/>
    <m/>
    <m/>
    <m/>
    <m/>
    <m/>
    <m/>
    <m/>
    <m/>
    <m/>
    <m/>
    <n v="19615.354800000001"/>
    <n v="-416.24031999999352"/>
    <m/>
    <m/>
    <m/>
    <m/>
    <n v="-445.45760000000064"/>
    <n v="40.55296000000002"/>
    <n v="31"/>
    <n v="194.96923618250185"/>
    <n v="0"/>
    <n v="0"/>
    <n v="0"/>
    <n v="0"/>
    <n v="0"/>
    <n v="0"/>
    <n v="0"/>
    <n v="218.73569479044363"/>
    <n v="0"/>
    <n v="0"/>
    <n v="40.551518414073144"/>
    <n v="0"/>
    <n v="0"/>
    <n v="0"/>
    <n v="1.751707557437193"/>
    <n v="0"/>
    <n v="-56.988000311919336"/>
    <m/>
    <n v="0"/>
    <n v="0"/>
    <n v="0"/>
    <n v="0"/>
    <n v="-8.6646136728341361"/>
    <n v="-0.41707059469836993"/>
    <n v="0"/>
    <n v="0"/>
    <m/>
    <m/>
    <m/>
    <n v="13318.644538273378"/>
    <n v="0"/>
    <n v="0"/>
    <n v="-445.45759999999791"/>
    <n v="40.552960000000098"/>
    <n v="0"/>
    <n v="0"/>
    <n v="-599.8348641426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6"/>
    <s v="PROJETADO"/>
    <s v="Verde"/>
    <s v="A4"/>
    <s v="Comercial"/>
    <s v="Não se aplica"/>
    <s v="Não se aplica"/>
    <s v="Não se aplica"/>
    <s v="Fora ponta"/>
    <s v="CATIVO"/>
    <x v="11"/>
    <n v="0"/>
    <n v="0"/>
    <n v="401.84199999999998"/>
    <n v="401.84199999999998"/>
    <n v="401.84199999999998"/>
    <n v="401.84199999999998"/>
    <m/>
    <n v="69.64"/>
    <n v="144.41999999999999"/>
    <m/>
    <n v="86018.298519999982"/>
    <n v="86018.298519999982"/>
    <n v="84643.998879999999"/>
    <n v="0"/>
    <n v="21465.936970580246"/>
    <n v="0"/>
    <n v="0"/>
    <n v="0"/>
    <n v="0"/>
    <n v="0"/>
    <n v="58034.754451321751"/>
    <n v="0"/>
    <n v="0"/>
    <n v="0"/>
    <n v="0"/>
    <n v="0"/>
    <n v="3810.569497102269"/>
    <m/>
    <n v="199.99081752481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6.932463745351"/>
    <n v="0"/>
    <n v="0"/>
    <n v="0"/>
    <n v="0"/>
    <n v="0"/>
    <m/>
    <m/>
    <m/>
    <m/>
    <m/>
    <m/>
    <m/>
    <m/>
    <m/>
    <n v="60541.686915067105"/>
    <m/>
    <m/>
    <m/>
    <m/>
    <m/>
    <m/>
    <m/>
    <m/>
    <m/>
    <m/>
    <m/>
    <m/>
    <n v="84643.57759999999"/>
    <n v="-1374.7509199999913"/>
    <m/>
    <m/>
    <m/>
    <m/>
    <n v="-3721.0569199999991"/>
    <n v="2346.7572800000012"/>
    <n v="31"/>
    <n v="-1375.3400431930495"/>
    <n v="0"/>
    <n v="0"/>
    <n v="0"/>
    <n v="0"/>
    <n v="0"/>
    <n v="0"/>
    <n v="0"/>
    <n v="0"/>
    <n v="0"/>
    <n v="0"/>
    <n v="2346.6738569337467"/>
    <n v="0"/>
    <n v="0"/>
    <n v="0"/>
    <n v="101.36947988128986"/>
    <n v="0"/>
    <n v="-3297.8358325665722"/>
    <m/>
    <n v="0"/>
    <n v="0"/>
    <n v="0"/>
    <n v="0"/>
    <n v="-501.41210937773803"/>
    <n v="-24.135438063764724"/>
    <n v="0"/>
    <n v="0"/>
    <m/>
    <m/>
    <m/>
    <n v="0"/>
    <n v="0"/>
    <n v="0"/>
    <n v="-3721.0569199999991"/>
    <n v="2346.757280000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7"/>
    <s v="PROJETADO"/>
    <s v="Verde"/>
    <s v="A4"/>
    <s v="Comercial"/>
    <s v="Não se aplica"/>
    <s v="Não se aplica"/>
    <s v="Não se aplica"/>
    <s v="Não se aplica"/>
    <s v="CATIVO"/>
    <x v="11"/>
    <n v="1909"/>
    <n v="1909"/>
    <n v="0"/>
    <n v="0"/>
    <n v="0"/>
    <n v="0"/>
    <n v="34.950000000000003"/>
    <m/>
    <m/>
    <n v="66719.55"/>
    <m/>
    <n v="66719.55"/>
    <n v="65822.319999999992"/>
    <n v="0"/>
    <n v="0"/>
    <n v="0"/>
    <n v="0"/>
    <n v="0"/>
    <n v="24186.609087333232"/>
    <n v="42541.698457860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830.6"/>
    <n v="14"/>
    <m/>
    <m/>
    <m/>
    <m/>
    <m/>
    <m/>
    <m/>
    <m/>
    <m/>
    <n v="0"/>
    <m/>
    <m/>
    <m/>
    <m/>
    <m/>
    <m/>
    <m/>
    <m/>
    <m/>
    <m/>
    <m/>
    <m/>
    <n v="65822.319999999992"/>
    <n v="-897.25999999999476"/>
    <m/>
    <m/>
    <m/>
    <m/>
    <n v="-897.23000000001139"/>
    <n v="0"/>
    <n v="31"/>
    <n v="1012.2422813611302"/>
    <n v="0"/>
    <n v="0"/>
    <n v="0"/>
    <n v="0"/>
    <m/>
    <m/>
    <m/>
    <n v="1012.24228136113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541.698457860613"/>
    <m/>
    <n v="0"/>
    <n v="0"/>
    <n v="-897.23000000001048"/>
    <m/>
    <n v="0"/>
    <m/>
    <n v="-1915.9602797068292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68"/>
    <s v="PROJETADO"/>
    <s v="Branca"/>
    <s v="B3"/>
    <s v="Comercial"/>
    <s v="Não se aplica"/>
    <s v="Não se aplica"/>
    <s v="Não se aplica"/>
    <s v="Ponta"/>
    <s v="CATIVO"/>
    <x v="11"/>
    <n v="0"/>
    <n v="0"/>
    <n v="7.6999999999999999E-2"/>
    <n v="7.6999999999999999E-2"/>
    <n v="7.6999999999999999E-2"/>
    <n v="7.6999999999999999E-2"/>
    <m/>
    <n v="1585.55"/>
    <n v="144.41999999999999"/>
    <m/>
    <n v="133.20769000000001"/>
    <n v="133.20769000000001"/>
    <n v="130.03529"/>
    <n v="0"/>
    <n v="4.727875108500867"/>
    <n v="0"/>
    <n v="0"/>
    <n v="0"/>
    <n v="27.102168534906539"/>
    <n v="88.171091871878403"/>
    <n v="11.120480419547421"/>
    <n v="0"/>
    <n v="0"/>
    <n v="0"/>
    <n v="0"/>
    <n v="0"/>
    <n v="0.7301721852789772"/>
    <m/>
    <n v="0.11202384964613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441909715860779"/>
    <n v="0"/>
    <n v="0"/>
    <n v="0"/>
    <n v="0"/>
    <n v="0"/>
    <m/>
    <m/>
    <m/>
    <m/>
    <m/>
    <m/>
    <m/>
    <m/>
    <m/>
    <n v="12.364671391133498"/>
    <m/>
    <m/>
    <m/>
    <m/>
    <m/>
    <m/>
    <m/>
    <m/>
    <m/>
    <m/>
    <m/>
    <m/>
    <n v="135.10159999999999"/>
    <n v="1.8639100000000042"/>
    <m/>
    <m/>
    <m/>
    <m/>
    <n v="-3.6220799999999973"/>
    <n v="0.44968000000000025"/>
    <n v="31"/>
    <n v="0.79828863387430005"/>
    <n v="0"/>
    <n v="0"/>
    <n v="0"/>
    <n v="0"/>
    <n v="0"/>
    <n v="0"/>
    <n v="0"/>
    <n v="1.1342623849647921"/>
    <n v="0"/>
    <n v="0"/>
    <n v="0.44966401467218198"/>
    <n v="0"/>
    <n v="0"/>
    <n v="0"/>
    <n v="5.0309688628091154E-2"/>
    <n v="0"/>
    <n v="-0.72634872477650525"/>
    <m/>
    <n v="0"/>
    <n v="0"/>
    <n v="0"/>
    <n v="0"/>
    <n v="-9.6079385485056013E-2"/>
    <n v="-1.351934412920322E-2"/>
    <n v="0"/>
    <n v="0"/>
    <m/>
    <m/>
    <m/>
    <n v="88.171091871878403"/>
    <n v="0"/>
    <n v="0"/>
    <n v="-3.6220799999999969"/>
    <n v="0.44968000000000075"/>
    <n v="0"/>
    <n v="0"/>
    <n v="-3.9709817888971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69"/>
    <s v="PROJETADO"/>
    <s v="Branca"/>
    <s v="B3"/>
    <s v="Comercial"/>
    <s v="Não se aplica"/>
    <s v="Não se aplica"/>
    <s v="Não se aplica"/>
    <s v="Fora ponta"/>
    <s v="CATIVO"/>
    <x v="11"/>
    <n v="0"/>
    <n v="0"/>
    <n v="3.302"/>
    <n v="3.302"/>
    <n v="3.302"/>
    <n v="3.302"/>
    <m/>
    <n v="387.88"/>
    <n v="144.41999999999999"/>
    <m/>
    <n v="1757.6545999999998"/>
    <n v="1757.6545999999998"/>
    <n v="1718.9221399999999"/>
    <n v="0"/>
    <n v="202.74602088662161"/>
    <n v="0"/>
    <n v="0"/>
    <n v="0"/>
    <n v="232.34521228769128"/>
    <n v="756.2103811706063"/>
    <n v="476.88086162786476"/>
    <n v="0"/>
    <n v="0"/>
    <n v="0"/>
    <n v="0"/>
    <n v="0"/>
    <n v="31.312059166119255"/>
    <m/>
    <n v="4.803931838071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354786859444538"/>
    <n v="0"/>
    <n v="0"/>
    <n v="0"/>
    <n v="0"/>
    <n v="0"/>
    <m/>
    <m/>
    <m/>
    <m/>
    <m/>
    <m/>
    <m/>
    <m/>
    <m/>
    <n v="530.23564848730928"/>
    <m/>
    <m/>
    <m/>
    <m/>
    <m/>
    <m/>
    <m/>
    <m/>
    <m/>
    <m/>
    <m/>
    <m/>
    <n v="1717.8809999999999"/>
    <n v="-39.80359999999996"/>
    <m/>
    <m/>
    <m/>
    <m/>
    <n v="-58.016139999999979"/>
    <n v="19.283680000000011"/>
    <n v="31"/>
    <n v="-4.6836404614608682"/>
    <n v="0"/>
    <n v="0"/>
    <n v="0"/>
    <n v="0"/>
    <n v="0"/>
    <n v="0"/>
    <n v="0"/>
    <n v="9.7239611762120433"/>
    <n v="0"/>
    <n v="0"/>
    <n v="19.282994499318761"/>
    <n v="0"/>
    <n v="0"/>
    <n v="0"/>
    <n v="2.1574362577916517"/>
    <n v="0"/>
    <n v="-31.148097262493792"/>
    <m/>
    <n v="0"/>
    <n v="0"/>
    <n v="0"/>
    <n v="0"/>
    <n v="-4.1201835178136967"/>
    <n v="-0.57975161447570223"/>
    <n v="0"/>
    <n v="0"/>
    <m/>
    <m/>
    <m/>
    <n v="756.2103811706063"/>
    <n v="0"/>
    <n v="0"/>
    <n v="-58.01613999999995"/>
    <n v="19.283680000000004"/>
    <n v="0"/>
    <n v="0"/>
    <n v="-34.05762125036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4.1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71"/>
    <s v="PROJETADO"/>
    <s v="Branca"/>
    <s v="B3"/>
    <s v="Comercial"/>
    <s v="Não se aplica"/>
    <s v="Não se aplica"/>
    <s v="Não se aplica"/>
    <s v="Intermediário"/>
    <s v="CATIVO"/>
    <x v="11"/>
    <n v="0"/>
    <n v="0"/>
    <n v="8.7999999999999995E-2"/>
    <n v="8.7999999999999995E-2"/>
    <n v="8.7999999999999995E-2"/>
    <n v="8.7999999999999995E-2"/>
    <m/>
    <n v="986.74"/>
    <n v="144.41999999999999"/>
    <m/>
    <n v="99.542079999999999"/>
    <n v="99.542079999999999"/>
    <n v="97.21271999999999"/>
    <n v="0"/>
    <n v="5.4032858382867053"/>
    <n v="0"/>
    <n v="0"/>
    <n v="0"/>
    <n v="18.585231422038071"/>
    <n v="60.460187955493737"/>
    <n v="12.709120479482767"/>
    <n v="0"/>
    <n v="0"/>
    <n v="0"/>
    <n v="0"/>
    <n v="0"/>
    <n v="0.83448249746168812"/>
    <m/>
    <n v="0.1280272567384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219325389555175"/>
    <n v="0"/>
    <n v="0"/>
    <n v="0"/>
    <n v="0"/>
    <n v="0"/>
    <m/>
    <m/>
    <m/>
    <m/>
    <m/>
    <m/>
    <m/>
    <m/>
    <m/>
    <n v="14.131053018438283"/>
    <m/>
    <m/>
    <m/>
    <m/>
    <m/>
    <m/>
    <m/>
    <m/>
    <m/>
    <m/>
    <m/>
    <m/>
    <n v="99.422099999999986"/>
    <n v="-0.14998000000002776"/>
    <m/>
    <m/>
    <m/>
    <m/>
    <n v="-2.8432800000000049"/>
    <n v="0.51392000000000027"/>
    <n v="31"/>
    <n v="0.39384705389939967"/>
    <n v="0"/>
    <n v="0"/>
    <n v="0"/>
    <n v="0"/>
    <n v="0"/>
    <n v="0"/>
    <n v="0"/>
    <n v="0.77781705514568245"/>
    <n v="0"/>
    <n v="0"/>
    <n v="0.51390173105392201"/>
    <n v="0"/>
    <n v="0"/>
    <n v="0"/>
    <n v="5.7496787003532779E-2"/>
    <n v="0"/>
    <n v="-0.83011282831600663"/>
    <m/>
    <n v="0"/>
    <n v="0"/>
    <n v="0"/>
    <n v="0"/>
    <n v="-0.10980501198292103"/>
    <n v="-1.5450679004803666E-2"/>
    <n v="0"/>
    <n v="0"/>
    <m/>
    <m/>
    <m/>
    <n v="60.460187955493737"/>
    <n v="0"/>
    <n v="0"/>
    <n v="-2.8432800000000071"/>
    <n v="0.5139200000000006"/>
    <n v="0"/>
    <n v="0"/>
    <n v="-2.7229594215917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2"/>
    <s v="PROJETADO"/>
    <s v="Convencional"/>
    <s v="B2"/>
    <s v="Rural"/>
    <s v="Não se aplica"/>
    <s v="Não se aplica"/>
    <s v="Não se aplica"/>
    <s v="Não se aplica"/>
    <s v="CATIVO"/>
    <x v="11"/>
    <n v="0"/>
    <n v="0"/>
    <n v="214.50700000000001"/>
    <n v="214.50700000000001"/>
    <n v="214.50700000000001"/>
    <n v="214.50700000000001"/>
    <m/>
    <n v="522.37"/>
    <n v="144.41999999999999"/>
    <m/>
    <n v="143031.12252999999"/>
    <n v="143031.12252999999"/>
    <n v="139802.79217999999"/>
    <n v="0"/>
    <n v="13170.93903765189"/>
    <n v="0"/>
    <n v="0"/>
    <n v="0"/>
    <n v="21871.917412886225"/>
    <n v="71196.421697702477"/>
    <n v="30979.49212150466"/>
    <n v="0"/>
    <n v="0"/>
    <n v="0"/>
    <n v="0"/>
    <n v="0"/>
    <n v="2034.1174668524359"/>
    <m/>
    <n v="312.07662228626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6.0736719742185"/>
    <n v="0"/>
    <n v="3.45"/>
    <n v="15.89"/>
    <n v="18547.03"/>
    <n v="750"/>
    <m/>
    <m/>
    <m/>
    <m/>
    <m/>
    <n v="16774.447400000005"/>
    <m/>
    <m/>
    <m/>
    <n v="34445.565793478876"/>
    <m/>
    <m/>
    <m/>
    <m/>
    <m/>
    <m/>
    <m/>
    <m/>
    <m/>
    <m/>
    <m/>
    <m/>
    <n v="123030.06539999999"/>
    <n v="-2836.2369899999903"/>
    <m/>
    <m/>
    <m/>
    <m/>
    <n v="-4481.0512299999973"/>
    <n v="1252.7208800000008"/>
    <n v="31"/>
    <n v="-20.588114899335778"/>
    <n v="0"/>
    <n v="0"/>
    <n v="0"/>
    <n v="0"/>
    <n v="0"/>
    <n v="0"/>
    <n v="0"/>
    <n v="915.36930620675776"/>
    <n v="0"/>
    <n v="0"/>
    <n v="1252.676347990724"/>
    <n v="0"/>
    <n v="0"/>
    <n v="0"/>
    <n v="140.15299192916837"/>
    <n v="0"/>
    <n v="-2023.4660507225162"/>
    <m/>
    <n v="0"/>
    <n v="0"/>
    <n v="0"/>
    <n v="0"/>
    <n v="-267.65845119795972"/>
    <n v="-37.662259105493433"/>
    <n v="0"/>
    <n v="0"/>
    <m/>
    <m/>
    <m/>
    <n v="71196.421697702477"/>
    <n v="0"/>
    <n v="0"/>
    <n v="-4481.0512299999973"/>
    <n v="1252.7208800000008"/>
    <n v="0"/>
    <n v="0"/>
    <n v="-3206.489655441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3"/>
    <s v="PROJETADO"/>
    <s v="Convencional"/>
    <s v="B2"/>
    <s v="Rural"/>
    <s v="Não se aplica"/>
    <s v="Não se aplica"/>
    <s v="Não se aplica"/>
    <s v="Não se aplica"/>
    <s v="CATIVO"/>
    <x v="11"/>
    <n v="0"/>
    <n v="0"/>
    <n v="5.5209999999999999"/>
    <n v="5.5209999999999999"/>
    <n v="5.5209999999999999"/>
    <n v="5.5209999999999999"/>
    <m/>
    <n v="522.37"/>
    <n v="144.41999999999999"/>
    <m/>
    <n v="3681.3475899999999"/>
    <n v="3681.3475899999999"/>
    <n v="3598.2565399999999"/>
    <n v="0"/>
    <n v="338.99478537705568"/>
    <n v="0"/>
    <n v="0"/>
    <n v="0"/>
    <n v="562.94133075631487"/>
    <n v="1832.4597527960175"/>
    <n v="797.35288826391309"/>
    <n v="0"/>
    <n v="0"/>
    <n v="0"/>
    <n v="0"/>
    <n v="0"/>
    <n v="52.354293960067956"/>
    <m/>
    <n v="8.032255505146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210108495152411"/>
    <n v="0"/>
    <n v="0"/>
    <n v="0"/>
    <n v="941.74"/>
    <n v="12"/>
    <m/>
    <m/>
    <m/>
    <m/>
    <m/>
    <n v="431.74220000000008"/>
    <m/>
    <m/>
    <m/>
    <n v="886.56299675906553"/>
    <m/>
    <m/>
    <m/>
    <m/>
    <m/>
    <m/>
    <m/>
    <m/>
    <m/>
    <m/>
    <m/>
    <m/>
    <n v="3165.9407999999999"/>
    <n v="-73.646370000000843"/>
    <m/>
    <m/>
    <m/>
    <m/>
    <n v="-115.33368999999992"/>
    <n v="32.242640000000016"/>
    <n v="31"/>
    <n v="-0.5298987089424827"/>
    <n v="0"/>
    <n v="0"/>
    <n v="0"/>
    <n v="0"/>
    <n v="0"/>
    <n v="0"/>
    <n v="0"/>
    <n v="23.559855573792561"/>
    <n v="0"/>
    <n v="0"/>
    <n v="32.241493831235289"/>
    <n v="0"/>
    <n v="0"/>
    <n v="0"/>
    <n v="3.6072700118920977"/>
    <n v="0"/>
    <n v="-52.080146876507627"/>
    <m/>
    <n v="0"/>
    <n v="0"/>
    <n v="0"/>
    <n v="0"/>
    <n v="-6.8890167177012174"/>
    <n v="-0.96935453165364915"/>
    <n v="0"/>
    <n v="0"/>
    <m/>
    <m/>
    <m/>
    <n v="1832.4597527960175"/>
    <n v="0"/>
    <n v="0"/>
    <n v="-115.33368999999993"/>
    <n v="32.242639999999938"/>
    <n v="0"/>
    <n v="0"/>
    <n v="-82.528912285822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4"/>
    <s v="PROJETADO"/>
    <s v="Verde"/>
    <s v="A4"/>
    <s v="Rural"/>
    <s v="Não se aplica"/>
    <s v="Não se aplica"/>
    <s v="Não se aplica"/>
    <s v="Ponta"/>
    <s v="CATIVO"/>
    <x v="11"/>
    <n v="0"/>
    <n v="0"/>
    <n v="7.0000000000000001E-3"/>
    <n v="6.7200000000000003E-3"/>
    <n v="7.0000000000000001E-3"/>
    <n v="6.7200000000000003E-3"/>
    <m/>
    <n v="2740.31"/>
    <n v="144.41999999999999"/>
    <m/>
    <n v="20.193110000000001"/>
    <n v="20.193110000000001"/>
    <n v="19.784939999999999"/>
    <n v="0"/>
    <n v="0.37393194039961414"/>
    <n v="0"/>
    <n v="0"/>
    <n v="0"/>
    <n v="5.268639692731492"/>
    <n v="13.42605296196913"/>
    <n v="1.0109527654134018"/>
    <n v="0"/>
    <n v="0"/>
    <n v="0"/>
    <n v="0"/>
    <n v="0"/>
    <n v="6.6379289570816111E-2"/>
    <m/>
    <n v="3.4837964241509942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670216767330086E-2"/>
    <n v="0"/>
    <n v="0"/>
    <n v="0"/>
    <n v="0"/>
    <n v="0"/>
    <m/>
    <m/>
    <m/>
    <m/>
    <m/>
    <n v="0.79139759999999959"/>
    <m/>
    <m/>
    <m/>
    <n v="1.054622982180732"/>
    <m/>
    <m/>
    <m/>
    <m/>
    <m/>
    <m/>
    <m/>
    <m/>
    <m/>
    <m/>
    <m/>
    <m/>
    <n v="28.264199999999999"/>
    <n v="8.8488143999999913"/>
    <m/>
    <m/>
    <m/>
    <m/>
    <n v="-0.44905000000000067"/>
    <n v="4.0880000000000027E-2"/>
    <n v="31"/>
    <n v="0.19654156873236239"/>
    <n v="0"/>
    <n v="0"/>
    <n v="0"/>
    <n v="0"/>
    <n v="0"/>
    <n v="0"/>
    <n v="0"/>
    <n v="0.22049969232907696"/>
    <n v="0"/>
    <n v="0"/>
    <n v="4.0878546788380321E-2"/>
    <n v="0"/>
    <n v="0"/>
    <n v="0"/>
    <n v="1.7658342312874969E-3"/>
    <n v="0"/>
    <n v="-5.7447580959596123E-2"/>
    <m/>
    <n v="0"/>
    <n v="0"/>
    <n v="0"/>
    <n v="0"/>
    <n v="-8.7344895895505453E-3"/>
    <n v="-4.2043406723625987E-4"/>
    <n v="0"/>
    <n v="0"/>
    <m/>
    <m/>
    <m/>
    <n v="13.42605296196913"/>
    <n v="0"/>
    <n v="0"/>
    <n v="-0.44904999999999973"/>
    <n v="4.0880000000000027E-2"/>
    <n v="0"/>
    <n v="0"/>
    <n v="-0.60467224207929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5"/>
    <s v="PROJETADO"/>
    <s v="Verde"/>
    <s v="A4"/>
    <s v="Rural"/>
    <s v="Não se aplica"/>
    <s v="Não se aplica"/>
    <s v="Não se aplica"/>
    <s v="Fora ponta"/>
    <s v="CATIVO"/>
    <x v="11"/>
    <n v="0"/>
    <n v="0"/>
    <n v="32.932000000000002"/>
    <n v="31.614720000000002"/>
    <n v="32.932000000000002"/>
    <n v="31.614720000000002"/>
    <m/>
    <n v="69.64"/>
    <n v="144.41999999999999"/>
    <m/>
    <n v="7049.4239199999993"/>
    <n v="7049.4239199999993"/>
    <n v="6936.7964800000009"/>
    <n v="0"/>
    <n v="1759.1895230342989"/>
    <n v="0"/>
    <n v="0"/>
    <n v="0"/>
    <n v="0"/>
    <n v="0"/>
    <n v="4756.0994957991652"/>
    <n v="0"/>
    <n v="0"/>
    <n v="0"/>
    <n v="0"/>
    <n v="0"/>
    <n v="312.28610916373088"/>
    <m/>
    <n v="16.389769120020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44965408310208"/>
    <n v="0"/>
    <n v="0"/>
    <n v="0"/>
    <n v="0"/>
    <n v="0"/>
    <m/>
    <m/>
    <m/>
    <m/>
    <m/>
    <n v="277.47185920000004"/>
    <m/>
    <m/>
    <m/>
    <n v="4961.5491498822676"/>
    <m/>
    <m/>
    <m/>
    <m/>
    <m/>
    <m/>
    <m/>
    <m/>
    <m/>
    <m/>
    <m/>
    <m/>
    <n v="6658.3303999999989"/>
    <n v="-109.14656320000176"/>
    <m/>
    <m/>
    <m/>
    <m/>
    <n v="-304.95031999999998"/>
    <n v="192.32288000000011"/>
    <n v="31"/>
    <n v="-112.71270375528911"/>
    <n v="0"/>
    <n v="0"/>
    <n v="0"/>
    <n v="0"/>
    <n v="0"/>
    <n v="0"/>
    <n v="0"/>
    <n v="0"/>
    <n v="0"/>
    <n v="0"/>
    <n v="192.31604326213346"/>
    <n v="0"/>
    <n v="0"/>
    <n v="0"/>
    <n v="8.3074932721085304"/>
    <n v="0"/>
    <n v="-270.26624802305969"/>
    <m/>
    <n v="0"/>
    <n v="0"/>
    <n v="0"/>
    <n v="0"/>
    <n v="-41.092030166154075"/>
    <n v="-1.9779621003177876"/>
    <n v="0"/>
    <n v="0"/>
    <m/>
    <m/>
    <m/>
    <n v="0"/>
    <n v="0"/>
    <n v="0"/>
    <n v="-304.95031999999992"/>
    <n v="192.3228800000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6"/>
    <s v="PROJETADO"/>
    <s v="Verde"/>
    <s v="A4"/>
    <s v="Rural"/>
    <s v="Não se aplica"/>
    <s v="Não se aplica"/>
    <s v="Não se aplica"/>
    <s v="Não se aplica"/>
    <s v="CATIVO"/>
    <x v="11"/>
    <n v="170"/>
    <n v="163.19999999999999"/>
    <n v="0"/>
    <n v="0"/>
    <n v="0"/>
    <n v="0"/>
    <n v="34.950000000000003"/>
    <m/>
    <m/>
    <n v="5941.5000000000009"/>
    <m/>
    <n v="5941.5000000000009"/>
    <n v="5861.5999999999995"/>
    <n v="0"/>
    <n v="0"/>
    <n v="0"/>
    <n v="0"/>
    <n v="0"/>
    <n v="2153.8625169442898"/>
    <n v="3788.41735874086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51.52"/>
    <n v="1"/>
    <m/>
    <m/>
    <m/>
    <m/>
    <m/>
    <n v="234.46400000000037"/>
    <m/>
    <m/>
    <m/>
    <n v="0"/>
    <m/>
    <m/>
    <m/>
    <m/>
    <m/>
    <m/>
    <m/>
    <m/>
    <m/>
    <m/>
    <m/>
    <m/>
    <n v="5627.1359999999995"/>
    <n v="-76.734000000001288"/>
    <m/>
    <m/>
    <m/>
    <m/>
    <n v="-79.900000000001015"/>
    <n v="0"/>
    <n v="31"/>
    <n v="90.142057533469142"/>
    <n v="0"/>
    <n v="0"/>
    <n v="0"/>
    <n v="0"/>
    <m/>
    <m/>
    <m/>
    <n v="90.1420575334691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8.4173587408613"/>
    <m/>
    <n v="0"/>
    <n v="0"/>
    <n v="-79.900000000001455"/>
    <m/>
    <n v="0"/>
    <m/>
    <n v="-170.61982585131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77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65.524000000000001"/>
    <n v="65.524000000000001"/>
    <n v="65.524000000000001"/>
    <n v="65.524000000000001"/>
    <m/>
    <n v="522.37"/>
    <n v="144.41999999999999"/>
    <m/>
    <n v="43690.747960000001"/>
    <n v="43690.747960000001"/>
    <n v="42704.61176"/>
    <n v="0"/>
    <n v="4023.2375144079328"/>
    <n v="0"/>
    <n v="0"/>
    <n v="0"/>
    <n v="6681.0664293564168"/>
    <n v="21747.888578555743"/>
    <n v="9463.0955715639648"/>
    <n v="0"/>
    <n v="0"/>
    <n v="0"/>
    <n v="0"/>
    <n v="0"/>
    <n v="621.34808140545067"/>
    <m/>
    <n v="95.327931483286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8.7580418468333"/>
    <n v="0"/>
    <n v="257.19"/>
    <n v="1186.98"/>
    <n v="6471.33"/>
    <n v="128"/>
    <m/>
    <m/>
    <m/>
    <m/>
    <m/>
    <m/>
    <m/>
    <m/>
    <m/>
    <n v="10521.853613410798"/>
    <m/>
    <m/>
    <m/>
    <m/>
    <m/>
    <m/>
    <m/>
    <m/>
    <m/>
    <m/>
    <m/>
    <m/>
    <n v="42702.004799999995"/>
    <n v="-988.77316000001156"/>
    <m/>
    <m/>
    <m/>
    <m/>
    <n v="-1368.7963599999991"/>
    <n v="382.66016000000025"/>
    <n v="31"/>
    <n v="-6.2889119733263215"/>
    <n v="0"/>
    <n v="0"/>
    <n v="0"/>
    <n v="0"/>
    <n v="0"/>
    <n v="0"/>
    <n v="0"/>
    <n v="279.6116603182727"/>
    <n v="0"/>
    <n v="0"/>
    <n v="382.64655710883017"/>
    <n v="0"/>
    <n v="0"/>
    <n v="0"/>
    <n v="42.81158490476696"/>
    <n v="0"/>
    <n v="-618.09446548384085"/>
    <m/>
    <n v="0"/>
    <n v="0"/>
    <n v="0"/>
    <n v="0"/>
    <n v="-81.759813695101343"/>
    <n v="-11.504435126258599"/>
    <n v="0"/>
    <n v="0"/>
    <m/>
    <m/>
    <m/>
    <n v="21747.888578555743"/>
    <n v="0"/>
    <n v="0"/>
    <n v="-1368.7963600000003"/>
    <n v="382.66016000000127"/>
    <n v="0"/>
    <n v="0"/>
    <n v="-979.46467100457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8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0.48799999999999999"/>
    <n v="0.48799999999999999"/>
    <n v="0.48799999999999999"/>
    <n v="0.48799999999999999"/>
    <m/>
    <n v="522.37"/>
    <n v="144.41999999999999"/>
    <m/>
    <n v="325.39351999999997"/>
    <n v="325.39351999999997"/>
    <n v="318.04912000000002"/>
    <n v="0"/>
    <n v="29.963676012317183"/>
    <n v="0"/>
    <n v="0"/>
    <n v="0"/>
    <n v="49.758262888803053"/>
    <n v="161.97072258005008"/>
    <n v="70.477849931677156"/>
    <n v="0"/>
    <n v="0"/>
    <n v="0"/>
    <n v="0"/>
    <n v="0"/>
    <n v="4.6275847586511798"/>
    <m/>
    <n v="0.70996933282223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8852622614805972"/>
    <n v="0"/>
    <n v="0.39"/>
    <n v="1.81"/>
    <n v="211.86"/>
    <n v="2"/>
    <m/>
    <m/>
    <m/>
    <m/>
    <m/>
    <m/>
    <m/>
    <m/>
    <m/>
    <n v="78.363112193157747"/>
    <m/>
    <m/>
    <m/>
    <m/>
    <m/>
    <m/>
    <m/>
    <m/>
    <m/>
    <m/>
    <m/>
    <m/>
    <n v="319.3526"/>
    <n v="-6.0709199999999441"/>
    <m/>
    <m/>
    <m/>
    <m/>
    <n v="-10.194319999999992"/>
    <n v="2.8499200000000018"/>
    <n v="31"/>
    <n v="-4.6837632668683682E-2"/>
    <n v="0"/>
    <n v="0"/>
    <n v="0"/>
    <n v="0"/>
    <n v="0"/>
    <n v="0"/>
    <n v="0"/>
    <n v="2.0824505560606354"/>
    <n v="0"/>
    <n v="0"/>
    <n v="2.8498186903899381"/>
    <n v="0"/>
    <n v="0"/>
    <n v="0"/>
    <n v="0.31884581883777319"/>
    <n v="0"/>
    <n v="-4.6033529570251233"/>
    <m/>
    <n v="0"/>
    <n v="0"/>
    <n v="0"/>
    <n v="0"/>
    <n v="-0.6089187028143801"/>
    <n v="-8.5681038117547681E-2"/>
    <n v="0"/>
    <n v="0"/>
    <m/>
    <m/>
    <m/>
    <n v="161.97072258005008"/>
    <n v="0"/>
    <n v="0"/>
    <n v="-10.194320000000005"/>
    <n v="2.8499199999999973"/>
    <n v="0"/>
    <n v="0"/>
    <n v="-7.2947127686073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79"/>
    <s v="PROJETADO"/>
    <s v="Verde"/>
    <s v="A4"/>
    <s v="Poder público"/>
    <s v="Não se aplica"/>
    <s v="Não se aplica"/>
    <s v="Não se aplica"/>
    <s v="Ponta"/>
    <s v="CATIVO"/>
    <x v="11"/>
    <n v="0"/>
    <n v="0"/>
    <n v="8.6999999999999994E-2"/>
    <n v="8.6999999999999994E-2"/>
    <n v="8.6999999999999994E-2"/>
    <n v="8.6999999999999994E-2"/>
    <m/>
    <n v="2740.31"/>
    <n v="144.41999999999999"/>
    <m/>
    <n v="250.97150999999997"/>
    <n v="250.97150999999997"/>
    <n v="245.89853999999997"/>
    <n v="0"/>
    <n v="4.6474398306809181"/>
    <n v="0"/>
    <n v="0"/>
    <n v="0"/>
    <n v="65.481664752519961"/>
    <n v="166.86665824161634"/>
    <n v="12.564698655852281"/>
    <n v="0"/>
    <n v="0"/>
    <n v="0"/>
    <n v="0"/>
    <n v="0"/>
    <n v="0.82499974180871438"/>
    <m/>
    <n v="4.329861270016235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275840839395961"/>
    <n v="0"/>
    <n v="0"/>
    <n v="0"/>
    <n v="0"/>
    <n v="0"/>
    <m/>
    <m/>
    <m/>
    <m/>
    <m/>
    <m/>
    <m/>
    <m/>
    <m/>
    <n v="13.10745706424624"/>
    <m/>
    <m/>
    <m/>
    <m/>
    <m/>
    <m/>
    <m/>
    <m/>
    <m/>
    <m/>
    <m/>
    <m/>
    <n v="254.37779999999998"/>
    <n v="3.37629000000004"/>
    <m/>
    <m/>
    <m/>
    <m/>
    <n v="-5.5810500000000074"/>
    <n v="0.50808000000000031"/>
    <n v="31"/>
    <n v="2.4427309256736436"/>
    <n v="0"/>
    <n v="0"/>
    <n v="0"/>
    <n v="0"/>
    <n v="0"/>
    <n v="0"/>
    <n v="0"/>
    <n v="2.7404961760899624"/>
    <n v="0"/>
    <n v="0"/>
    <n v="0.50806193865558136"/>
    <n v="0"/>
    <n v="0"/>
    <n v="0"/>
    <n v="2.1946796874573127E-2"/>
    <n v="0"/>
    <n v="-0.71399136335498037"/>
    <m/>
    <n v="0"/>
    <n v="0"/>
    <n v="0"/>
    <n v="0"/>
    <n v="-0.10855722775584242"/>
    <n v="-5.225394835650661E-3"/>
    <n v="0"/>
    <n v="0"/>
    <m/>
    <m/>
    <m/>
    <n v="166.86665824161634"/>
    <n v="0"/>
    <n v="0"/>
    <n v="-5.5810500000000047"/>
    <n v="0.50808000000000142"/>
    <n v="0"/>
    <n v="0"/>
    <n v="-7.5152121515569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0"/>
    <s v="PROJETADO"/>
    <s v="Verde"/>
    <s v="A4"/>
    <s v="Poder público"/>
    <s v="Não se aplica"/>
    <s v="Não se aplica"/>
    <s v="Não se aplica"/>
    <s v="Fora ponta"/>
    <s v="CATIVO"/>
    <x v="11"/>
    <n v="0"/>
    <n v="0"/>
    <n v="1.732"/>
    <n v="1.732"/>
    <n v="1.732"/>
    <n v="1.732"/>
    <m/>
    <n v="69.64"/>
    <n v="144.41999999999999"/>
    <m/>
    <n v="370.75191999999998"/>
    <n v="370.75191999999998"/>
    <n v="364.82848000000001"/>
    <n v="0"/>
    <n v="92.521445824590231"/>
    <n v="0"/>
    <n v="0"/>
    <n v="0"/>
    <n v="0"/>
    <n v="0"/>
    <n v="250.13859852800172"/>
    <n v="0"/>
    <n v="0"/>
    <n v="0"/>
    <n v="0"/>
    <n v="0"/>
    <n v="16.424132790950498"/>
    <m/>
    <n v="0.8619907723756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05259348716531"/>
    <n v="0"/>
    <n v="0"/>
    <n v="0"/>
    <n v="0"/>
    <n v="0"/>
    <m/>
    <m/>
    <m/>
    <m/>
    <m/>
    <m/>
    <m/>
    <m/>
    <m/>
    <n v="260.94385787671825"/>
    <m/>
    <m/>
    <m/>
    <m/>
    <m/>
    <m/>
    <m/>
    <m/>
    <m/>
    <m/>
    <m/>
    <m/>
    <n v="364.40719999999999"/>
    <n v="-6.3747200000000248"/>
    <m/>
    <m/>
    <m/>
    <m/>
    <n v="-16.038319999999995"/>
    <n v="10.114880000000007"/>
    <n v="31"/>
    <n v="-5.9279242956443454"/>
    <n v="0"/>
    <n v="0"/>
    <n v="0"/>
    <n v="0"/>
    <n v="0"/>
    <n v="0"/>
    <n v="0"/>
    <n v="0"/>
    <n v="0"/>
    <n v="0"/>
    <n v="10.114520433924923"/>
    <n v="0"/>
    <n v="0"/>
    <n v="0"/>
    <n v="0.43691784122713351"/>
    <n v="0"/>
    <n v="-14.214172888860062"/>
    <m/>
    <n v="0"/>
    <n v="0"/>
    <n v="0"/>
    <n v="0"/>
    <n v="-2.1611622813002178"/>
    <n v="-0.10402740063617177"/>
    <n v="0"/>
    <n v="0"/>
    <m/>
    <m/>
    <m/>
    <n v="0"/>
    <n v="0"/>
    <n v="0"/>
    <n v="-16.038319999999999"/>
    <n v="10.114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1"/>
    <s v="PROJETADO"/>
    <s v="Verde"/>
    <s v="A4"/>
    <s v="Poder público"/>
    <s v="Não se aplica"/>
    <s v="Não se aplica"/>
    <s v="Não se aplica"/>
    <s v="Não se aplica"/>
    <s v="CATIVO"/>
    <x v="11"/>
    <n v="75"/>
    <n v="75"/>
    <n v="0"/>
    <n v="0"/>
    <n v="0"/>
    <n v="0"/>
    <n v="34.950000000000003"/>
    <m/>
    <m/>
    <n v="2621.25"/>
    <m/>
    <n v="2621.25"/>
    <n v="2585.9999999999995"/>
    <n v="0"/>
    <n v="0"/>
    <n v="0"/>
    <n v="0"/>
    <n v="0"/>
    <n v="950.23346335777501"/>
    <n v="1671.36059944449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05"/>
    <n v="92.52"/>
    <n v="216.42"/>
    <n v="1"/>
    <m/>
    <m/>
    <m/>
    <m/>
    <m/>
    <m/>
    <m/>
    <m/>
    <m/>
    <n v="0"/>
    <m/>
    <m/>
    <m/>
    <m/>
    <m/>
    <m/>
    <m/>
    <m/>
    <m/>
    <m/>
    <m/>
    <m/>
    <n v="2585.9999999999995"/>
    <n v="-35.28000000000111"/>
    <m/>
    <m/>
    <m/>
    <m/>
    <n v="-35.250000000000448"/>
    <n v="0"/>
    <n v="31"/>
    <n v="39.768554794177476"/>
    <n v="0"/>
    <n v="0"/>
    <n v="0"/>
    <n v="0"/>
    <m/>
    <m/>
    <m/>
    <n v="39.768554794177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71.3605994444974"/>
    <m/>
    <n v="0"/>
    <n v="0"/>
    <n v="-35.250000000000455"/>
    <m/>
    <n v="0"/>
    <m/>
    <n v="-75.273452581462379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82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488.19900000000001"/>
    <n v="488.19900000000001"/>
    <n v="488.19900000000001"/>
    <n v="488.19900000000001"/>
    <m/>
    <n v="287.3"/>
    <n v="79.430000000000007"/>
    <m/>
    <n v="179037.21927000003"/>
    <n v="179037.21927000003"/>
    <n v="174999.81354"/>
    <n v="0"/>
    <n v="16486.742143535816"/>
    <n v="0"/>
    <n v="0"/>
    <n v="0"/>
    <n v="27378.204510712952"/>
    <n v="89120.224664081572"/>
    <n v="38778.624431018892"/>
    <n v="0"/>
    <n v="0"/>
    <n v="0"/>
    <n v="0"/>
    <n v="0"/>
    <n v="2546.2095048643664"/>
    <m/>
    <n v="390.64236695279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8.6627724096625"/>
    <n v="0"/>
    <n v="1091.8900000000001"/>
    <n v="5039.53"/>
    <n v="34406.379999999997"/>
    <n v="6"/>
    <m/>
    <m/>
    <m/>
    <m/>
    <m/>
    <m/>
    <m/>
    <m/>
    <m/>
    <n v="43117.287203428554"/>
    <m/>
    <m/>
    <m/>
    <m/>
    <m/>
    <m/>
    <m/>
    <m/>
    <m/>
    <m/>
    <m/>
    <m/>
    <n v="175000.17199999999"/>
    <n v="-4037.0772700000671"/>
    <m/>
    <m/>
    <m/>
    <m/>
    <n v="-5604.524520000009"/>
    <n v="1567.118789999997"/>
    <n v="31"/>
    <n v="-25.771202842879575"/>
    <n v="0"/>
    <n v="0"/>
    <n v="0"/>
    <n v="0"/>
    <n v="0"/>
    <n v="0"/>
    <n v="0"/>
    <n v="1145.8148636474871"/>
    <n v="0"/>
    <n v="0"/>
    <n v="1568.0394449922605"/>
    <n v="0"/>
    <n v="0"/>
    <n v="0"/>
    <n v="175.43671198961056"/>
    <n v="0"/>
    <n v="-2532.8765791940168"/>
    <m/>
    <n v="0"/>
    <n v="0"/>
    <n v="0"/>
    <n v="0"/>
    <n v="-335.04185653155992"/>
    <n v="-47.143787746664941"/>
    <n v="0"/>
    <n v="0"/>
    <m/>
    <m/>
    <m/>
    <n v="89120.224664081572"/>
    <n v="0"/>
    <n v="0"/>
    <n v="-5604.5245200000063"/>
    <n v="1567.1187900000004"/>
    <n v="0"/>
    <n v="0"/>
    <n v="-4013.7281012432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3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20.888000000000002"/>
    <n v="19.634720000000002"/>
    <n v="20.888000000000002"/>
    <n v="19.634720000000002"/>
    <m/>
    <n v="522.37"/>
    <n v="144.41999999999999"/>
    <m/>
    <n v="13927.909520000001"/>
    <n v="13927.909520000001"/>
    <n v="13613.545120000002"/>
    <n v="0"/>
    <n v="1282.5435748878717"/>
    <n v="0"/>
    <n v="0"/>
    <n v="0"/>
    <n v="2129.8167934863081"/>
    <n v="6932.8779779755878"/>
    <n v="3016.6830519935916"/>
    <n v="0"/>
    <n v="0"/>
    <n v="0"/>
    <n v="0"/>
    <n v="0"/>
    <n v="198.07580007931529"/>
    <m/>
    <n v="30.389015213095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.51507811025971"/>
    <n v="0"/>
    <n v="77.06"/>
    <n v="355.7"/>
    <n v="2583.5300000000002"/>
    <n v="35"/>
    <m/>
    <m/>
    <m/>
    <m/>
    <n v="816.8127072000002"/>
    <m/>
    <m/>
    <m/>
    <m/>
    <n v="3354.1981301038513"/>
    <m/>
    <m/>
    <m/>
    <m/>
    <m/>
    <m/>
    <m/>
    <m/>
    <m/>
    <m/>
    <m/>
    <m/>
    <n v="12793.656200000001"/>
    <n v="-298.60874879999938"/>
    <m/>
    <m/>
    <m/>
    <m/>
    <n v="-436.35031999999973"/>
    <n v="121.98592000000008"/>
    <n v="31"/>
    <n v="-2.004804244231309"/>
    <n v="0"/>
    <n v="0"/>
    <n v="0"/>
    <n v="0"/>
    <n v="0"/>
    <n v="0"/>
    <n v="0"/>
    <n v="89.135711506135976"/>
    <n v="0"/>
    <n v="0"/>
    <n v="121.98158361652622"/>
    <n v="0"/>
    <n v="0"/>
    <n v="0"/>
    <n v="13.64764644238403"/>
    <n v="0"/>
    <n v="-197.03859952119024"/>
    <m/>
    <n v="0"/>
    <n v="0"/>
    <n v="0"/>
    <n v="0"/>
    <n v="-26.063716935218821"/>
    <n v="-3.6674293528674902"/>
    <n v="0"/>
    <n v="0"/>
    <m/>
    <m/>
    <m/>
    <n v="6932.8779779755878"/>
    <n v="0"/>
    <n v="0"/>
    <n v="-436.35031999999956"/>
    <n v="121.98592000000008"/>
    <n v="0"/>
    <n v="0"/>
    <n v="-312.237623587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4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0.65900000000000003"/>
    <n v="0.61946000000000001"/>
    <n v="0.65900000000000003"/>
    <n v="0.61946000000000001"/>
    <m/>
    <n v="2740.31"/>
    <n v="144.41999999999999"/>
    <m/>
    <n v="1901.0370700000001"/>
    <n v="1901.0370700000001"/>
    <n v="1862.61078"/>
    <n v="0"/>
    <n v="35.203021246192243"/>
    <n v="0"/>
    <n v="0"/>
    <n v="0"/>
    <n v="496.00479393000762"/>
    <n v="1263.9669859910939"/>
    <n v="95.173981772490265"/>
    <n v="0"/>
    <n v="0"/>
    <n v="0"/>
    <n v="0"/>
    <n v="0"/>
    <n v="6.249135975309688"/>
    <m/>
    <n v="0.32797454907364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1112389785243613"/>
    <n v="0"/>
    <n v="0"/>
    <n v="0"/>
    <n v="0"/>
    <n v="0"/>
    <m/>
    <m/>
    <m/>
    <m/>
    <n v="111.75664680000004"/>
    <m/>
    <m/>
    <m/>
    <m/>
    <n v="99.28522075101462"/>
    <m/>
    <m/>
    <m/>
    <m/>
    <m/>
    <m/>
    <m/>
    <m/>
    <m/>
    <m/>
    <m/>
    <m/>
    <n v="1752.3804"/>
    <n v="-34.624445799999876"/>
    <m/>
    <m/>
    <m/>
    <m/>
    <n v="-42.274850000000065"/>
    <n v="3.8485600000000026"/>
    <n v="31"/>
    <n v="18.502984827803857"/>
    <n v="0"/>
    <n v="0"/>
    <n v="0"/>
    <n v="0"/>
    <n v="0"/>
    <n v="0"/>
    <n v="0"/>
    <n v="20.758471034980289"/>
    <n v="0"/>
    <n v="0"/>
    <n v="3.8484231905060824"/>
    <n v="0"/>
    <n v="0"/>
    <n v="0"/>
    <n v="0.16624067977406565"/>
    <n v="0"/>
    <n v="-5.4082794074819738"/>
    <m/>
    <n v="0"/>
    <n v="0"/>
    <n v="0"/>
    <n v="0"/>
    <n v="-0.82228980564482956"/>
    <n v="-3.9580864329813614E-2"/>
    <n v="0"/>
    <n v="0"/>
    <m/>
    <m/>
    <m/>
    <n v="1263.9669859910939"/>
    <n v="0"/>
    <n v="0"/>
    <n v="-42.274850000000015"/>
    <n v="3.848559999999992"/>
    <n v="0"/>
    <n v="0"/>
    <n v="-56.92557250432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5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5.2229999999999999"/>
    <n v="4.9096200000000003"/>
    <n v="5.2229999999999999"/>
    <n v="4.9096200000000003"/>
    <m/>
    <n v="69.64"/>
    <n v="144.41999999999999"/>
    <m/>
    <n v="1118.0353799999998"/>
    <n v="1118.0353799999998"/>
    <n v="1100.17272"/>
    <n v="0"/>
    <n v="279.00664638674061"/>
    <n v="0"/>
    <n v="0"/>
    <n v="0"/>
    <n v="0"/>
    <n v="0"/>
    <n v="754.3151848220283"/>
    <n v="0"/>
    <n v="0"/>
    <n v="0"/>
    <n v="0"/>
    <n v="0"/>
    <n v="49.528432775481789"/>
    <m/>
    <n v="2.5994098176200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4220310823575"/>
    <n v="0"/>
    <n v="0"/>
    <n v="0"/>
    <n v="0"/>
    <n v="0"/>
    <m/>
    <m/>
    <m/>
    <m/>
    <n v="66.010363199999901"/>
    <m/>
    <m/>
    <m/>
    <m/>
    <n v="786.89940513285183"/>
    <m/>
    <m/>
    <m/>
    <m/>
    <m/>
    <m/>
    <m/>
    <m/>
    <m/>
    <m/>
    <m/>
    <m/>
    <n v="1034.2424000000001"/>
    <n v="-16.740857199999937"/>
    <m/>
    <m/>
    <m/>
    <m/>
    <n v="-48.364979999999989"/>
    <n v="30.502320000000019"/>
    <n v="31"/>
    <n v="-17.876182792234658"/>
    <n v="0"/>
    <n v="0"/>
    <n v="0"/>
    <n v="0"/>
    <n v="0"/>
    <n v="0"/>
    <n v="0"/>
    <n v="0"/>
    <n v="0"/>
    <n v="0"/>
    <n v="30.501235696529989"/>
    <n v="0"/>
    <n v="0"/>
    <n v="0"/>
    <n v="1.3175645985735116"/>
    <n v="0"/>
    <n v="-42.864102193138621"/>
    <m/>
    <n v="0"/>
    <n v="0"/>
    <n v="0"/>
    <n v="0"/>
    <n v="-6.5171770180317807"/>
    <n v="-0.313703876167855"/>
    <n v="0"/>
    <n v="0"/>
    <m/>
    <m/>
    <m/>
    <n v="0"/>
    <n v="0"/>
    <n v="0"/>
    <n v="-48.364980000000003"/>
    <n v="30.50232000000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6"/>
    <s v="PROJETADO"/>
    <s v="Verde"/>
    <s v="A4"/>
    <s v="Serviço público"/>
    <s v="Água, esgoto e saneamento"/>
    <s v="Não se aplica"/>
    <s v="Não se aplica"/>
    <s v="Não se aplica"/>
    <s v="CATIVO"/>
    <x v="11"/>
    <n v="78"/>
    <n v="73.319999999999993"/>
    <n v="0"/>
    <n v="0"/>
    <n v="0"/>
    <n v="0"/>
    <n v="34.950000000000003"/>
    <m/>
    <m/>
    <n v="2726.1000000000004"/>
    <m/>
    <n v="2726.1000000000004"/>
    <n v="2689.4399999999996"/>
    <n v="0"/>
    <n v="0"/>
    <n v="0"/>
    <n v="0"/>
    <n v="0"/>
    <n v="988.24280189208594"/>
    <n v="1738.2150234222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369999999999997"/>
    <n v="154.04"/>
    <n v="676.27"/>
    <n v="1"/>
    <m/>
    <m/>
    <m/>
    <m/>
    <n v="161.36640000000023"/>
    <m/>
    <m/>
    <m/>
    <m/>
    <n v="0"/>
    <m/>
    <m/>
    <m/>
    <m/>
    <m/>
    <m/>
    <m/>
    <m/>
    <m/>
    <m/>
    <m/>
    <m/>
    <n v="2528.0735999999997"/>
    <n v="-34.490400000001046"/>
    <m/>
    <m/>
    <m/>
    <m/>
    <n v="-36.660000000000466"/>
    <n v="0"/>
    <n v="31"/>
    <n v="41.359296985944638"/>
    <n v="0"/>
    <n v="0"/>
    <n v="0"/>
    <n v="0"/>
    <m/>
    <m/>
    <m/>
    <n v="41.359296985944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8.2150234222775"/>
    <m/>
    <n v="0"/>
    <n v="0"/>
    <n v="-36.660000000000764"/>
    <m/>
    <n v="0"/>
    <m/>
    <n v="-78.284390684721075"/>
    <m/>
    <n v="0"/>
    <n v="0"/>
    <m/>
    <n v="0"/>
    <n v="0"/>
    <n v="0"/>
    <n v="0"/>
    <n v="0"/>
    <m/>
    <m/>
    <n v="0"/>
    <n v="0"/>
    <m/>
    <n v="0"/>
    <m/>
    <n v="0"/>
    <m/>
    <n v="225"/>
    <m/>
    <m/>
    <m/>
    <m/>
    <n v="0"/>
    <m/>
    <m/>
    <m/>
    <m/>
    <n v="0"/>
    <n v="0"/>
    <n v="0"/>
    <n v="0"/>
  </r>
  <r>
    <n v="587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5.3940000000000001"/>
    <n v="5.3940000000000001"/>
    <n v="5.3940000000000001"/>
    <n v="5.3940000000000001"/>
    <m/>
    <n v="522.37"/>
    <n v="144.41999999999999"/>
    <m/>
    <n v="3596.6652600000002"/>
    <n v="3596.6652600000002"/>
    <n v="3515.4855600000001"/>
    <n v="0"/>
    <n v="331.19686149680103"/>
    <n v="0"/>
    <n v="0"/>
    <n v="0"/>
    <n v="549.99194676681088"/>
    <n v="1790.3075360589964"/>
    <n v="779.01131666284141"/>
    <n v="0"/>
    <n v="0"/>
    <n v="0"/>
    <n v="0"/>
    <n v="0"/>
    <n v="51.149983992140299"/>
    <m/>
    <n v="7.8474888959899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158001308250704"/>
    <n v="0"/>
    <n v="0"/>
    <n v="0"/>
    <n v="0"/>
    <n v="4"/>
    <m/>
    <m/>
    <m/>
    <m/>
    <m/>
    <m/>
    <m/>
    <m/>
    <m/>
    <n v="866.16931797109214"/>
    <m/>
    <m/>
    <m/>
    <m/>
    <m/>
    <m/>
    <m/>
    <m/>
    <m/>
    <m/>
    <m/>
    <m/>
    <n v="3512.8785999999996"/>
    <n v="-83.81666000000132"/>
    <m/>
    <m/>
    <m/>
    <m/>
    <n v="-112.68065999999993"/>
    <n v="31.500960000000021"/>
    <n v="31"/>
    <n v="-0.5177094069983923"/>
    <n v="0"/>
    <n v="0"/>
    <n v="0"/>
    <n v="0"/>
    <n v="0"/>
    <n v="0"/>
    <n v="0"/>
    <n v="23.017906351211082"/>
    <n v="0"/>
    <n v="0"/>
    <n v="31.499840196646119"/>
    <n v="0"/>
    <n v="0"/>
    <n v="0"/>
    <n v="3.5242916942847273"/>
    <n v="0"/>
    <n v="-50.88214313564248"/>
    <m/>
    <n v="0"/>
    <n v="0"/>
    <n v="0"/>
    <n v="0"/>
    <n v="-6.7305481208622311"/>
    <n v="-0.94705639263535346"/>
    <n v="0"/>
    <n v="0"/>
    <m/>
    <m/>
    <m/>
    <n v="1790.3075360589964"/>
    <n v="0"/>
    <n v="0"/>
    <n v="-112.68065999999999"/>
    <n v="31.500960000000077"/>
    <n v="0"/>
    <n v="0"/>
    <n v="-80.630493184156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88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.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"/>
    <m/>
    <m/>
    <m/>
    <m/>
    <n v="0"/>
    <m/>
    <m/>
    <m/>
    <m/>
    <n v="0"/>
    <n v="0"/>
    <n v="0"/>
    <n v="0"/>
  </r>
  <r>
    <n v="589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1.83"/>
    <n v="1.83"/>
    <n v="1.83"/>
    <n v="1.83"/>
    <m/>
    <n v="522.37"/>
    <n v="144.41999999999999"/>
    <m/>
    <n v="1220.2257"/>
    <n v="1220.2257"/>
    <n v="1192.6842000000001"/>
    <n v="0"/>
    <n v="112.36378504618945"/>
    <n v="0"/>
    <n v="0"/>
    <n v="0"/>
    <n v="186.59348583301147"/>
    <n v="607.39020967518786"/>
    <n v="264.29193724378939"/>
    <n v="0"/>
    <n v="0"/>
    <n v="0"/>
    <n v="0"/>
    <n v="0"/>
    <n v="17.353442844941924"/>
    <m/>
    <n v="2.6623849980833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569733480552241"/>
    <n v="0"/>
    <n v="0"/>
    <n v="0"/>
    <n v="0"/>
    <n v="0"/>
    <m/>
    <m/>
    <m/>
    <m/>
    <m/>
    <n v="143.10600000000005"/>
    <m/>
    <m/>
    <m/>
    <n v="293.86167072434165"/>
    <m/>
    <m/>
    <m/>
    <m/>
    <m/>
    <m/>
    <m/>
    <m/>
    <m/>
    <m/>
    <m/>
    <m/>
    <n v="1049.5781999999999"/>
    <n v="-24.240900000000011"/>
    <m/>
    <m/>
    <m/>
    <m/>
    <n v="-38.228699999999975"/>
    <n v="10.687200000000006"/>
    <n v="31"/>
    <n v="-0.17564112250772723"/>
    <n v="0"/>
    <n v="0"/>
    <n v="0"/>
    <n v="0"/>
    <n v="0"/>
    <n v="0"/>
    <n v="0"/>
    <n v="7.8091895852273581"/>
    <n v="0"/>
    <n v="0"/>
    <n v="10.686820088962236"/>
    <n v="0"/>
    <n v="0"/>
    <n v="0"/>
    <n v="1.1956718206416497"/>
    <n v="0"/>
    <n v="-17.262573588844219"/>
    <m/>
    <n v="0"/>
    <n v="0"/>
    <n v="0"/>
    <n v="0"/>
    <n v="-2.2834451355539258"/>
    <n v="-0.32130389294080342"/>
    <n v="0"/>
    <n v="0"/>
    <m/>
    <m/>
    <m/>
    <n v="607.39020967518786"/>
    <n v="0"/>
    <n v="0"/>
    <n v="-38.228700000000003"/>
    <n v="10.687200000000018"/>
    <n v="0"/>
    <n v="0"/>
    <n v="-27.3551728822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  <r>
    <n v="590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0.22"/>
    <n v="8.7999999999999995E-2"/>
    <n v="0.22"/>
    <n v="8.7999999999999995E-2"/>
    <m/>
    <n v="522.37"/>
    <n v="144.41999999999999"/>
    <m/>
    <n v="146.69380000000001"/>
    <n v="146.69380000000001"/>
    <n v="143.3828"/>
    <n v="0"/>
    <n v="13.508214595716764"/>
    <n v="0"/>
    <n v="0"/>
    <n v="0"/>
    <n v="22.432003761345641"/>
    <n v="73.019588048383241"/>
    <n v="31.772801198706919"/>
    <n v="0"/>
    <n v="0"/>
    <n v="0"/>
    <n v="0"/>
    <n v="0"/>
    <n v="2.0862062436542206"/>
    <m/>
    <n v="0.32006814184608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548313473887938"/>
    <n v="0"/>
    <n v="0"/>
    <n v="0"/>
    <n v="0"/>
    <n v="0"/>
    <m/>
    <m/>
    <m/>
    <m/>
    <m/>
    <m/>
    <n v="92.911280000000005"/>
    <m/>
    <m/>
    <n v="35.327632546095714"/>
    <m/>
    <m/>
    <m/>
    <m/>
    <m/>
    <m/>
    <m/>
    <m/>
    <m/>
    <m/>
    <m/>
    <m/>
    <n v="51.618600000000001"/>
    <n v="-4.7159999999990987E-2"/>
    <m/>
    <m/>
    <m/>
    <m/>
    <n v="-4.595799999999997"/>
    <n v="1.2848000000000008"/>
    <n v="31"/>
    <n v="-2.1115326203116069E-2"/>
    <n v="0"/>
    <n v="0"/>
    <n v="0"/>
    <n v="0"/>
    <n v="0"/>
    <n v="0"/>
    <n v="0"/>
    <n v="0.93880967691258022"/>
    <n v="0"/>
    <n v="0"/>
    <n v="1.2847543276348041"/>
    <n v="0"/>
    <n v="0"/>
    <n v="0"/>
    <n v="0.14374196750883206"/>
    <n v="0"/>
    <n v="-2.0752820707900153"/>
    <m/>
    <n v="0"/>
    <n v="0"/>
    <n v="0"/>
    <n v="0"/>
    <n v="-0.2745125299573028"/>
    <n v="-3.86266975120092E-2"/>
    <n v="0"/>
    <n v="0"/>
    <m/>
    <m/>
    <m/>
    <n v="73.019588048383241"/>
    <n v="0"/>
    <n v="0"/>
    <n v="-4.595799999999997"/>
    <n v="1.2848000000000042"/>
    <n v="0"/>
    <n v="0"/>
    <n v="-3.28860001863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43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2">
      <pivotArea type="all" dataOnly="0" outline="0" fieldPosition="0"/>
    </format>
    <format dxfId="451">
      <pivotArea type="all" dataOnly="0" outline="0" fieldPosition="0"/>
    </format>
    <format dxfId="450">
      <pivotArea type="all" dataOnly="0" outline="0" fieldPosition="0"/>
    </format>
    <format dxfId="449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4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2" dataDxfId="601">
  <autoFilter ref="AA5:AE7" xr:uid="{B3DE7FE8-5926-4E44-9EDC-9655DE4A4B67}"/>
  <tableColumns count="5">
    <tableColumn id="1" xr3:uid="{1315B14B-5316-4DE2-9050-0B99168CC239}" name="Cotas" dataDxfId="600"/>
    <tableColumn id="2" xr3:uid="{00C64702-8D8C-4EE8-B854-0E39030818B6}" name="Valor da &quot;Cota&quot;" dataDxfId="599"/>
    <tableColumn id="3" xr3:uid="{63BFFE80-8EC9-4566-842F-9FD193C67815}" name="Ano" dataDxfId="598"/>
    <tableColumn id="4" xr3:uid="{7B5A7EF8-5CB6-4557-B7D2-1C4857462594}" name="Custo Médio da Cota" dataDxfId="597"/>
    <tableColumn id="5" xr3:uid="{D3F4B71D-C886-4718-A85E-FA54E9F8D838}" name="Energia MWh" dataDxfId="596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5" dataDxfId="594" headerRowCellStyle="Normal 5" dataCellStyle="Normal 5">
  <autoFilter ref="AA21:AG23" xr:uid="{8109BFC4-5B84-4531-A319-ED0D5E86A4C5}"/>
  <tableColumns count="7">
    <tableColumn id="1" xr3:uid="{59A03A63-2F04-4649-A4AF-9B891D5BEBED}" name="Leilão" dataDxfId="593" dataCellStyle="Normal 5"/>
    <tableColumn id="2" xr3:uid="{1B8E1FA7-1B1E-42CD-98A0-C36F374D9818}" name="Produto" dataDxfId="592" dataCellStyle="Normal 5"/>
    <tableColumn id="3" xr3:uid="{3C5EB2AC-0FA8-44FB-8B3B-4F205233DD96}" name="Modalidade" dataDxfId="591" dataCellStyle="Normal 5"/>
    <tableColumn id="4" xr3:uid="{C358BA83-832A-4936-8DD9-2979DA133039}" name="Fonte" dataDxfId="590" dataCellStyle="Normal 5"/>
    <tableColumn id="5" xr3:uid="{9CA52279-BDEC-44E2-A60F-C256B4A0590B}" name="Montante" dataDxfId="589" dataCellStyle="Normal 5"/>
    <tableColumn id="6" xr3:uid="{4C1D6705-AC4A-482B-AC5B-B0F755A722F2}" name="Data Base" dataDxfId="588" dataCellStyle="Vírgula"/>
    <tableColumn id="7" xr3:uid="{3DEA0CF9-631C-4B3F-B4AC-928E92F0AB84}" name="Custo Base" dataDxfId="587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6" dataDxfId="585">
  <autoFilter ref="AA10:AD11" xr:uid="{3C49DBE7-062C-4416-B6BA-09DB0F685AD5}"/>
  <tableColumns count="4">
    <tableColumn id="1" xr3:uid="{6F9C1B42-695A-4B8B-B63F-DA108D710421}" name="GSF previsto" dataDxfId="584" dataCellStyle="Normal 5"/>
    <tableColumn id="2" xr3:uid="{4D1DBAC9-9D60-4D51-A973-81AD2081E4F6}" name="PLD" dataDxfId="583" dataCellStyle="Normal 5"/>
    <tableColumn id="3" xr3:uid="{0DCF2C66-C111-4FF7-BEB4-BFD00E93A10A}" name="MWm repactuado" dataDxfId="582" dataCellStyle="Normal 5"/>
    <tableColumn id="4" xr3:uid="{030AED12-E9C5-474F-937C-742184A44EF8}" name="Fator de rateio" dataDxfId="581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80" dataDxfId="579">
  <autoFilter ref="AI5:AJ21" xr:uid="{C3573309-01D4-4FAA-88C4-46F0CAA1CC27}"/>
  <tableColumns count="2">
    <tableColumn id="1" xr3:uid="{56AC757E-E114-458B-A041-461374D0BA5F}" name="Data" dataDxfId="578"/>
    <tableColumn id="2" xr3:uid="{578DAC09-D952-4F72-9444-614F5761412A}" name="Valor Pis/Cofins Transmissora" dataDxfId="577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6"/>
    <tableColumn id="2" xr3:uid="{AAB31625-7790-4B9A-AC2F-62007C1AB8C0}" name="Valor" dataDxfId="575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4">
  <autoFilter ref="B70:D77" xr:uid="{2E07311B-F74E-449E-81FD-B2BBBED3E4B3}"/>
  <tableColumns count="3">
    <tableColumn id="1" xr3:uid="{34D06310-1B0F-4D68-8C00-ED68EED3BDEB}" name="Encargo" dataDxfId="573"/>
    <tableColumn id="2" xr3:uid="{9D37526B-68DA-4918-8BA1-31EFC93C676E}" name="Valor" dataDxfId="572" dataCellStyle="Vírgula"/>
    <tableColumn id="3" xr3:uid="{62B99FEA-2637-4880-B5A6-705D0DFDF64C}" name="DSP" dataDxfId="571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70">
  <autoFilter ref="AA15:AB16" xr:uid="{1246E986-5AFA-4E40-BCC4-649D094A68F9}"/>
  <tableColumns count="2">
    <tableColumn id="1" xr3:uid="{D4D96454-0BF2-4CE9-B9F7-0CF391A2F556}" name="Proinfa" dataDxfId="569"/>
    <tableColumn id="2" xr3:uid="{62B09719-28BC-4F30-8705-5FB3C24A0D07}" name="MWh" dataDxfId="568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7" dataDxfId="566">
  <autoFilter ref="AO5:AQ9" xr:uid="{1A968768-5E00-4725-815D-7B925098B780}"/>
  <tableColumns count="3">
    <tableColumn id="1" xr3:uid="{FC8C62E6-3A06-4479-B5D7-11BDBC46D611}" name="Conta Escassez" dataDxfId="565"/>
    <tableColumn id="2" xr3:uid="{55A5FC57-FA17-4C65-B2C8-0C51598692AE}" name="Valor" dataDxfId="564"/>
    <tableColumn id="3" xr3:uid="{C90C9243-AD2A-42D1-9D06-640F7A17A24B}" name="Legislacao" dataDxfId="563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2" dataDxfId="561">
  <autoFilter ref="AI24:AK45" xr:uid="{63306B16-ABC6-4C4A-8A31-BA4561D3E91F}"/>
  <tableColumns count="3">
    <tableColumn id="1" xr3:uid="{E80EBDF5-704B-4864-987B-30FABD11C257}" name="Grupo_TARIFA" dataDxfId="560"/>
    <tableColumn id="2" xr3:uid="{C48FAF4C-2500-4FE3-A576-CC56F4BB20F4}" name="Detalhe_Grupo_TARIFA" dataDxfId="559"/>
    <tableColumn id="3" xr3:uid="{C451D982-3266-4B86-86BB-DCF98A1C0BC5}" name="valor" dataDxfId="558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7" dataDxfId="556">
  <autoFilter ref="AM24:AP31" xr:uid="{5E07B889-3CC1-4EB8-A2FA-27865F10E9FF}"/>
  <tableColumns count="4">
    <tableColumn id="1" xr3:uid="{A684CBA1-85F2-4F6F-9549-132415395C97}" name="Grupo Tarifa" dataDxfId="555"/>
    <tableColumn id="2" xr3:uid="{601A6100-10DA-47B4-AC85-55E7B31A99AC}" name="Detalhe Grupo" dataDxfId="554"/>
    <tableColumn id="3" xr3:uid="{C6D6A904-43B1-4BB1-8721-FC3B084DEB3F}" name="Det3" dataDxfId="553"/>
    <tableColumn id="4" xr3:uid="{49E46CEE-1005-4E4F-AD52-B5C103AA28C0}" name="Valor" dataDxfId="552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1" tableBorderDxfId="550">
  <autoFilter ref="AA26:AB30" xr:uid="{ED60079D-08D5-46B4-B1E6-28428B2FF85A}"/>
  <tableColumns count="2">
    <tableColumn id="1" xr3:uid="{C7D3432F-090C-4D89-8F9B-66E323363124}" name="Dados de perda" dataDxfId="549"/>
    <tableColumn id="2" xr3:uid="{7924BC5A-340A-47DE-8986-F75E2F948A7A}" name="Valor" dataDxfId="548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7">
  <autoFilter ref="B82:D86" xr:uid="{44B3CF1D-E5DB-4F4C-8B03-12F73F64E09F}"/>
  <tableColumns count="3">
    <tableColumn id="1" xr3:uid="{025781DB-5DB9-44A5-BF05-031AE482F550}" name="DRA" dataDxfId="546"/>
    <tableColumn id="2" xr3:uid="{5A9C626F-119A-4714-A173-C779625402DE}" name="Unidade" dataDxfId="545" dataCellStyle="Vírgula"/>
    <tableColumn id="3" xr3:uid="{3DE8C72E-2AB2-473E-B78C-AE4693AB2163}" name="Valor" dataDxfId="544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3" dataDxfId="542">
  <autoFilter ref="I79:P104" xr:uid="{00012AA4-5E68-45F7-A3E1-82543506533D}"/>
  <tableColumns count="8">
    <tableColumn id="1" xr3:uid="{CB533B84-C59E-4772-B5EA-C3A64D272C46}" name="Supridora" dataDxfId="541"/>
    <tableColumn id="2" xr3:uid="{01FC6D90-98B5-4200-8478-0354078800DE}" name="idSupridora" dataDxfId="540"/>
    <tableColumn id="3" xr3:uid="{1AD87F94-F60A-4C08-92F4-8F28292229A0}" name="Dt" dataDxfId="539"/>
    <tableColumn id="4" xr3:uid="{214AC461-6B87-4473-9DDD-16C2AAD27583}" name="Nível" dataDxfId="538"/>
    <tableColumn id="5" xr3:uid="{4D0E8891-518A-49CD-81FD-28801C797CC5}" name="Tipo" dataDxfId="537"/>
    <tableColumn id="6" xr3:uid="{CA101188-3484-46F6-B45E-79104CE30EBE}" name="Posto_Tarifario" dataDxfId="536"/>
    <tableColumn id="7" xr3:uid="{AB8F41CD-F087-4472-BD97-B0D1F9D75CBE}" name="Tipo_de_Montante" dataDxfId="535"/>
    <tableColumn id="8" xr3:uid="{82EA2B27-2FF3-4A21-B9FA-826D7901DCE4}" name="Desconto" dataDxfId="534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3" dataDxfId="532">
  <autoFilter ref="I65:M74" xr:uid="{816D70F7-BC2B-4C29-B360-CF1B5CAA0898}"/>
  <tableColumns count="5">
    <tableColumn id="1" xr3:uid="{68FE60EB-F773-485E-AE07-DE02F7F2F7B9}" name="Supridora" dataDxfId="531"/>
    <tableColumn id="2" xr3:uid="{C4F33DA9-F36B-46DB-B8D6-89EC735D97B5}" name="idSupridora" dataDxfId="530"/>
    <tableColumn id="3" xr3:uid="{44B2DC68-70BA-4379-9E0C-9F47CD0F0208}" name="Dt" dataDxfId="529"/>
    <tableColumn id="4" xr3:uid="{C11C6BFB-95B2-4793-B12A-82B220365699}" name="Nível" dataDxfId="528"/>
    <tableColumn id="5" xr3:uid="{188E9A16-8CC7-42C8-9321-ACF10C037EBF}" name="Desconto" dataDxfId="527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6" dataDxfId="525">
  <autoFilter ref="AA34:AD46" xr:uid="{2861AC94-3090-4F96-AA62-69E2D7F316C7}"/>
  <tableColumns count="4">
    <tableColumn id="1" xr3:uid="{9AF0624E-5357-40A9-9061-2BE27666398F}" name="Data" dataDxfId="524"/>
    <tableColumn id="2" xr3:uid="{8C2160E5-CF7C-4BF1-AF2D-2A136C3FA7D6}" name="QT_TRC" dataDxfId="523"/>
    <tableColumn id="3" xr3:uid="{895C5BD6-9538-4B5D-B42D-A4F8F6C8819D}" name="QT_PERDAS_C" dataDxfId="522"/>
    <tableColumn id="4" xr3:uid="{04975CB5-D567-4912-B2E4-A65C9DF65AFD}" name="QT_PERDAS_DITC" dataDxfId="521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20" dataDxfId="519">
  <autoFilter ref="AA51:AB63" xr:uid="{448671BC-B4AC-4EB3-BA0E-8870BFDFFDA6}"/>
  <tableColumns count="2">
    <tableColumn id="1" xr3:uid="{E4D209A7-AA93-4BAA-B4BE-593CA56CE768}" name="Competencia" dataDxfId="518"/>
    <tableColumn id="2" xr3:uid="{B532ECCE-0095-40E1-A316-CF754CD1820A}" name="GeracaoPropria_kWh" dataDxfId="517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6" dataDxfId="515">
  <autoFilter ref="B103:D104" xr:uid="{BD18E973-C1F0-4BCA-A59F-74BE38699E89}"/>
  <tableColumns count="3">
    <tableColumn id="1" xr3:uid="{8CEB1E22-1DD3-4041-A7F8-48151A7A948D}" name="Limite_PB" dataDxfId="514" dataCellStyle="Vírgula"/>
    <tableColumn id="2" xr3:uid="{47B4F826-8D7E-41B4-A62A-9FCA24A444C4}" name="Data Base Limite_PB" dataDxfId="513"/>
    <tableColumn id="3" xr3:uid="{B2454C1A-D9A3-4F41-8958-B367EB249FB8}" name="Despacho" dataDxfId="512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1" dataDxfId="510">
  <autoFilter ref="B108:H109" xr:uid="{993A9B4B-EFAE-47B7-8F28-B400207AE359}"/>
  <tableColumns count="7">
    <tableColumn id="1" xr3:uid="{3C54FF0B-4E78-4809-B067-57A9A40F8EB2}" name="Supridora1" dataDxfId="509"/>
    <tableColumn id="2" xr3:uid="{90B2BE68-BDF0-4EC3-AFE2-35DB76A2C46E}" name="idsreagsupridora1" dataDxfId="508"/>
    <tableColumn id="3" xr3:uid="{9B64639C-58E0-466A-93CF-208DCC544EB5}" name="Densidade Cooperativa" dataDxfId="507"/>
    <tableColumn id="4" xr3:uid="{B6E4E105-6BD6-44F4-983E-785046CA7F5F}" name="Densidade Principal Supridora" dataDxfId="506"/>
    <tableColumn id="5" xr3:uid="{E3206071-9F16-4D6C-85FB-9305EFFBD0EC}" name="Subvencao Anual" dataDxfId="505" dataCellStyle="Vírgula"/>
    <tableColumn id="6" xr3:uid="{B1E60FB6-FFB4-40AD-84D3-B0B2D5BFCB82}" name="Data_Referencia Subvencao" dataDxfId="504"/>
    <tableColumn id="7" xr3:uid="{D67A9A6F-8227-4AFF-A96C-E1D007202229}" name="Data_aniversario supridora" dataDxfId="503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2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1"/>
    <tableColumn id="2" xr3:uid="{00000000-0010-0000-1600-000002000000}" name="NomPessoaSuprida" dataDxfId="500"/>
    <tableColumn id="3" xr3:uid="{00000000-0010-0000-1600-000003000000}" name="IdeAgenteSupridora" dataDxfId="499"/>
    <tableColumn id="4" xr3:uid="{00000000-0010-0000-1600-000004000000}" name="NomPessoaSupridora" dataDxfId="498"/>
    <tableColumn id="5" xr3:uid="{00000000-0010-0000-1600-000005000000}" name="DescSubGrupoSgt" dataDxfId="497"/>
    <tableColumn id="6" xr3:uid="{00000000-0010-0000-1600-000006000000}" name="MesAno"/>
    <tableColumn id="7" xr3:uid="{00000000-0010-0000-1600-000007000000}" name="Descricao" dataDxfId="496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5" dataDxfId="493" headerRowBorderDxfId="494" tableBorderDxfId="492">
  <autoFilter ref="A9:T61" xr:uid="{00000000-0009-0000-0100-00001A000000}"/>
  <tableColumns count="20">
    <tableColumn id="1" xr3:uid="{00000000-0010-0000-0000-000001000000}" name="Sigla" dataDxfId="491"/>
    <tableColumn id="2" xr3:uid="{00000000-0010-0000-0000-000002000000}" name="NomeSAMP" dataDxfId="490"/>
    <tableColumn id="3" xr3:uid="{00000000-0010-0000-0000-000003000000}" name="SARI" dataDxfId="489"/>
    <tableColumn id="4" xr3:uid="{00000000-0010-0000-0000-000004000000}" name="Área" dataDxfId="488"/>
    <tableColumn id="6" xr3:uid="{00000000-0010-0000-0000-000006000000}" name="Sede" dataDxfId="487"/>
    <tableColumn id="7" xr3:uid="{00000000-0010-0000-0000-000007000000}" name="UF" dataDxfId="486"/>
    <tableColumn id="5" xr3:uid="{F4C0AA0C-7AEF-4FC4-8FB7-D9142C5F1CBF}" name="Contrato Permissão" dataDxfId="485"/>
    <tableColumn id="11" xr3:uid="{2797FAEA-6354-4682-B35B-E763E9EEE6CE}" name="Data Contrato" dataDxfId="484"/>
    <tableColumn id="12" xr3:uid="{9C30CB17-746D-4563-BAFC-40BD6B7AD897}" name="Data de Aniversário" dataDxfId="483"/>
    <tableColumn id="8" xr3:uid="{00000000-0010-0000-0000-000008000000}" name="WACC ERD" dataDxfId="482"/>
    <tableColumn id="9" xr3:uid="{00000000-0010-0000-0000-000009000000}" name="Supridora 1" dataDxfId="481"/>
    <tableColumn id="33" xr3:uid="{00000000-0010-0000-0000-000021000000}" name="idsreagsupridora 1" dataDxfId="480"/>
    <tableColumn id="10" xr3:uid="{00000000-0010-0000-0000-00000A000000}" name="Supridora 2" dataDxfId="479"/>
    <tableColumn id="35" xr3:uid="{00000000-0010-0000-0000-000023000000}" name="idsreagsupridora2" dataDxfId="478"/>
    <tableColumn id="17" xr3:uid="{00000000-0010-0000-0000-000011000000}" name="Próxima Revisão" dataDxfId="477"/>
    <tableColumn id="23" xr3:uid="{00000000-0010-0000-0000-000017000000}" name="Geração Própria" dataDxfId="476"/>
    <tableColumn id="29" xr3:uid="{00000000-0010-0000-0000-00001D000000}" name="Data de referência da Geração Própria" dataDxfId="475"/>
    <tableColumn id="32" xr3:uid="{00000000-0010-0000-0000-000020000000}" name="Data original" dataDxfId="474"/>
    <tableColumn id="34" xr3:uid="{00000000-0010-0000-0000-000022000000}" name="Regularização" dataDxfId="473"/>
    <tableColumn id="37" xr3:uid="{00000000-0010-0000-0000-000025000000}" name="Inicio de vigência das tarifas" dataDxfId="472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1">
  <autoFilter ref="A68:N150" xr:uid="{00000000-0009-0000-0100-00001B000000}"/>
  <tableColumns count="14">
    <tableColumn id="1" xr3:uid="{00000000-0010-0000-0100-000001000000}" name="Permissionária" dataDxfId="470"/>
    <tableColumn id="2" xr3:uid="{00000000-0010-0000-0100-000002000000}" name="Supridora" dataDxfId="469"/>
    <tableColumn id="11" xr3:uid="{00000000-0010-0000-0100-00000B000000}" name="idsreag supridora" dataDxfId="468"/>
    <tableColumn id="13" xr3:uid="{00000000-0010-0000-0100-00000D000000}" name="codsariSUP" dataDxfId="467"/>
    <tableColumn id="3" xr3:uid="{00000000-0010-0000-0100-000003000000}" name="Classe" dataDxfId="466"/>
    <tableColumn id="12" xr3:uid="{00000000-0010-0000-0100-00000C000000}" name="chave" dataDxfId="465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4" dataCellStyle="Porcentagem"/>
    <tableColumn id="5" xr3:uid="{00000000-0010-0000-0100-000005000000}" name="2016" dataDxfId="463" dataCellStyle="Porcentagem"/>
    <tableColumn id="6" xr3:uid="{00000000-0010-0000-0100-000006000000}" name="2017" dataDxfId="462" dataCellStyle="Porcentagem"/>
    <tableColumn id="7" xr3:uid="{00000000-0010-0000-0100-000007000000}" name="2018" dataDxfId="461"/>
    <tableColumn id="8" xr3:uid="{00000000-0010-0000-0100-000008000000}" name="2019"/>
    <tableColumn id="9" xr3:uid="{00000000-0010-0000-0100-000009000000}" name="2020" dataDxfId="460"/>
    <tableColumn id="10" xr3:uid="{00000000-0010-0000-0100-00000A000000}" name="2021" dataDxfId="459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8"/>
    <tableColumn id="2" xr3:uid="{00000000-0010-0000-0200-000002000000}" name="Sigla" dataDxfId="457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6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5" dataDxfId="454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3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92" totalsRowShown="0" headerRowDxfId="448" dataDxfId="447" totalsRowDxfId="446">
  <tableColumns count="165">
    <tableColumn id="1" xr3:uid="{00000000-0010-0000-1200-000001000000}" name="Código" dataDxfId="445" totalsRowDxfId="444"/>
    <tableColumn id="74" xr3:uid="{00000000-0010-0000-1200-00004A000000}" name="TipoMercado" dataDxfId="443" totalsRowDxfId="442"/>
    <tableColumn id="75" xr3:uid="{00000000-0010-0000-1200-00004B000000}" name="Modalidade" dataDxfId="441" totalsRowDxfId="440"/>
    <tableColumn id="76" xr3:uid="{00000000-0010-0000-1200-00004C000000}" name="Subgrupo" dataDxfId="439" totalsRowDxfId="438"/>
    <tableColumn id="77" xr3:uid="{00000000-0010-0000-1200-00004D000000}" name="Classe" dataDxfId="437" totalsRowDxfId="436"/>
    <tableColumn id="78" xr3:uid="{00000000-0010-0000-1200-00004E000000}" name="Subclasse" dataDxfId="435" totalsRowDxfId="434"/>
    <tableColumn id="79" xr3:uid="{00000000-0010-0000-1200-00004F000000}" name="Detalhe" dataDxfId="433" totalsRowDxfId="432"/>
    <tableColumn id="80" xr3:uid="{00000000-0010-0000-1200-000050000000}" name="Agente" dataDxfId="431" totalsRowDxfId="430"/>
    <tableColumn id="81" xr3:uid="{00000000-0010-0000-1200-000051000000}" name="Posto" dataDxfId="429" totalsRowDxfId="428"/>
    <tableColumn id="82" xr3:uid="{00000000-0010-0000-1200-000052000000}" name="OPÇÃO" dataDxfId="427" totalsRowDxfId="426"/>
    <tableColumn id="83" xr3:uid="{00000000-0010-0000-1200-000053000000}" name="AnoMes" dataDxfId="425" totalsRowDxfId="424"/>
    <tableColumn id="84" xr3:uid="{00000000-0010-0000-1200-000054000000}" name="D" dataDxfId="423" totalsRowDxfId="422"/>
    <tableColumn id="85" xr3:uid="{00000000-0010-0000-1200-000055000000}" name="Daj" dataDxfId="421" totalsRowDxfId="420"/>
    <tableColumn id="86" xr3:uid="{00000000-0010-0000-1200-000056000000}" name="TUSD_E" dataDxfId="419" totalsRowDxfId="418"/>
    <tableColumn id="87" xr3:uid="{00000000-0010-0000-1200-000057000000}" name="TUSD_Eaj" dataDxfId="417" totalsRowDxfId="416"/>
    <tableColumn id="88" xr3:uid="{00000000-0010-0000-1200-000058000000}" name="TE_E" dataDxfId="415" totalsRowDxfId="414"/>
    <tableColumn id="89" xr3:uid="{00000000-0010-0000-1200-000059000000}" name="TE_Eaj" dataDxfId="413" totalsRowDxfId="412"/>
    <tableColumn id="90" xr3:uid="{00000000-0010-0000-1200-00005A000000}" name="TUSD/KW" dataDxfId="411" totalsRowDxfId="410"/>
    <tableColumn id="91" xr3:uid="{00000000-0010-0000-1200-00005B000000}" name="TUSD/MWh" dataDxfId="409" totalsRowDxfId="408"/>
    <tableColumn id="92" xr3:uid="{00000000-0010-0000-1200-00005C000000}" name="TE" dataDxfId="407" totalsRowDxfId="406"/>
    <tableColumn id="93" xr3:uid="{00000000-0010-0000-1200-00005D000000}" name="ReceitaD" dataDxfId="405" totalsRowDxfId="404"/>
    <tableColumn id="94" xr3:uid="{00000000-0010-0000-1200-00005E000000}" name="ReceitaE" dataDxfId="403" totalsRowDxfId="402"/>
    <tableColumn id="95" xr3:uid="{00000000-0010-0000-1200-00005F000000}" name="Total" dataDxfId="401" totalsRowDxfId="400"/>
    <tableColumn id="96" xr3:uid="{00000000-0010-0000-1200-000060000000}" name="Total com Tar de aplicação" dataDxfId="399" totalsRowDxfId="398"/>
    <tableColumn id="97" xr3:uid="{00000000-0010-0000-1200-000061000000}" name="CCC" dataDxfId="397" totalsRowDxfId="396"/>
    <tableColumn id="98" xr3:uid="{00000000-0010-0000-1200-000062000000}" name="CDE" dataDxfId="395" totalsRowDxfId="394"/>
    <tableColumn id="99" xr3:uid="{00000000-0010-0000-1200-000063000000}" name="CFURH" dataDxfId="393" totalsRowDxfId="392"/>
    <tableColumn id="100" xr3:uid="{00000000-0010-0000-1200-000064000000}" name="Conexao_D" dataDxfId="391" totalsRowDxfId="390"/>
    <tableColumn id="101" xr3:uid="{00000000-0010-0000-1200-000065000000}" name="Conexao_T" dataDxfId="389" totalsRowDxfId="388"/>
    <tableColumn id="102" xr3:uid="{00000000-0010-0000-1200-000066000000}" name="CUSD" dataDxfId="387" totalsRowDxfId="386"/>
    <tableColumn id="103" xr3:uid="{00000000-0010-0000-1200-000067000000}" name="DISTRIBUICAO" dataDxfId="385" totalsRowDxfId="384"/>
    <tableColumn id="104" xr3:uid="{00000000-0010-0000-1200-000068000000}" name="EnergiaRevenda" dataDxfId="383" totalsRowDxfId="382"/>
    <tableColumn id="105" xr3:uid="{00000000-0010-0000-1200-000069000000}" name="ESSERR" dataDxfId="381" totalsRowDxfId="380"/>
    <tableColumn id="106" xr3:uid="{00000000-0010-0000-1200-00006A000000}" name="ITAIPU" dataDxfId="379" totalsRowDxfId="378"/>
    <tableColumn id="107" xr3:uid="{00000000-0010-0000-1200-00006B000000}" name="ONS" dataDxfId="377" totalsRowDxfId="376"/>
    <tableColumn id="108" xr3:uid="{00000000-0010-0000-1200-00006C000000}" name="OUTROS" dataDxfId="375" totalsRowDxfId="374"/>
    <tableColumn id="109" xr3:uid="{00000000-0010-0000-1200-00006D000000}" name="PeD" dataDxfId="373" totalsRowDxfId="372"/>
    <tableColumn id="110" xr3:uid="{00000000-0010-0000-1200-00006E000000}" name="PROINFA" dataDxfId="371" totalsRowDxfId="370"/>
    <tableColumn id="111" xr3:uid="{00000000-0010-0000-1200-00006F000000}" name="RGR" dataDxfId="369" totalsRowDxfId="368"/>
    <tableColumn id="112" xr3:uid="{00000000-0010-0000-1200-000070000000}" name="TFSEE" dataDxfId="367" totalsRowDxfId="366"/>
    <tableColumn id="113" xr3:uid="{00000000-0010-0000-1200-000071000000}" name="TUST_FR" dataDxfId="365" totalsRowDxfId="364"/>
    <tableColumn id="114" xr3:uid="{00000000-0010-0000-1200-000072000000}" name="TUST_RB" dataDxfId="363" totalsRowDxfId="362"/>
    <tableColumn id="115" xr3:uid="{00000000-0010-0000-1200-000073000000}" name="TUSDG_ONS" dataDxfId="361" totalsRowDxfId="360"/>
    <tableColumn id="116" xr3:uid="{00000000-0010-0000-1200-000074000000}" name="TUSDG_T" dataDxfId="359" totalsRowDxfId="358"/>
    <tableColumn id="117" xr3:uid="{00000000-0010-0000-1200-000075000000}" name="TUST_CI" dataDxfId="357" totalsRowDxfId="356"/>
    <tableColumn id="118" xr3:uid="{00000000-0010-0000-1200-000076000000}" name="TUST_ITAIPU" dataDxfId="355" totalsRowDxfId="354"/>
    <tableColumn id="119" xr3:uid="{00000000-0010-0000-1200-000077000000}" name="CVA_CCC" dataDxfId="353" totalsRowDxfId="352"/>
    <tableColumn id="120" xr3:uid="{00000000-0010-0000-1200-000078000000}" name="CVA_CDE" dataDxfId="351" totalsRowDxfId="350"/>
    <tableColumn id="121" xr3:uid="{00000000-0010-0000-1200-000079000000}" name="CVA_PROINFA" dataDxfId="349" totalsRowDxfId="348"/>
    <tableColumn id="122" xr3:uid="{00000000-0010-0000-1200-00007A000000}" name="CVA_TranItaipu" dataDxfId="347" totalsRowDxfId="346"/>
    <tableColumn id="123" xr3:uid="{00000000-0010-0000-1200-00007B000000}" name="CVA_ESSERR" dataDxfId="345" totalsRowDxfId="344"/>
    <tableColumn id="124" xr3:uid="{00000000-0010-0000-1200-00007C000000}" name="CVA_CFURH" dataDxfId="343" totalsRowDxfId="342"/>
    <tableColumn id="125" xr3:uid="{00000000-0010-0000-1200-00007D000000}" name="CVA_CDE_E" dataDxfId="341" totalsRowDxfId="340"/>
    <tableColumn id="126" xr3:uid="{00000000-0010-0000-1200-00007E000000}" name="CVA_Energia" dataDxfId="339" totalsRowDxfId="338"/>
    <tableColumn id="127" xr3:uid="{00000000-0010-0000-1200-00007F000000}" name="CVA_RB" dataDxfId="337" totalsRowDxfId="336"/>
    <tableColumn id="128" xr3:uid="{00000000-0010-0000-1200-000080000000}" name="perdasnt" dataDxfId="335" totalsRowDxfId="334"/>
    <tableColumn id="129" xr3:uid="{00000000-0010-0000-1200-000081000000}" name="perdasrb_d" dataDxfId="333" totalsRowDxfId="332"/>
    <tableColumn id="130" xr3:uid="{00000000-0010-0000-1200-000082000000}" name="perdasrb_c" dataDxfId="331" totalsRowDxfId="330"/>
    <tableColumn id="131" xr3:uid="{00000000-0010-0000-1200-000083000000}" name="perdastec" dataDxfId="329" totalsRowDxfId="328"/>
    <tableColumn id="132" xr3:uid="{00000000-0010-0000-1200-000084000000}" name="RI" dataDxfId="327" totalsRowDxfId="326"/>
    <tableColumn id="133" xr3:uid="{00000000-0010-0000-1200-000085000000}" name="PisPasep" dataDxfId="325" totalsRowDxfId="324"/>
    <tableColumn id="134" xr3:uid="{00000000-0010-0000-1200-000086000000}" name="Cofins" dataDxfId="323" totalsRowDxfId="322"/>
    <tableColumn id="135" xr3:uid="{00000000-0010-0000-1200-000087000000}" name="ICMS" dataDxfId="321" totalsRowDxfId="320"/>
    <tableColumn id="136" xr3:uid="{00000000-0010-0000-1200-000088000000}" name="UC" dataDxfId="319" totalsRowDxfId="318"/>
    <tableColumn id="137" xr3:uid="{00000000-0010-0000-1200-000089000000}" name="total_dummy" dataDxfId="317" totalsRowDxfId="316"/>
    <tableColumn id="138" xr3:uid="{00000000-0010-0000-1200-00008A000000}" name="Subs_CarFI" dataDxfId="315" totalsRowDxfId="314"/>
    <tableColumn id="139" xr3:uid="{00000000-0010-0000-1200-00008B000000}" name="Subs_GerFI" dataDxfId="313" totalsRowDxfId="312"/>
    <tableColumn id="140" xr3:uid="{00000000-0010-0000-1200-00008C000000}" name="Subs_Dist" dataDxfId="311" totalsRowDxfId="310"/>
    <tableColumn id="141" xr3:uid="{00000000-0010-0000-1200-00008D000000}" name="Subs_AguaEsgoto" dataDxfId="309" totalsRowDxfId="308"/>
    <tableColumn id="142" xr3:uid="{00000000-0010-0000-1200-00008E000000}" name="Subs_Rural" dataDxfId="307" totalsRowDxfId="306"/>
    <tableColumn id="143" xr3:uid="{00000000-0010-0000-1200-00008F000000}" name="Subs_Irrigante" dataDxfId="305" totalsRowDxfId="304"/>
    <tableColumn id="144" xr3:uid="{00000000-0010-0000-1200-000090000000}" name="Subs_BaixaRenda" dataDxfId="303" totalsRowDxfId="302"/>
    <tableColumn id="145" xr3:uid="{00000000-0010-0000-1200-000091000000}" name="CDE_E" dataDxfId="301" totalsRowDxfId="300"/>
    <tableColumn id="2" xr3:uid="{00000000-0010-0000-1200-000002000000}" name="DespesaEnergia" dataDxfId="299" totalsRowDxfId="298"/>
    <tableColumn id="3" xr3:uid="{00000000-0010-0000-1200-000003000000}" name="RTE_CUSD" dataDxfId="297" totalsRowDxfId="296"/>
    <tableColumn id="4" xr3:uid="{00000000-0010-0000-1200-000004000000}" name="RTE_Energia" dataDxfId="295" totalsRowDxfId="294"/>
    <tableColumn id="5" xr3:uid="{00000000-0010-0000-1200-000005000000}" name="RTE_CDE_USO" dataDxfId="293" totalsRowDxfId="292"/>
    <tableColumn id="6" xr3:uid="{00000000-0010-0000-1200-000006000000}" name="RTE_CDE_E" dataDxfId="291" totalsRowDxfId="290"/>
    <tableColumn id="7" xr3:uid="{00000000-0010-0000-1200-000007000000}" name="RTE_PeD" dataDxfId="289" totalsRowDxfId="288"/>
    <tableColumn id="8" xr3:uid="{00000000-0010-0000-1200-000008000000}" name="Dif_Subs_Car" dataDxfId="287" totalsRowDxfId="286"/>
    <tableColumn id="9" xr3:uid="{00000000-0010-0000-1200-000009000000}" name="Dif_Subs_Ger" dataDxfId="285" totalsRowDxfId="284"/>
    <tableColumn id="10" xr3:uid="{00000000-0010-0000-1200-00000A000000}" name="Dif_Subs_D" dataDxfId="283" totalsRowDxfId="282"/>
    <tableColumn id="11" xr3:uid="{00000000-0010-0000-1200-00000B000000}" name="Dif_Subs_Agua" dataDxfId="281" totalsRowDxfId="280"/>
    <tableColumn id="12" xr3:uid="{00000000-0010-0000-1200-00000C000000}" name="Dif_Subs_Ru" dataDxfId="279" totalsRowDxfId="278"/>
    <tableColumn id="13" xr3:uid="{00000000-0010-0000-1200-00000D000000}" name="Dif_Subs_Irr" dataDxfId="277" totalsRowDxfId="276"/>
    <tableColumn id="14" xr3:uid="{00000000-0010-0000-1200-00000E000000}" name="dif_subs_baixa" dataDxfId="275" totalsRowDxfId="274"/>
    <tableColumn id="15" xr3:uid="{00000000-0010-0000-1200-00000F000000}" name="FinTotAj" dataDxfId="273" totalsRowDxfId="272"/>
    <tableColumn id="16" xr3:uid="{00000000-0010-0000-1200-000010000000}" name="FinAj" dataDxfId="271" totalsRowDxfId="270"/>
    <tableColumn id="17" xr3:uid="{00000000-0010-0000-1200-000011000000}" name="RTE_CDE_E_Dec" dataDxfId="269" totalsRowDxfId="268"/>
    <tableColumn id="18" xr3:uid="{00000000-0010-0000-1200-000012000000}" name="RTE_CDE_E_ACR" dataDxfId="267" totalsRowDxfId="266"/>
    <tableColumn id="19" xr3:uid="{00000000-0010-0000-1200-000013000000}" name="CDE_E_Dec" dataDxfId="265" totalsRowDxfId="264"/>
    <tableColumn id="20" xr3:uid="{00000000-0010-0000-1200-000014000000}" name="CDE_E_ACR" dataDxfId="263" totalsRowDxfId="262"/>
    <tableColumn id="21" xr3:uid="{00000000-0010-0000-1200-000015000000}" name="FinPostTUSD" dataDxfId="261" totalsRowDxfId="260"/>
    <tableColumn id="22" xr3:uid="{00000000-0010-0000-1200-000016000000}" name="FinPostTE" dataDxfId="259" totalsRowDxfId="258"/>
    <tableColumn id="23" xr3:uid="{00000000-0010-0000-1200-000017000000}" name="FinPostQtddias" dataDxfId="257" totalsRowDxfId="256"/>
    <tableColumn id="24" xr3:uid="{00000000-0010-0000-1200-000018000000}" name="FinCT_Geral" dataDxfId="255" totalsRowDxfId="254"/>
    <tableColumn id="25" xr3:uid="{00000000-0010-0000-1200-000019000000}" name="finCT_TUST_FR" dataDxfId="253" totalsRowDxfId="252"/>
    <tableColumn id="26" xr3:uid="{00000000-0010-0000-1200-00001A000000}" name="finCT_TUST_RB" dataDxfId="251" totalsRowDxfId="250"/>
    <tableColumn id="27" xr3:uid="{00000000-0010-0000-1200-00001B000000}" name="FINCT_TUSDG_ONS" dataDxfId="249" totalsRowDxfId="248"/>
    <tableColumn id="28" xr3:uid="{00000000-0010-0000-1200-00001C000000}" name="FINCT_TUSDG_T" dataDxfId="247" totalsRowDxfId="246"/>
    <tableColumn id="29" xr3:uid="{00000000-0010-0000-1200-00001D000000}" name="FINCT_TUST_CI" dataDxfId="245" totalsRowDxfId="244"/>
    <tableColumn id="30" xr3:uid="{00000000-0010-0000-1200-00001E000000}" name="FINCT_TUST_ITAIPU" dataDxfId="243" totalsRowDxfId="242"/>
    <tableColumn id="31" xr3:uid="{00000000-0010-0000-1200-00001F000000}" name="FinCT_Itaipu" dataDxfId="241" totalsRowDxfId="240"/>
    <tableColumn id="32" xr3:uid="{00000000-0010-0000-1200-000020000000}" name="FinCT_CUSD" dataDxfId="239" totalsRowDxfId="238"/>
    <tableColumn id="33" xr3:uid="{00000000-0010-0000-1200-000021000000}" name="FinCT_Conexao_D" dataDxfId="237" totalsRowDxfId="236"/>
    <tableColumn id="34" xr3:uid="{00000000-0010-0000-1200-000022000000}" name="FinCT_Conexao_T" dataDxfId="235" totalsRowDxfId="234"/>
    <tableColumn id="35" xr3:uid="{00000000-0010-0000-1200-000023000000}" name="FinCT_EnergiaRevenda" dataDxfId="233" totalsRowDxfId="232"/>
    <tableColumn id="36" xr3:uid="{00000000-0010-0000-1200-000024000000}" name="FINCT_perdasrb_c" dataDxfId="231" totalsRowDxfId="230"/>
    <tableColumn id="37" xr3:uid="{00000000-0010-0000-1200-000025000000}" name="FINCT_perdasrb_d" dataDxfId="229" totalsRowDxfId="228"/>
    <tableColumn id="38" xr3:uid="{00000000-0010-0000-1200-000026000000}" name="FinCT_perdasnt" dataDxfId="227" totalsRowDxfId="226"/>
    <tableColumn id="39" xr3:uid="{00000000-0010-0000-1200-000027000000}" name="FinCT_perdastec" dataDxfId="225" totalsRowDxfId="224"/>
    <tableColumn id="40" xr3:uid="{00000000-0010-0000-1200-000028000000}" name="FinCT_CCC" dataDxfId="223" totalsRowDxfId="222"/>
    <tableColumn id="41" xr3:uid="{00000000-0010-0000-1200-000029000000}" name="FinCT_CDE" dataDxfId="221" totalsRowDxfId="220"/>
    <tableColumn id="42" xr3:uid="{00000000-0010-0000-1200-00002A000000}" name="FinCT_CDE_E" dataDxfId="219" totalsRowDxfId="218"/>
    <tableColumn id="43" xr3:uid="{00000000-0010-0000-1200-00002B000000}" name="FinCT_CFURH" dataDxfId="217" totalsRowDxfId="216"/>
    <tableColumn id="44" xr3:uid="{00000000-0010-0000-1200-00002C000000}" name="FinCT_ONS" dataDxfId="215" totalsRowDxfId="214"/>
    <tableColumn id="45" xr3:uid="{00000000-0010-0000-1200-00002D000000}" name="FinCT_ESSERR" dataDxfId="213" totalsRowDxfId="212"/>
    <tableColumn id="46" xr3:uid="{00000000-0010-0000-1200-00002E000000}" name="FinCT_Ped" dataDxfId="211" totalsRowDxfId="210"/>
    <tableColumn id="47" xr3:uid="{00000000-0010-0000-1200-00002F000000}" name="finCT_PROINFA" dataDxfId="209" totalsRowDxfId="208"/>
    <tableColumn id="48" xr3:uid="{00000000-0010-0000-1200-000030000000}" name="finCT_TFSEE" dataDxfId="207" totalsRowDxfId="206"/>
    <tableColumn id="49" xr3:uid="{00000000-0010-0000-1200-000031000000}" name="FINCT_Liminar" dataDxfId="205" totalsRowDxfId="204"/>
    <tableColumn id="50" xr3:uid="{00000000-0010-0000-1200-000032000000}" name="FinCT_Subsidio" dataDxfId="203" totalsRowDxfId="202"/>
    <tableColumn id="51" xr3:uid="{00000000-0010-0000-1200-000033000000}" name="FINCT_RGR" dataDxfId="201" totalsRowDxfId="200"/>
    <tableColumn id="52" xr3:uid="{00000000-0010-0000-1200-000034000000}" name="Tipo_ato" dataDxfId="199" totalsRowDxfId="198"/>
    <tableColumn id="53" xr3:uid="{00000000-0010-0000-1200-000035000000}" name="DIST_D" dataDxfId="197" totalsRowDxfId="196"/>
    <tableColumn id="54" xr3:uid="{00000000-0010-0000-1200-000036000000}" name="DIST_E" dataDxfId="195" totalsRowDxfId="194"/>
    <tableColumn id="55" xr3:uid="{00000000-0010-0000-1200-000037000000}" name="FIN_RI" dataDxfId="193" totalsRowDxfId="192"/>
    <tableColumn id="56" xr3:uid="{00000000-0010-0000-1200-000038000000}" name="FINCT_RI" dataDxfId="191" totalsRowDxfId="190"/>
    <tableColumn id="57" xr3:uid="{00000000-0010-0000-1200-000039000000}" name="Fin_TUSD" dataDxfId="189" totalsRowDxfId="188"/>
    <tableColumn id="58" xr3:uid="{00000000-0010-0000-1200-00003A000000}" name="Fin_TE" dataDxfId="187" totalsRowDxfId="186"/>
    <tableColumn id="59" xr3:uid="{00000000-0010-0000-1200-00003B000000}" name="CVA_TUSD" dataDxfId="185" totalsRowDxfId="184"/>
    <tableColumn id="60" xr3:uid="{00000000-0010-0000-1200-00003C000000}" name="CVA_TE" dataDxfId="183" totalsRowDxfId="182"/>
    <tableColumn id="61" xr3:uid="{00000000-0010-0000-1200-00003D000000}" name="FinCT_ParcelaB" dataDxfId="181" totalsRowDxfId="180"/>
    <tableColumn id="62" xr3:uid="{00000000-0010-0000-1200-00003E000000}" name="CVA_EnergiaRevenda" dataDxfId="179" totalsRowDxfId="178"/>
    <tableColumn id="63" xr3:uid="{00000000-0010-0000-1200-00003F000000}" name="CVA_perdasnt" dataDxfId="177" totalsRowDxfId="176"/>
    <tableColumn id="64" xr3:uid="{00000000-0010-0000-1200-000040000000}" name="CVA_perdasrb_d" dataDxfId="175" totalsRowDxfId="174"/>
    <tableColumn id="65" xr3:uid="{00000000-0010-0000-1200-000041000000}" name="CVA_perdasrb_c" dataDxfId="173" totalsRowDxfId="172"/>
    <tableColumn id="66" xr3:uid="{00000000-0010-0000-1200-000042000000}" name="CVA_perdastec" dataDxfId="171" totalsRowDxfId="170"/>
    <tableColumn id="67" xr3:uid="{00000000-0010-0000-1200-000043000000}" name="CVA_TUST_RB" dataDxfId="169" totalsRowDxfId="168"/>
    <tableColumn id="68" xr3:uid="{00000000-0010-0000-1200-000044000000}" name="CVA_TUST_FR" dataDxfId="167" totalsRowDxfId="166"/>
    <tableColumn id="69" xr3:uid="{00000000-0010-0000-1200-000045000000}" name="CVA_TUSDG_ONS" dataDxfId="165" totalsRowDxfId="164"/>
    <tableColumn id="70" xr3:uid="{00000000-0010-0000-1200-000046000000}" name="CVA_TUSDG_T" dataDxfId="163" totalsRowDxfId="162"/>
    <tableColumn id="71" xr3:uid="{FD269DC2-F12E-4BFC-8985-48C037DAEE3D}" name="CVA_TUST_CI" dataDxfId="161" totalsRowDxfId="160"/>
    <tableColumn id="72" xr3:uid="{2C34E4B3-7F07-4D64-9725-21233E09B2F8}" name="CVA_TUST_ITAIPU" dataDxfId="159" totalsRowDxfId="158"/>
    <tableColumn id="73" xr3:uid="{8FF1C04E-705B-4D43-8218-1D303ACBF1B4}" name="CVA_liminar" dataDxfId="157" totalsRowDxfId="156"/>
    <tableColumn id="146" xr3:uid="{A0539E69-57F8-49AD-B6ED-5CA0CA7D6897}" name="covidTusdEco" dataDxfId="155" totalsRowDxfId="154"/>
    <tableColumn id="147" xr3:uid="{412F0612-265D-4505-B4E2-63112B7EB7C9}" name="covidTeEco" dataDxfId="153" totalsRowDxfId="152"/>
    <tableColumn id="148" xr3:uid="{50DABFA8-FB5B-4872-BBA1-9BB3F56B96E2}" name="CVA_CovidTusd" dataDxfId="151" totalsRowDxfId="150"/>
    <tableColumn id="149" xr3:uid="{C64DE2C8-238E-48D0-AEEB-540EC8B5DBF4}" name="CVA_CovidTe_ou_CVA_CDE_E" dataDxfId="149" totalsRowDxfId="148"/>
    <tableColumn id="150" xr3:uid="{8D5DC1D4-E0A6-41B2-A2BB-26D2CA19EF4D}" name="FinCT_CDECOVIDTUSD" dataDxfId="147" totalsRowDxfId="146"/>
    <tableColumn id="151" xr3:uid="{D8258B5F-46FF-48E9-9CE8-9678AF6BD40F}" name="FinCT_CDECOVIDTE_ou_FinCT_CDE_E" dataDxfId="145" totalsRowDxfId="144"/>
    <tableColumn id="152" xr3:uid="{FA4B6803-ED14-4E9F-9237-11D021C62E1A}" name="idsreag" dataDxfId="143" totalsRowDxfId="142"/>
    <tableColumn id="153" xr3:uid="{6D0A4132-E9DF-49BA-93FC-314F55CD4E6C}" name="FinCTAn3En" dataDxfId="141" totalsRowDxfId="140"/>
    <tableColumn id="154" xr3:uid="{BCEBACD9-92B7-4C07-9349-0BF06725A083}" name="An3En" dataDxfId="139" totalsRowDxfId="138"/>
    <tableColumn id="155" xr3:uid="{E0739760-5FFA-460A-9B92-A98307BBEDBF}" name="CVA_An3En" dataDxfId="137" totalsRowDxfId="136"/>
    <tableColumn id="156" xr3:uid="{B6B0B208-D422-4A68-A0C8-E9FD52441D0C}" name="Fin_An3En" dataDxfId="135" totalsRowDxfId="134"/>
    <tableColumn id="157" xr3:uid="{7FDB53B5-00DC-4051-9BCD-5C44BCE1FE22}" name="FIN_CFURH" dataDxfId="133" totalsRowDxfId="132"/>
    <tableColumn id="158" xr3:uid="{234C3200-BA41-45F1-B762-23558F062AAD}" name="TEAngra" dataDxfId="131" totalsRowDxfId="130"/>
    <tableColumn id="159" xr3:uid="{4BBB7D5C-E9AD-4D0D-B22B-8576940F6A95}" name="TUSDAngra" dataDxfId="129" totalsRowDxfId="128"/>
    <tableColumn id="160" xr3:uid="{326F4D4F-8A5C-44D5-BA24-641AA39AE29E}" name="teCheia" dataDxfId="127" totalsRowDxfId="126"/>
    <tableColumn id="161" xr3:uid="{11C36C6C-88C1-412F-8622-2358DD383682}" name="tusdcheia" dataDxfId="125" totalsRowDxfId="124"/>
    <tableColumn id="162" xr3:uid="{14D370CA-1BC7-4B1B-93D5-6756E4EAFFCA}" name="AngraIII_TE" dataDxfId="123" totalsRowDxfId="122"/>
    <tableColumn id="163" xr3:uid="{C9000446-FA08-4BA9-A8BF-3E9F938C3AEE}" name="AngraIII_TUSD" dataDxfId="121" totalsRowDxfId="120"/>
    <tableColumn id="164" xr3:uid="{1E3DAD37-4778-41FB-BEFE-20A527048580}" name="AngraIII_Desc_TE" dataDxfId="119" totalsRowDxfId="118"/>
    <tableColumn id="165" xr3:uid="{6C19244C-C9FE-4DCB-ABD7-0AFB4C980B1D}" name="AngraIII_Desc_TUSD" dataDxfId="117" totalsRowDxfId="116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2" dataDxfId="111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10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9" dataDxfId="108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7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6" dataDxfId="105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4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3" dataDxfId="102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1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100" dataDxfId="99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8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7" dataDxfId="96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5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4" dataDxfId="92" headerRowBorderDxfId="93" tableBorderDxfId="91" totalsRowBorderDxfId="90" headerRowCellStyle="Normal 54 2" dataCellStyle="Normal 54 2">
  <autoFilter ref="AD139:AD143" xr:uid="{00000000-0009-0000-0100-00000C000000}"/>
  <tableColumns count="1">
    <tableColumn id="1" xr3:uid="{00000000-0010-0000-0900-000001000000}" name="1" dataDxfId="89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8" dataDxfId="87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6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5" dataDxfId="84" headerRowCellStyle="Normal 54 2" dataCellStyle="Normal 54 2">
  <autoFilter ref="AO166:AP207" xr:uid="{00000000-0009-0000-0100-00000F000000}"/>
  <tableColumns count="2">
    <tableColumn id="1" xr3:uid="{00000000-0010-0000-0B00-000001000000}" name="1" dataDxfId="83" dataCellStyle="Normal 54 2">
      <calculatedColumnFormula>IF(AN167=0,0,1)</calculatedColumnFormula>
    </tableColumn>
    <tableColumn id="2" xr3:uid="{00000000-0010-0000-0B00-000002000000}" name="2" dataDxfId="82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1" dataDxfId="80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9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8" dataDxfId="77" tableBorderDxfId="76" headerRowCellStyle="Normal 54 2" dataCellStyle="Year 2 6">
  <autoFilter ref="BS310:BS317" xr:uid="{00000000-0009-0000-0100-000013000000}"/>
  <tableColumns count="1">
    <tableColumn id="1" xr3:uid="{00000000-0010-0000-0D00-000001000000}" name="Colunas1" dataDxfId="75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4" dataDxfId="72" headerRowBorderDxfId="73" tableBorderDxfId="71" totalsRowBorderDxfId="70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9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8" dataDxfId="67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6" dataCellStyle="Normal 54 2">
      <calculatedColumnFormula>IF(BU320=0,0,1)</calculatedColumnFormula>
    </tableColumn>
    <tableColumn id="2" xr3:uid="{00000000-0010-0000-0F00-000002000000}" name="Colunas2" dataDxfId="65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4" dataDxfId="62" headerRowBorderDxfId="63" tableBorderDxfId="61" totalsRowBorderDxfId="60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9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8" dT="2022-09-08T21:13:01.90" personId="{A52E58EE-8888-424D-89BD-D8FFF5AB379A}" id="{76693693-77E7-4948-932F-D973290A1052}">
    <text>Efeito médio calculo versão 15 =10%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2039</v>
      </c>
    </row>
    <row r="2" spans="1:15">
      <c r="A2">
        <v>252</v>
      </c>
      <c r="B2" s="909">
        <v>43922</v>
      </c>
      <c r="C2" s="232"/>
      <c r="D2" s="232"/>
      <c r="E2" s="232"/>
      <c r="F2" s="232"/>
      <c r="G2" s="232"/>
      <c r="H2" s="232"/>
      <c r="I2" s="910"/>
    </row>
    <row r="3" spans="1:15">
      <c r="A3">
        <v>255</v>
      </c>
      <c r="B3" s="909">
        <v>43922</v>
      </c>
      <c r="C3" s="232"/>
      <c r="D3" s="232"/>
      <c r="E3" s="232"/>
      <c r="F3" s="232"/>
      <c r="G3" s="232"/>
      <c r="H3" s="232"/>
      <c r="I3" s="910"/>
    </row>
    <row r="4" spans="1:15">
      <c r="A4">
        <v>206</v>
      </c>
      <c r="B4" s="909">
        <v>43922</v>
      </c>
      <c r="C4" s="232"/>
      <c r="D4" s="232"/>
      <c r="E4" s="232"/>
      <c r="F4" s="232"/>
      <c r="G4" s="232"/>
      <c r="H4" s="232"/>
      <c r="I4" s="910"/>
    </row>
    <row r="5" spans="1:15">
      <c r="A5">
        <v>256</v>
      </c>
      <c r="B5" s="909">
        <v>43922</v>
      </c>
      <c r="C5" s="232"/>
      <c r="D5" s="232"/>
      <c r="E5" s="232"/>
      <c r="F5" s="232"/>
      <c r="G5" s="232"/>
      <c r="H5" s="232"/>
      <c r="I5" s="910"/>
      <c r="J5" s="232">
        <v>4154376.2782662762</v>
      </c>
    </row>
    <row r="6" spans="1:15">
      <c r="A6">
        <v>203</v>
      </c>
      <c r="B6" s="909">
        <v>43952</v>
      </c>
      <c r="C6" s="232"/>
      <c r="D6" s="232"/>
      <c r="E6" s="232"/>
      <c r="F6" s="232"/>
      <c r="G6" s="232"/>
      <c r="H6" s="232"/>
      <c r="I6" s="910"/>
      <c r="J6" s="232"/>
    </row>
    <row r="7" spans="1:15">
      <c r="A7">
        <v>211</v>
      </c>
      <c r="B7" s="909">
        <v>43952</v>
      </c>
      <c r="C7" s="232"/>
      <c r="D7" s="232"/>
      <c r="E7" s="232"/>
      <c r="F7" s="232"/>
      <c r="G7" s="232"/>
      <c r="H7" s="232"/>
      <c r="I7" s="910"/>
      <c r="J7" s="232">
        <v>18046086.986190885</v>
      </c>
      <c r="N7" s="232"/>
      <c r="O7" s="910"/>
    </row>
    <row r="8" spans="1:15">
      <c r="A8">
        <v>254</v>
      </c>
      <c r="B8" s="909">
        <v>43952</v>
      </c>
      <c r="C8" s="232"/>
      <c r="D8" s="232"/>
      <c r="E8" s="232"/>
      <c r="F8" s="232"/>
      <c r="G8" s="232"/>
      <c r="H8" s="232"/>
      <c r="I8" s="910"/>
      <c r="N8" s="232"/>
      <c r="O8" s="910"/>
    </row>
    <row r="9" spans="1:15">
      <c r="A9">
        <v>210</v>
      </c>
      <c r="B9" s="909">
        <v>43952</v>
      </c>
      <c r="C9" s="232"/>
      <c r="D9" s="232"/>
      <c r="E9" s="232"/>
      <c r="F9" s="232"/>
      <c r="G9" s="232"/>
      <c r="H9" s="232"/>
      <c r="I9" s="910"/>
      <c r="N9" s="232"/>
      <c r="O9" s="910"/>
    </row>
    <row r="10" spans="1:15">
      <c r="A10">
        <v>258</v>
      </c>
      <c r="B10" s="909">
        <v>44013</v>
      </c>
      <c r="C10" s="232"/>
      <c r="D10" s="232"/>
      <c r="E10" s="232"/>
      <c r="F10" s="232"/>
      <c r="G10" s="232"/>
      <c r="H10" s="232"/>
      <c r="I10" s="910"/>
    </row>
    <row r="11" spans="1:15">
      <c r="A11">
        <v>247</v>
      </c>
      <c r="B11" s="909">
        <v>44013</v>
      </c>
      <c r="C11" s="232"/>
      <c r="D11" s="232"/>
      <c r="E11" s="232"/>
      <c r="F11" s="232"/>
      <c r="G11" s="232"/>
      <c r="H11" s="232"/>
      <c r="I11" s="910"/>
    </row>
    <row r="12" spans="1:15">
      <c r="A12">
        <v>248</v>
      </c>
      <c r="B12" s="909">
        <v>44013</v>
      </c>
      <c r="C12" s="232"/>
      <c r="D12" s="232"/>
      <c r="E12" s="232"/>
      <c r="F12" s="232"/>
      <c r="G12" s="232"/>
      <c r="H12" s="232"/>
      <c r="I12" s="911"/>
    </row>
    <row r="13" spans="1:15">
      <c r="A13">
        <v>209</v>
      </c>
      <c r="B13" s="909">
        <v>44013</v>
      </c>
      <c r="C13" s="232"/>
      <c r="D13" s="232"/>
      <c r="E13" s="232"/>
      <c r="F13" s="232"/>
      <c r="G13" s="232"/>
      <c r="H13" s="232"/>
      <c r="I13" s="910"/>
    </row>
    <row r="14" spans="1:15">
      <c r="A14">
        <v>207</v>
      </c>
      <c r="B14" s="909">
        <v>44013</v>
      </c>
      <c r="C14" s="232"/>
      <c r="D14" s="232"/>
      <c r="E14" s="232"/>
      <c r="F14" s="232"/>
      <c r="G14" s="232"/>
      <c r="H14" s="232"/>
      <c r="I14" s="910"/>
    </row>
    <row r="15" spans="1:15">
      <c r="A15">
        <v>249</v>
      </c>
      <c r="B15" s="909">
        <v>44013</v>
      </c>
      <c r="C15" s="232"/>
      <c r="D15" s="232"/>
      <c r="E15" s="232"/>
      <c r="F15" s="232"/>
      <c r="G15" s="232"/>
      <c r="H15" s="232"/>
      <c r="I15" s="910"/>
    </row>
    <row r="16" spans="1:15">
      <c r="A16">
        <v>237</v>
      </c>
      <c r="B16" s="909">
        <v>44013</v>
      </c>
      <c r="C16" s="232"/>
      <c r="D16" s="232"/>
      <c r="E16" s="232"/>
      <c r="F16" s="232"/>
      <c r="G16" s="232"/>
      <c r="H16" s="232"/>
      <c r="I16" s="911"/>
    </row>
    <row r="17" spans="1:10">
      <c r="A17">
        <v>246</v>
      </c>
      <c r="B17" s="909">
        <v>44013</v>
      </c>
      <c r="C17" s="232"/>
      <c r="D17" s="232"/>
      <c r="E17" s="232"/>
      <c r="F17" s="232"/>
      <c r="G17" s="232"/>
      <c r="H17" s="232"/>
      <c r="I17" s="910"/>
    </row>
    <row r="18" spans="1:10">
      <c r="A18">
        <v>238</v>
      </c>
      <c r="B18" s="909">
        <v>44013</v>
      </c>
      <c r="C18" s="232"/>
      <c r="D18" s="232"/>
      <c r="E18" s="232"/>
      <c r="F18" s="232"/>
      <c r="G18" s="232"/>
      <c r="H18" s="232"/>
      <c r="I18" s="910"/>
    </row>
    <row r="19" spans="1:10">
      <c r="A19">
        <v>240</v>
      </c>
      <c r="B19" s="909">
        <v>44013</v>
      </c>
      <c r="C19" s="232"/>
      <c r="D19" s="232"/>
      <c r="E19" s="232"/>
      <c r="F19" s="232"/>
      <c r="G19" s="232"/>
      <c r="H19" s="232"/>
      <c r="I19" s="910"/>
      <c r="J19" s="232">
        <v>81721407.839354143</v>
      </c>
    </row>
    <row r="20" spans="1:10">
      <c r="A20">
        <v>242</v>
      </c>
      <c r="B20" s="909">
        <v>44013</v>
      </c>
      <c r="C20" s="232"/>
      <c r="D20" s="232"/>
      <c r="E20" s="232"/>
      <c r="F20" s="232"/>
      <c r="G20" s="232"/>
      <c r="H20" s="232"/>
      <c r="I20" s="910"/>
    </row>
    <row r="21" spans="1:10">
      <c r="A21">
        <v>245</v>
      </c>
      <c r="B21" s="909">
        <v>44013</v>
      </c>
      <c r="C21" s="232"/>
      <c r="D21" s="232"/>
      <c r="E21" s="232"/>
      <c r="F21" s="232"/>
      <c r="G21" s="232"/>
      <c r="H21" s="232"/>
      <c r="I21" s="910"/>
    </row>
    <row r="22" spans="1:10">
      <c r="A22">
        <v>257</v>
      </c>
      <c r="B22" s="909">
        <v>44013</v>
      </c>
      <c r="C22" s="232"/>
      <c r="D22" s="232"/>
      <c r="E22" s="232"/>
      <c r="F22" s="232"/>
      <c r="G22" s="232"/>
      <c r="H22" s="232"/>
      <c r="I22" s="910"/>
    </row>
    <row r="23" spans="1:10">
      <c r="A23">
        <v>239</v>
      </c>
      <c r="B23" s="909">
        <v>44013</v>
      </c>
      <c r="C23" s="232"/>
      <c r="D23" s="232"/>
      <c r="E23" s="232"/>
      <c r="F23" s="232"/>
      <c r="G23" s="232"/>
      <c r="H23" s="232"/>
      <c r="I23" s="910"/>
    </row>
    <row r="24" spans="1:10">
      <c r="A24">
        <v>232</v>
      </c>
      <c r="B24" s="909">
        <v>44075</v>
      </c>
      <c r="C24" s="232"/>
      <c r="D24" s="232"/>
      <c r="E24" s="232"/>
      <c r="F24" s="232"/>
      <c r="G24" s="232"/>
      <c r="H24" s="232"/>
      <c r="I24" s="910"/>
    </row>
    <row r="25" spans="1:10">
      <c r="A25">
        <v>222</v>
      </c>
      <c r="B25" s="909">
        <v>44075</v>
      </c>
      <c r="C25" s="232"/>
      <c r="D25" s="232"/>
      <c r="E25" s="232"/>
      <c r="F25" s="232"/>
      <c r="G25" s="232"/>
      <c r="H25" s="232"/>
      <c r="I25" s="910"/>
    </row>
    <row r="26" spans="1:10">
      <c r="A26">
        <v>202</v>
      </c>
      <c r="B26" s="909">
        <v>44075</v>
      </c>
      <c r="C26" s="232"/>
      <c r="D26" s="232"/>
      <c r="E26" s="232"/>
      <c r="F26" s="232"/>
      <c r="G26" s="232"/>
      <c r="H26" s="232"/>
      <c r="I26" s="910"/>
    </row>
    <row r="27" spans="1:10">
      <c r="A27">
        <v>260</v>
      </c>
      <c r="B27" s="909">
        <v>44075</v>
      </c>
      <c r="C27" s="232"/>
      <c r="D27" s="232"/>
      <c r="E27" s="232"/>
      <c r="F27" s="232"/>
      <c r="G27" s="232"/>
      <c r="H27" s="232"/>
      <c r="I27" s="910"/>
    </row>
    <row r="28" spans="1:10">
      <c r="A28">
        <v>230</v>
      </c>
      <c r="B28" s="909">
        <v>44075</v>
      </c>
      <c r="C28" s="232"/>
      <c r="D28" s="232"/>
      <c r="E28" s="232"/>
      <c r="F28" s="232"/>
      <c r="G28" s="232"/>
      <c r="H28" s="232"/>
      <c r="I28" s="910"/>
    </row>
    <row r="29" spans="1:10">
      <c r="A29">
        <v>221</v>
      </c>
      <c r="B29" s="909">
        <v>44075</v>
      </c>
      <c r="C29" s="232"/>
      <c r="D29" s="232"/>
      <c r="E29" s="232"/>
      <c r="F29" s="232"/>
      <c r="G29" s="232"/>
      <c r="H29" s="232"/>
      <c r="I29" s="910"/>
    </row>
    <row r="30" spans="1:10">
      <c r="A30">
        <v>218</v>
      </c>
      <c r="B30" s="909">
        <v>44075</v>
      </c>
      <c r="C30" s="232"/>
      <c r="D30" s="232"/>
      <c r="E30" s="232"/>
      <c r="F30" s="232"/>
      <c r="G30" s="232"/>
      <c r="H30" s="232"/>
      <c r="I30" s="910"/>
    </row>
    <row r="31" spans="1:10">
      <c r="A31">
        <v>261</v>
      </c>
      <c r="B31" s="909">
        <v>44075</v>
      </c>
      <c r="C31" s="232"/>
      <c r="D31" s="232"/>
      <c r="E31" s="232"/>
      <c r="F31" s="232"/>
      <c r="G31" s="232"/>
      <c r="H31" s="232"/>
      <c r="I31" s="910"/>
    </row>
    <row r="32" spans="1:10">
      <c r="A32">
        <v>262</v>
      </c>
      <c r="B32" s="909">
        <v>44075</v>
      </c>
      <c r="C32" s="232"/>
      <c r="D32" s="232"/>
      <c r="E32" s="232"/>
      <c r="F32" s="232"/>
      <c r="G32" s="232"/>
      <c r="H32" s="232"/>
      <c r="I32" s="910"/>
    </row>
    <row r="33" spans="1:9">
      <c r="A33">
        <v>227</v>
      </c>
      <c r="B33" s="909">
        <v>44075</v>
      </c>
      <c r="C33" s="232"/>
      <c r="D33" s="232"/>
      <c r="E33" s="232"/>
      <c r="F33" s="232"/>
      <c r="G33" s="232"/>
      <c r="H33" s="232"/>
      <c r="I33" s="910"/>
    </row>
    <row r="34" spans="1:9">
      <c r="A34">
        <v>231</v>
      </c>
      <c r="B34" s="909">
        <v>44075</v>
      </c>
      <c r="C34" s="232"/>
      <c r="D34" s="232"/>
      <c r="E34" s="232"/>
      <c r="F34" s="232"/>
      <c r="G34" s="232"/>
      <c r="H34" s="232"/>
      <c r="I34" s="910"/>
    </row>
    <row r="35" spans="1:9">
      <c r="A35">
        <v>216</v>
      </c>
      <c r="B35" s="909">
        <v>44075</v>
      </c>
      <c r="C35" s="232"/>
      <c r="D35" s="232"/>
      <c r="E35" s="232"/>
      <c r="F35" s="232"/>
      <c r="G35" s="232"/>
      <c r="H35" s="232"/>
      <c r="I35" s="910"/>
    </row>
    <row r="36" spans="1:9">
      <c r="A36">
        <v>229</v>
      </c>
      <c r="B36" s="909">
        <v>44075</v>
      </c>
      <c r="C36" s="232"/>
      <c r="D36" s="232"/>
      <c r="E36" s="232"/>
      <c r="F36" s="232"/>
      <c r="G36" s="232"/>
      <c r="H36" s="232"/>
      <c r="I36" s="910"/>
    </row>
    <row r="37" spans="1:9">
      <c r="A37">
        <v>215</v>
      </c>
      <c r="B37" s="909">
        <v>44075</v>
      </c>
      <c r="C37" s="232"/>
      <c r="D37" s="232"/>
      <c r="E37" s="232"/>
      <c r="F37" s="232"/>
      <c r="G37" s="232"/>
      <c r="H37" s="232"/>
      <c r="I37" s="910"/>
    </row>
    <row r="38" spans="1:9">
      <c r="A38">
        <v>224</v>
      </c>
      <c r="B38" s="909">
        <v>44075</v>
      </c>
      <c r="C38" s="232"/>
      <c r="D38" s="232"/>
      <c r="E38" s="232"/>
      <c r="F38" s="232"/>
      <c r="G38" s="232"/>
      <c r="H38" s="232"/>
      <c r="I38" s="910"/>
    </row>
    <row r="39" spans="1:9">
      <c r="A39">
        <v>226</v>
      </c>
      <c r="B39" s="909">
        <v>44075</v>
      </c>
      <c r="C39" s="232"/>
      <c r="D39" s="232"/>
      <c r="E39" s="232"/>
      <c r="F39" s="232"/>
      <c r="G39" s="232"/>
      <c r="H39" s="232"/>
      <c r="I39" s="910"/>
    </row>
    <row r="40" spans="1:9">
      <c r="A40">
        <v>234</v>
      </c>
      <c r="B40" s="909">
        <v>44075</v>
      </c>
      <c r="C40" s="232"/>
      <c r="D40" s="232"/>
      <c r="E40" s="232"/>
      <c r="F40" s="232"/>
      <c r="G40" s="232"/>
      <c r="H40" s="232"/>
      <c r="I40" s="910"/>
    </row>
    <row r="41" spans="1:9">
      <c r="A41">
        <v>223</v>
      </c>
      <c r="B41" s="909">
        <v>44075</v>
      </c>
      <c r="C41" s="232"/>
      <c r="D41" s="232"/>
      <c r="E41" s="232"/>
      <c r="F41" s="232"/>
      <c r="G41" s="232"/>
      <c r="H41" s="232"/>
      <c r="I41" s="910"/>
    </row>
    <row r="42" spans="1:9">
      <c r="A42">
        <v>225</v>
      </c>
      <c r="B42" s="909">
        <v>44075</v>
      </c>
      <c r="C42" s="232"/>
      <c r="D42" s="232"/>
      <c r="E42" s="232"/>
      <c r="F42" s="232"/>
      <c r="G42" s="232"/>
      <c r="H42" s="232"/>
      <c r="I42" s="910"/>
    </row>
    <row r="43" spans="1:9">
      <c r="A43">
        <v>228</v>
      </c>
      <c r="B43" s="909">
        <v>44075</v>
      </c>
      <c r="C43" s="232"/>
      <c r="D43" s="232"/>
      <c r="E43" s="232"/>
      <c r="F43" s="232"/>
      <c r="G43" s="232"/>
      <c r="H43" s="232"/>
      <c r="I43" s="910"/>
    </row>
    <row r="44" spans="1:9">
      <c r="A44">
        <v>220</v>
      </c>
      <c r="B44" s="909">
        <v>44075</v>
      </c>
      <c r="C44" s="232"/>
      <c r="D44" s="232"/>
      <c r="E44" s="232"/>
      <c r="F44" s="232"/>
      <c r="G44" s="232"/>
      <c r="H44" s="232"/>
      <c r="I44" s="910"/>
    </row>
    <row r="45" spans="1:9">
      <c r="A45">
        <v>201</v>
      </c>
      <c r="B45" s="909">
        <v>44136</v>
      </c>
      <c r="C45" s="232"/>
      <c r="D45" s="232"/>
      <c r="E45" s="232"/>
      <c r="F45" s="232"/>
      <c r="G45" s="232"/>
      <c r="H45" s="232"/>
      <c r="I45" s="910"/>
    </row>
    <row r="46" spans="1:9">
      <c r="A46">
        <v>213</v>
      </c>
      <c r="B46" s="909">
        <v>44136</v>
      </c>
      <c r="C46" s="232"/>
      <c r="D46" s="232"/>
      <c r="E46" s="232"/>
      <c r="F46" s="232"/>
      <c r="G46" s="232"/>
      <c r="H46" s="232"/>
      <c r="I46" s="910"/>
    </row>
    <row r="47" spans="1:9">
      <c r="A47">
        <v>219</v>
      </c>
      <c r="B47" s="909">
        <v>44136</v>
      </c>
      <c r="C47" s="232"/>
      <c r="D47" s="232"/>
      <c r="E47" s="232"/>
      <c r="F47" s="232"/>
      <c r="G47" s="232"/>
      <c r="H47" s="232"/>
      <c r="I47" s="910"/>
    </row>
    <row r="48" spans="1:9">
      <c r="A48">
        <v>205</v>
      </c>
      <c r="B48" s="909">
        <v>44136</v>
      </c>
      <c r="C48" s="232"/>
      <c r="D48" s="232"/>
      <c r="E48" s="232"/>
      <c r="F48" s="232"/>
      <c r="G48" s="232"/>
      <c r="H48" s="232"/>
      <c r="I48" s="910"/>
    </row>
    <row r="49" spans="1:10">
      <c r="A49">
        <v>208</v>
      </c>
      <c r="B49" s="909">
        <v>44136</v>
      </c>
      <c r="C49" s="232"/>
      <c r="D49" s="232"/>
      <c r="E49" s="232"/>
      <c r="F49" s="232"/>
      <c r="G49" s="232"/>
      <c r="H49" s="232"/>
      <c r="I49" s="910"/>
    </row>
    <row r="50" spans="1:10">
      <c r="A50">
        <v>263</v>
      </c>
      <c r="B50" s="909">
        <v>44166</v>
      </c>
      <c r="C50" s="232"/>
      <c r="D50" s="232"/>
      <c r="F50" s="232"/>
      <c r="G50" s="232"/>
      <c r="H50" s="232"/>
      <c r="I50" s="910"/>
      <c r="J50" s="232">
        <v>5389974.3136365721</v>
      </c>
    </row>
    <row r="51" spans="1:10">
      <c r="A51">
        <v>217</v>
      </c>
      <c r="B51" s="909">
        <v>44166</v>
      </c>
      <c r="C51" s="232"/>
      <c r="D51" s="232"/>
      <c r="E51" s="232"/>
      <c r="F51" s="232"/>
      <c r="G51" s="232"/>
      <c r="H51" s="232"/>
      <c r="I51" s="910"/>
      <c r="J51" s="232"/>
    </row>
    <row r="52" spans="1:10">
      <c r="A52">
        <v>264</v>
      </c>
      <c r="B52" s="909">
        <v>44166</v>
      </c>
      <c r="C52" s="232"/>
      <c r="D52" s="232"/>
      <c r="F52" s="232"/>
      <c r="G52" s="232"/>
      <c r="H52" s="232"/>
      <c r="I52" s="910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C47" zoomScale="90" zoomScaleNormal="90" workbookViewId="0">
      <selection activeCell="N68" sqref="N68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1" t="s">
        <v>12</v>
      </c>
      <c r="C1" s="932"/>
      <c r="D1" s="932"/>
      <c r="E1" s="933" t="s">
        <v>13</v>
      </c>
      <c r="F1" s="934">
        <f ca="1">LnkTXTIRTEco</f>
        <v>0.1195</v>
      </c>
    </row>
    <row r="2" spans="2:43" ht="28.5" customHeight="1">
      <c r="B2" s="136" t="str">
        <f>CAPA!C9</f>
        <v>Cermoful</v>
      </c>
      <c r="C2" s="70"/>
      <c r="D2" s="70"/>
      <c r="E2" s="83" t="s">
        <v>14</v>
      </c>
      <c r="F2" s="84">
        <f ca="1">LnkTXTIRTTotal</f>
        <v>7.6999999999999999E-2</v>
      </c>
      <c r="M2" s="85"/>
      <c r="N2" s="86"/>
      <c r="AA2" s="846"/>
      <c r="AB2" s="908"/>
      <c r="AC2" s="846"/>
      <c r="AD2" s="846"/>
    </row>
    <row r="3" spans="2:43" ht="21" customHeight="1">
      <c r="B3" s="935" t="s">
        <v>15</v>
      </c>
      <c r="C3" s="785"/>
      <c r="I3" s="935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6" t="s">
        <v>17</v>
      </c>
      <c r="C5" s="937">
        <v>138405.701</v>
      </c>
      <c r="D5" s="1778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6" t="s">
        <v>33</v>
      </c>
      <c r="AE5" s="846" t="s">
        <v>2035</v>
      </c>
      <c r="AI5" s="888" t="s">
        <v>34</v>
      </c>
      <c r="AJ5" s="888" t="s">
        <v>35</v>
      </c>
      <c r="AL5" s="896" t="s">
        <v>36</v>
      </c>
      <c r="AM5" s="896" t="s">
        <v>37</v>
      </c>
      <c r="AO5" s="846" t="s">
        <v>2060</v>
      </c>
      <c r="AP5" s="846" t="s">
        <v>37</v>
      </c>
      <c r="AQ5" s="846" t="s">
        <v>2061</v>
      </c>
    </row>
    <row r="6" spans="2:43" ht="16.5">
      <c r="B6" s="93"/>
      <c r="C6" s="88"/>
      <c r="D6" s="1779"/>
      <c r="E6" s="90"/>
      <c r="F6" s="72"/>
      <c r="G6" s="72"/>
      <c r="H6" s="68" t="str">
        <f>CONCATENATE(W6,J6,L6,O6)</f>
        <v>5697A4Não se aplicaEnergia</v>
      </c>
      <c r="I6" s="938">
        <v>2022</v>
      </c>
      <c r="J6" s="939" t="s">
        <v>534</v>
      </c>
      <c r="K6" s="939" t="s">
        <v>753</v>
      </c>
      <c r="L6" s="939" t="s">
        <v>1240</v>
      </c>
      <c r="M6" s="939" t="s">
        <v>334</v>
      </c>
      <c r="N6" s="939">
        <v>5364</v>
      </c>
      <c r="O6" s="939" t="s">
        <v>108</v>
      </c>
      <c r="P6" s="939" t="s">
        <v>754</v>
      </c>
      <c r="Q6" s="940">
        <v>44795</v>
      </c>
      <c r="R6" s="940">
        <v>44785</v>
      </c>
      <c r="S6" s="508" t="s">
        <v>2326</v>
      </c>
      <c r="T6" s="940" t="s">
        <v>2327</v>
      </c>
      <c r="U6" s="939">
        <v>12.06</v>
      </c>
      <c r="V6" s="939">
        <v>111</v>
      </c>
      <c r="W6" s="68">
        <f>VLOOKUP(V6,DescontosTE[[#All],[idsreag supridora]:[codsariSUP]],2,FALSE)</f>
        <v>5697</v>
      </c>
      <c r="AA6" s="847"/>
      <c r="AB6" s="848"/>
      <c r="AC6" s="847"/>
      <c r="AD6" s="847"/>
      <c r="AE6" s="847"/>
      <c r="AI6" s="894"/>
      <c r="AJ6" s="895"/>
      <c r="AL6" s="897" t="s">
        <v>2384</v>
      </c>
      <c r="AM6" s="898">
        <v>0</v>
      </c>
      <c r="AO6" s="1458" t="s">
        <v>2074</v>
      </c>
      <c r="AP6" s="1459"/>
      <c r="AQ6" s="1459"/>
    </row>
    <row r="7" spans="2:43" ht="16.5">
      <c r="B7" s="941" t="s">
        <v>38</v>
      </c>
      <c r="C7" s="942">
        <v>0</v>
      </c>
      <c r="D7" s="1779"/>
      <c r="E7" s="72"/>
      <c r="F7" s="72"/>
      <c r="G7" s="72"/>
      <c r="H7" s="68" t="str">
        <f t="shared" ref="H7:H30" si="0">CONCATENATE(W7,J7,L7,O7)</f>
        <v>5697A4Fora pontaPotência</v>
      </c>
      <c r="I7" s="506">
        <v>2022</v>
      </c>
      <c r="J7" s="507" t="s">
        <v>534</v>
      </c>
      <c r="K7" s="507" t="s">
        <v>753</v>
      </c>
      <c r="L7" s="507" t="s">
        <v>2328</v>
      </c>
      <c r="M7" s="507" t="s">
        <v>334</v>
      </c>
      <c r="N7" s="507">
        <v>5364</v>
      </c>
      <c r="O7" s="507" t="s">
        <v>1239</v>
      </c>
      <c r="P7" s="507" t="s">
        <v>754</v>
      </c>
      <c r="Q7" s="508">
        <v>44795</v>
      </c>
      <c r="R7" s="508">
        <v>44785</v>
      </c>
      <c r="S7" s="508" t="s">
        <v>2326</v>
      </c>
      <c r="T7" s="508" t="s">
        <v>2327</v>
      </c>
      <c r="U7" s="507">
        <v>13.88</v>
      </c>
      <c r="V7" s="507">
        <v>111</v>
      </c>
      <c r="W7" s="68">
        <f>VLOOKUP(V7,DescontosTE[[#All],[idsreag supridora]:[codsariSUP]],2,FALSE)</f>
        <v>5697</v>
      </c>
      <c r="AA7" s="847"/>
      <c r="AB7" s="848"/>
      <c r="AC7" s="847"/>
      <c r="AD7" s="847"/>
      <c r="AE7" s="847"/>
      <c r="AI7" s="894"/>
      <c r="AJ7" s="895"/>
      <c r="AL7" s="897" t="s">
        <v>2385</v>
      </c>
      <c r="AM7" s="898">
        <v>0</v>
      </c>
      <c r="AO7" s="1458" t="s">
        <v>2075</v>
      </c>
      <c r="AP7" s="1459"/>
      <c r="AQ7" s="1459"/>
    </row>
    <row r="8" spans="2:43" ht="16.5">
      <c r="B8" s="93" t="s">
        <v>39</v>
      </c>
      <c r="C8" s="119">
        <v>0</v>
      </c>
      <c r="D8" s="1779"/>
      <c r="E8" s="72"/>
      <c r="F8" s="72"/>
      <c r="G8" s="72"/>
      <c r="H8" s="68" t="str">
        <f t="shared" si="0"/>
        <v>5697A3Não se aplicaEnergia</v>
      </c>
      <c r="I8" s="506">
        <v>2022</v>
      </c>
      <c r="J8" s="507" t="s">
        <v>536</v>
      </c>
      <c r="K8" s="507" t="s">
        <v>753</v>
      </c>
      <c r="L8" s="507" t="s">
        <v>1240</v>
      </c>
      <c r="M8" s="507" t="s">
        <v>334</v>
      </c>
      <c r="N8" s="507">
        <v>5364</v>
      </c>
      <c r="O8" s="507" t="s">
        <v>108</v>
      </c>
      <c r="P8" s="507" t="s">
        <v>754</v>
      </c>
      <c r="Q8" s="508">
        <v>44795</v>
      </c>
      <c r="R8" s="508">
        <v>44785</v>
      </c>
      <c r="S8" s="508" t="s">
        <v>2326</v>
      </c>
      <c r="T8" s="508" t="s">
        <v>2327</v>
      </c>
      <c r="U8" s="507">
        <v>6.29</v>
      </c>
      <c r="V8" s="507">
        <v>111</v>
      </c>
      <c r="W8" s="68">
        <f>VLOOKUP(V8,DescontosTE[[#All],[idsreag supridora]:[codsariSUP]],2,FALSE)</f>
        <v>5697</v>
      </c>
      <c r="AI8" s="894"/>
      <c r="AJ8" s="895"/>
      <c r="AL8" s="897" t="s">
        <v>2386</v>
      </c>
      <c r="AM8" s="898">
        <v>0</v>
      </c>
      <c r="AO8" s="1458" t="s">
        <v>2076</v>
      </c>
      <c r="AP8" s="1459"/>
      <c r="AQ8" s="1459"/>
    </row>
    <row r="9" spans="2:43" ht="16.5">
      <c r="B9" s="93" t="s">
        <v>40</v>
      </c>
      <c r="C9" s="119">
        <v>117388.820833768</v>
      </c>
      <c r="D9" s="1779"/>
      <c r="E9" s="72"/>
      <c r="F9" s="72"/>
      <c r="G9" s="72"/>
      <c r="H9" s="68" t="str">
        <f t="shared" si="0"/>
        <v>5697A3PontaPotência</v>
      </c>
      <c r="I9" s="506">
        <v>2022</v>
      </c>
      <c r="J9" s="507" t="s">
        <v>536</v>
      </c>
      <c r="K9" s="507" t="s">
        <v>753</v>
      </c>
      <c r="L9" s="507" t="s">
        <v>894</v>
      </c>
      <c r="M9" s="507" t="s">
        <v>334</v>
      </c>
      <c r="N9" s="507">
        <v>5364</v>
      </c>
      <c r="O9" s="507" t="s">
        <v>1239</v>
      </c>
      <c r="P9" s="507" t="s">
        <v>754</v>
      </c>
      <c r="Q9" s="508">
        <v>44795</v>
      </c>
      <c r="R9" s="508">
        <v>44785</v>
      </c>
      <c r="S9" s="508" t="s">
        <v>2326</v>
      </c>
      <c r="T9" s="508" t="s">
        <v>2327</v>
      </c>
      <c r="U9" s="507">
        <v>23.96</v>
      </c>
      <c r="V9" s="507">
        <v>111</v>
      </c>
      <c r="W9" s="68">
        <f>VLOOKUP(V9,DescontosTE[[#All],[idsreag supridora]:[codsariSUP]],2,FALSE)</f>
        <v>5697</v>
      </c>
      <c r="AI9" s="894"/>
      <c r="AJ9" s="895"/>
      <c r="AL9" s="897" t="s">
        <v>2387</v>
      </c>
      <c r="AM9" s="898"/>
      <c r="AO9" s="1458"/>
      <c r="AP9" s="1459" t="s">
        <v>2077</v>
      </c>
      <c r="AQ9" s="1459"/>
    </row>
    <row r="10" spans="2:43" ht="16.5">
      <c r="B10" s="93" t="s">
        <v>41</v>
      </c>
      <c r="C10" s="119">
        <v>7611695.47208001</v>
      </c>
      <c r="D10" s="1779"/>
      <c r="H10" s="68" t="str">
        <f t="shared" si="0"/>
        <v>5697A3Fora pontaPotência</v>
      </c>
      <c r="I10" s="506">
        <v>2022</v>
      </c>
      <c r="J10" s="507" t="s">
        <v>536</v>
      </c>
      <c r="K10" s="507" t="s">
        <v>753</v>
      </c>
      <c r="L10" s="507" t="s">
        <v>2328</v>
      </c>
      <c r="M10" s="507" t="s">
        <v>334</v>
      </c>
      <c r="N10" s="507">
        <v>5364</v>
      </c>
      <c r="O10" s="507" t="s">
        <v>1239</v>
      </c>
      <c r="P10" s="507" t="s">
        <v>754</v>
      </c>
      <c r="Q10" s="508">
        <v>44795</v>
      </c>
      <c r="R10" s="508">
        <v>44785</v>
      </c>
      <c r="S10" s="508" t="s">
        <v>2326</v>
      </c>
      <c r="T10" s="508" t="s">
        <v>2327</v>
      </c>
      <c r="U10" s="507">
        <v>13.18</v>
      </c>
      <c r="V10" s="507">
        <v>111</v>
      </c>
      <c r="W10" s="68">
        <f>VLOOKUP(V10,DescontosTE[[#All],[idsreag supridora]:[codsariSUP]],2,FALSE)</f>
        <v>5697</v>
      </c>
      <c r="AA10" s="68" t="s">
        <v>42</v>
      </c>
      <c r="AB10" s="68" t="s">
        <v>43</v>
      </c>
      <c r="AC10" s="68" t="s">
        <v>44</v>
      </c>
      <c r="AD10" s="852" t="s">
        <v>45</v>
      </c>
      <c r="AI10" s="894"/>
      <c r="AJ10" s="895"/>
      <c r="AL10" s="897" t="s">
        <v>2388</v>
      </c>
      <c r="AM10" s="898">
        <v>0</v>
      </c>
    </row>
    <row r="11" spans="2:43" ht="16.5">
      <c r="B11" s="93" t="s">
        <v>46</v>
      </c>
      <c r="C11" s="119">
        <v>0</v>
      </c>
      <c r="D11" s="1779"/>
      <c r="H11" s="68" t="str">
        <f t="shared" si="0"/>
        <v>5697A4PontaPotência</v>
      </c>
      <c r="I11" s="506">
        <v>2022</v>
      </c>
      <c r="J11" s="507" t="s">
        <v>534</v>
      </c>
      <c r="K11" s="507" t="s">
        <v>753</v>
      </c>
      <c r="L11" s="507" t="s">
        <v>894</v>
      </c>
      <c r="M11" s="507" t="s">
        <v>334</v>
      </c>
      <c r="N11" s="507">
        <v>5364</v>
      </c>
      <c r="O11" s="507" t="s">
        <v>1239</v>
      </c>
      <c r="P11" s="507" t="s">
        <v>754</v>
      </c>
      <c r="Q11" s="508">
        <v>44795</v>
      </c>
      <c r="R11" s="508">
        <v>44785</v>
      </c>
      <c r="S11" s="508" t="s">
        <v>2326</v>
      </c>
      <c r="T11" s="508" t="s">
        <v>2327</v>
      </c>
      <c r="U11" s="507">
        <v>24.15</v>
      </c>
      <c r="V11" s="507">
        <v>111</v>
      </c>
      <c r="W11" s="68">
        <f>VLOOKUP(V11,DescontosTE[[#All],[idsreag supridora]:[codsariSUP]],2,FALSE)</f>
        <v>5697</v>
      </c>
      <c r="AA11" s="847">
        <v>0.87029999999999996</v>
      </c>
      <c r="AB11" s="848">
        <v>195.04</v>
      </c>
      <c r="AC11" s="847">
        <v>14739.74</v>
      </c>
      <c r="AD11" s="847"/>
      <c r="AI11" s="894"/>
      <c r="AJ11" s="895"/>
      <c r="AL11" s="897" t="s">
        <v>2389</v>
      </c>
      <c r="AM11" s="898">
        <v>0</v>
      </c>
    </row>
    <row r="12" spans="2:43" ht="16.5">
      <c r="B12" s="93" t="s">
        <v>47</v>
      </c>
      <c r="C12" s="119">
        <v>1279283.07024</v>
      </c>
      <c r="D12" s="1779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4"/>
      <c r="AJ12" s="895"/>
      <c r="AL12" s="897" t="s">
        <v>2390</v>
      </c>
      <c r="AM12" s="898">
        <v>0</v>
      </c>
    </row>
    <row r="13" spans="2:43" ht="16.5">
      <c r="B13" s="93" t="s">
        <v>48</v>
      </c>
      <c r="C13" s="119">
        <v>0</v>
      </c>
      <c r="D13" s="1779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4"/>
      <c r="AJ13" s="895"/>
      <c r="AL13" s="897" t="s">
        <v>2391</v>
      </c>
      <c r="AM13" s="898">
        <v>0</v>
      </c>
    </row>
    <row r="14" spans="2:43" ht="16.5">
      <c r="B14" s="93" t="s">
        <v>49</v>
      </c>
      <c r="C14" s="119">
        <v>0</v>
      </c>
      <c r="D14" s="1779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7"/>
      <c r="AB14" s="797"/>
      <c r="AC14" s="797"/>
      <c r="AI14" s="894"/>
      <c r="AJ14" s="895"/>
      <c r="AL14" s="897" t="s">
        <v>2392</v>
      </c>
      <c r="AM14" s="898">
        <v>0</v>
      </c>
    </row>
    <row r="15" spans="2:43" ht="16.5">
      <c r="B15" s="943" t="s">
        <v>2036</v>
      </c>
      <c r="C15" s="944">
        <v>0</v>
      </c>
      <c r="D15" s="1779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0" t="s">
        <v>109</v>
      </c>
      <c r="AB15" s="900" t="s">
        <v>899</v>
      </c>
      <c r="AC15" s="797"/>
      <c r="AI15" s="894"/>
      <c r="AJ15" s="895"/>
      <c r="AL15" s="897"/>
      <c r="AM15" s="898"/>
    </row>
    <row r="16" spans="2:43" ht="16.5">
      <c r="D16" s="1779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7">
        <v>2022</v>
      </c>
      <c r="AB16" s="848">
        <v>2416.7616097665855</v>
      </c>
      <c r="AC16" s="846"/>
      <c r="AI16" s="894"/>
      <c r="AJ16" s="895"/>
      <c r="AL16" s="897"/>
      <c r="AM16" s="898"/>
    </row>
    <row r="17" spans="2:42" ht="16.5">
      <c r="B17" s="936" t="s">
        <v>50</v>
      </c>
      <c r="C17" s="945"/>
      <c r="D17" s="1779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4"/>
      <c r="AJ17" s="895"/>
      <c r="AL17" s="853"/>
      <c r="AM17" s="848"/>
    </row>
    <row r="18" spans="2:42" ht="16.5">
      <c r="B18" s="93" t="s">
        <v>51</v>
      </c>
      <c r="C18" s="119">
        <v>0</v>
      </c>
      <c r="D18" s="1779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4"/>
      <c r="AJ18" s="895"/>
      <c r="AL18" s="853"/>
      <c r="AM18" s="848"/>
    </row>
    <row r="19" spans="2:42" ht="16.5">
      <c r="B19" s="93" t="s">
        <v>52</v>
      </c>
      <c r="C19" s="119">
        <v>0</v>
      </c>
      <c r="D19" s="1779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4"/>
      <c r="AJ19" s="895"/>
    </row>
    <row r="20" spans="2:42" ht="16.5">
      <c r="B20" s="93" t="s">
        <v>53</v>
      </c>
      <c r="C20" s="119"/>
      <c r="D20" s="1779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9" t="s">
        <v>54</v>
      </c>
      <c r="AB20" s="849"/>
      <c r="AC20" s="850"/>
      <c r="AD20" s="850"/>
      <c r="AE20" s="850"/>
      <c r="AF20" s="850"/>
      <c r="AG20" s="851"/>
      <c r="AI20" s="853"/>
      <c r="AJ20" s="848"/>
    </row>
    <row r="21" spans="2:42" ht="16.5">
      <c r="B21" s="93" t="s">
        <v>55</v>
      </c>
      <c r="C21" s="119"/>
      <c r="D21" s="1779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9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7"/>
      <c r="AB22" s="848"/>
      <c r="AC22" s="847"/>
      <c r="AD22" s="847"/>
      <c r="AE22" s="848"/>
      <c r="AF22" s="853"/>
      <c r="AG22" s="847"/>
    </row>
    <row r="23" spans="2:42" ht="16.5">
      <c r="B23" s="93" t="s">
        <v>64</v>
      </c>
      <c r="C23" s="119"/>
      <c r="D23" s="1779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7"/>
      <c r="AB23" s="848"/>
      <c r="AC23" s="847"/>
      <c r="AD23" s="847"/>
      <c r="AE23" s="848"/>
      <c r="AF23" s="847"/>
      <c r="AG23" s="847"/>
      <c r="AI23" s="846" t="s">
        <v>2064</v>
      </c>
      <c r="AM23" s="846" t="s">
        <v>2068</v>
      </c>
    </row>
    <row r="24" spans="2:42" ht="16.5">
      <c r="B24" s="93" t="s">
        <v>65</v>
      </c>
      <c r="C24" s="119">
        <v>0</v>
      </c>
      <c r="D24" s="1779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2062</v>
      </c>
      <c r="AJ24" s="68" t="s">
        <v>2063</v>
      </c>
      <c r="AK24" s="68" t="s">
        <v>1417</v>
      </c>
      <c r="AM24" s="68" t="s">
        <v>2065</v>
      </c>
      <c r="AN24" s="68" t="s">
        <v>2066</v>
      </c>
      <c r="AO24" s="68" t="s">
        <v>2067</v>
      </c>
      <c r="AP24" s="68" t="s">
        <v>37</v>
      </c>
    </row>
    <row r="25" spans="2:42" ht="16.5">
      <c r="B25" s="93" t="s">
        <v>66</v>
      </c>
      <c r="C25" s="119">
        <v>10219012.57447</v>
      </c>
      <c r="D25" s="1779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6"/>
      <c r="AE25" s="908"/>
      <c r="AF25" s="846"/>
      <c r="AG25" s="846"/>
      <c r="AI25" s="257" t="s">
        <v>2078</v>
      </c>
      <c r="AJ25" s="257" t="s">
        <v>41</v>
      </c>
      <c r="AK25" s="69">
        <v>-1169393.26286169</v>
      </c>
      <c r="AM25" s="1462"/>
      <c r="AN25" s="1462"/>
      <c r="AO25" s="1462"/>
      <c r="AP25" s="1461"/>
    </row>
    <row r="26" spans="2:42" ht="16.5">
      <c r="B26" s="936" t="s">
        <v>67</v>
      </c>
      <c r="C26" s="946">
        <v>26770470</v>
      </c>
      <c r="D26" s="1779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0" t="s">
        <v>2069</v>
      </c>
      <c r="AB26" s="900" t="s">
        <v>37</v>
      </c>
      <c r="AD26" s="846"/>
      <c r="AE26" s="908"/>
      <c r="AF26" s="846"/>
      <c r="AG26" s="846"/>
      <c r="AI26" s="257" t="s">
        <v>2078</v>
      </c>
      <c r="AJ26" s="257" t="s">
        <v>47</v>
      </c>
      <c r="AK26" s="69">
        <v>-168333.89949404</v>
      </c>
      <c r="AM26" s="1462"/>
      <c r="AN26" s="1462"/>
      <c r="AO26" s="1462"/>
      <c r="AP26" s="1461"/>
    </row>
    <row r="27" spans="2:42" ht="16.5">
      <c r="C27" s="69"/>
      <c r="D27" s="1779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7" t="s">
        <v>2071</v>
      </c>
      <c r="AB27" s="848"/>
      <c r="AI27" s="257" t="s">
        <v>2078</v>
      </c>
      <c r="AJ27" s="257" t="s">
        <v>40</v>
      </c>
      <c r="AK27" s="69">
        <v>-14166.803504667299</v>
      </c>
      <c r="AM27" s="1462"/>
      <c r="AN27" s="1462"/>
      <c r="AO27" s="1462"/>
      <c r="AP27" s="1461"/>
    </row>
    <row r="28" spans="2:42" ht="16.5">
      <c r="B28" s="935" t="s">
        <v>68</v>
      </c>
      <c r="C28" s="947"/>
      <c r="D28" s="1779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7" t="s">
        <v>2072</v>
      </c>
      <c r="AB28" s="848"/>
      <c r="AI28" s="257" t="s">
        <v>2079</v>
      </c>
      <c r="AJ28" s="257" t="s">
        <v>2080</v>
      </c>
      <c r="AK28" s="69">
        <v>849641.30007605231</v>
      </c>
      <c r="AM28" s="1462"/>
      <c r="AN28" s="1462"/>
      <c r="AO28" s="1462"/>
      <c r="AP28" s="1461"/>
    </row>
    <row r="29" spans="2:42" ht="18" customHeight="1">
      <c r="D29" s="1779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7"/>
      <c r="AB29" s="848"/>
      <c r="AI29" s="257" t="s">
        <v>2081</v>
      </c>
      <c r="AJ29" s="257" t="s">
        <v>2082</v>
      </c>
      <c r="AK29" s="69">
        <v>427679.488442951</v>
      </c>
      <c r="AM29" s="1462"/>
      <c r="AN29" s="1462"/>
      <c r="AO29" s="1462"/>
      <c r="AP29" s="1461"/>
    </row>
    <row r="30" spans="2:42" ht="16.5">
      <c r="B30" s="948"/>
      <c r="C30" s="949"/>
      <c r="D30" s="1779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7"/>
      <c r="AB30" s="848"/>
      <c r="AI30" s="257" t="s">
        <v>104</v>
      </c>
      <c r="AJ30" s="257"/>
      <c r="AK30" s="69">
        <v>-1205667.8282343</v>
      </c>
      <c r="AM30" s="1462"/>
      <c r="AN30" s="1462"/>
      <c r="AO30" s="1462"/>
      <c r="AP30" s="1461"/>
    </row>
    <row r="31" spans="2:42">
      <c r="B31" s="654" t="s">
        <v>69</v>
      </c>
      <c r="C31" s="655">
        <v>6.4896281507161493E-2</v>
      </c>
      <c r="D31" s="1780"/>
      <c r="AI31" s="257"/>
      <c r="AJ31" s="257"/>
      <c r="AK31" s="69"/>
      <c r="AM31" s="1462"/>
      <c r="AN31" s="1462"/>
      <c r="AO31" s="1462"/>
      <c r="AP31" s="1461"/>
    </row>
    <row r="32" spans="2:42">
      <c r="B32" s="950" t="s">
        <v>70</v>
      </c>
      <c r="C32" s="951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2181</v>
      </c>
      <c r="AI33" s="257"/>
      <c r="AJ33" s="257"/>
      <c r="AK33" s="69"/>
    </row>
    <row r="34" spans="1:37">
      <c r="B34" s="935"/>
      <c r="C34" s="947"/>
      <c r="AA34" s="68" t="s">
        <v>34</v>
      </c>
      <c r="AB34" s="68" t="s">
        <v>2182</v>
      </c>
      <c r="AC34" s="68" t="s">
        <v>2183</v>
      </c>
      <c r="AD34" s="68" t="s">
        <v>2184</v>
      </c>
      <c r="AI34" s="257"/>
      <c r="AJ34" s="257"/>
      <c r="AK34" s="69"/>
    </row>
    <row r="35" spans="1:37">
      <c r="B35" s="948" t="s">
        <v>41</v>
      </c>
      <c r="C35" s="952">
        <v>6261016.5447000023</v>
      </c>
      <c r="AA35" s="196"/>
      <c r="AB35" s="1574"/>
      <c r="AC35" s="1574"/>
      <c r="AD35" s="1574"/>
      <c r="AI35" s="257"/>
      <c r="AJ35" s="257"/>
      <c r="AK35" s="69"/>
    </row>
    <row r="36" spans="1:37">
      <c r="B36" s="654" t="s">
        <v>47</v>
      </c>
      <c r="C36" s="87">
        <v>864900.57734000031</v>
      </c>
      <c r="AA36" s="196"/>
      <c r="AB36" s="1574"/>
      <c r="AC36" s="1574"/>
      <c r="AD36" s="1574"/>
      <c r="AI36" s="257"/>
      <c r="AJ36" s="257"/>
      <c r="AK36" s="69"/>
    </row>
    <row r="37" spans="1:37">
      <c r="B37" s="950" t="s">
        <v>40</v>
      </c>
      <c r="C37" s="953">
        <v>110061.32112423937</v>
      </c>
      <c r="AA37" s="196"/>
      <c r="AB37" s="1574"/>
      <c r="AC37" s="1574"/>
      <c r="AD37" s="1574"/>
      <c r="AI37" s="257"/>
      <c r="AJ37" s="257"/>
      <c r="AK37" s="69"/>
    </row>
    <row r="38" spans="1:37">
      <c r="AA38" s="196"/>
      <c r="AB38" s="1574"/>
      <c r="AC38" s="1574"/>
      <c r="AD38" s="1574"/>
      <c r="AI38" s="257"/>
      <c r="AJ38" s="257"/>
      <c r="AK38" s="69"/>
    </row>
    <row r="39" spans="1:37">
      <c r="D39" s="89"/>
      <c r="AA39" s="196"/>
      <c r="AB39" s="1574"/>
      <c r="AC39" s="1574"/>
      <c r="AD39" s="1574"/>
      <c r="AI39" s="257"/>
      <c r="AJ39" s="257"/>
      <c r="AK39" s="69"/>
    </row>
    <row r="40" spans="1:37" ht="16.5">
      <c r="B40" s="950"/>
      <c r="C40" s="72"/>
      <c r="D40" s="9"/>
      <c r="E40" s="9" t="s">
        <v>74</v>
      </c>
      <c r="F40" s="9"/>
      <c r="AA40" s="196"/>
      <c r="AB40" s="1574"/>
      <c r="AC40" s="1574"/>
      <c r="AD40" s="1574"/>
      <c r="AI40" s="257"/>
      <c r="AJ40" s="257"/>
      <c r="AK40" s="69"/>
    </row>
    <row r="41" spans="1:37" ht="16.5">
      <c r="A41" s="954">
        <f>DATE(YEAR(B41),MONTH(B41),1)</f>
        <v>44470</v>
      </c>
      <c r="B41" s="940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4"/>
      <c r="AC41" s="1574"/>
      <c r="AD41" s="1574"/>
      <c r="AI41" s="257"/>
      <c r="AJ41" s="257"/>
      <c r="AK41" s="69"/>
    </row>
    <row r="42" spans="1:37" ht="16.5">
      <c r="A42" s="954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74"/>
      <c r="AC42" s="1574"/>
      <c r="AD42" s="1574"/>
      <c r="AI42" s="257"/>
      <c r="AJ42" s="257"/>
      <c r="AK42" s="69"/>
    </row>
    <row r="43" spans="1:37" ht="16.5">
      <c r="A43" s="954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5697A3</v>
      </c>
      <c r="I43" s="506">
        <v>2022</v>
      </c>
      <c r="J43" s="507" t="s">
        <v>536</v>
      </c>
      <c r="K43" s="507" t="s">
        <v>2329</v>
      </c>
      <c r="L43" s="507" t="s">
        <v>1240</v>
      </c>
      <c r="M43" s="507" t="s">
        <v>334</v>
      </c>
      <c r="N43" s="507">
        <v>5364</v>
      </c>
      <c r="O43" s="508">
        <v>44795</v>
      </c>
      <c r="P43" s="508">
        <v>44785</v>
      </c>
      <c r="Q43" s="508" t="s">
        <v>2326</v>
      </c>
      <c r="R43" s="508" t="s">
        <v>2327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74"/>
      <c r="AC43" s="1574"/>
      <c r="AD43" s="1574"/>
      <c r="AI43" s="257"/>
      <c r="AJ43" s="257"/>
      <c r="AK43" s="69"/>
    </row>
    <row r="44" spans="1:37" ht="16.5">
      <c r="A44" s="954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str">
        <f t="shared" ref="H44:H59" si="2">CONCATENATE(U44,J44)</f>
        <v>5697A4</v>
      </c>
      <c r="I44" s="506">
        <v>2022</v>
      </c>
      <c r="J44" s="507" t="s">
        <v>534</v>
      </c>
      <c r="K44" s="507" t="s">
        <v>2329</v>
      </c>
      <c r="L44" s="507" t="s">
        <v>1240</v>
      </c>
      <c r="M44" s="507" t="s">
        <v>334</v>
      </c>
      <c r="N44" s="507">
        <v>5364</v>
      </c>
      <c r="O44" s="508">
        <v>44795</v>
      </c>
      <c r="P44" s="508">
        <v>44785</v>
      </c>
      <c r="Q44" s="508" t="s">
        <v>2326</v>
      </c>
      <c r="R44" s="508" t="s">
        <v>2327</v>
      </c>
      <c r="S44" s="507">
        <v>284.99</v>
      </c>
      <c r="T44" s="507">
        <v>111</v>
      </c>
      <c r="U44" s="68">
        <f>VLOOKUP(T44,DescontosTE[[#All],[idsreag supridora]:[codsariSUP]],2,FALSE)</f>
        <v>5697</v>
      </c>
      <c r="AA44" s="196"/>
      <c r="AB44" s="1574"/>
      <c r="AC44" s="1574"/>
      <c r="AD44" s="1574"/>
      <c r="AI44" s="257"/>
      <c r="AJ44" s="257"/>
      <c r="AK44" s="69"/>
    </row>
    <row r="45" spans="1:37" ht="16.5">
      <c r="A45" s="954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4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4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4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4">
        <f t="shared" si="1"/>
        <v>44713</v>
      </c>
      <c r="B49" s="508">
        <v>44718</v>
      </c>
      <c r="C49" s="532">
        <v>1726729.8004999999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4">
        <f t="shared" si="1"/>
        <v>44743</v>
      </c>
      <c r="B50" s="508">
        <v>44749</v>
      </c>
      <c r="C50" s="532">
        <v>538253.71010000003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2187</v>
      </c>
    </row>
    <row r="51" spans="1:28" ht="16.5">
      <c r="A51" s="954">
        <f t="shared" si="1"/>
        <v>44774</v>
      </c>
      <c r="B51" s="508">
        <v>44781</v>
      </c>
      <c r="C51" s="532">
        <v>-92.01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2185</v>
      </c>
      <c r="AB51" s="68" t="s">
        <v>2186</v>
      </c>
    </row>
    <row r="52" spans="1:28" ht="16.5">
      <c r="A52" s="954">
        <f t="shared" si="1"/>
        <v>44805</v>
      </c>
      <c r="B52" s="508">
        <v>44809</v>
      </c>
      <c r="C52" s="532">
        <v>0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5"/>
    </row>
    <row r="53" spans="1:28" ht="16.5">
      <c r="A53" s="954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1782919.7096478262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5"/>
    </row>
    <row r="54" spans="1:28" ht="16.5">
      <c r="A54" s="954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550183.05270685838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5"/>
    </row>
    <row r="55" spans="1:28" ht="16.5">
      <c r="A55" s="954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-93.085929313733814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5"/>
    </row>
    <row r="56" spans="1:28" ht="16.5">
      <c r="A56" s="954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5"/>
    </row>
    <row r="57" spans="1:28" ht="16.5">
      <c r="A57" s="954">
        <f t="shared" si="1"/>
        <v>1</v>
      </c>
      <c r="B57" s="955"/>
      <c r="C57" s="819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5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5"/>
    </row>
    <row r="59" spans="1:28" ht="16.5">
      <c r="H59" s="68" t="e">
        <f t="shared" si="2"/>
        <v>#N/A</v>
      </c>
      <c r="I59" s="956"/>
      <c r="J59" s="957"/>
      <c r="K59" s="957"/>
      <c r="L59" s="957"/>
      <c r="M59" s="957"/>
      <c r="N59" s="957"/>
      <c r="O59" s="957"/>
      <c r="P59" s="957"/>
      <c r="Q59" s="955"/>
      <c r="R59" s="955"/>
      <c r="S59" s="955"/>
      <c r="T59" s="957"/>
      <c r="U59" s="68" t="e">
        <f>VLOOKUP(T59,DescontosTE[[#All],[idsreag supridora]:[codsariSUP]],2,FALSE)</f>
        <v>#N/A</v>
      </c>
      <c r="AA59" s="196"/>
      <c r="AB59" s="1575"/>
    </row>
    <row r="60" spans="1:28">
      <c r="B60" s="950" t="s">
        <v>75</v>
      </c>
      <c r="C60" s="72"/>
      <c r="AA60" s="196"/>
      <c r="AB60" s="1575"/>
    </row>
    <row r="61" spans="1:28" ht="16.5">
      <c r="B61" s="958" t="s">
        <v>698</v>
      </c>
      <c r="C61" s="820">
        <v>0</v>
      </c>
      <c r="D61" s="68">
        <v>0</v>
      </c>
      <c r="AA61" s="196"/>
      <c r="AB61" s="1575"/>
    </row>
    <row r="62" spans="1:28" ht="16.5">
      <c r="B62" s="689" t="s">
        <v>700</v>
      </c>
      <c r="C62" s="532">
        <v>0</v>
      </c>
      <c r="D62" s="69">
        <v>0</v>
      </c>
      <c r="AA62" s="196"/>
      <c r="AB62" s="1575"/>
    </row>
    <row r="63" spans="1:28" ht="16.5">
      <c r="B63" s="689" t="s">
        <v>702</v>
      </c>
      <c r="C63" s="532">
        <v>0</v>
      </c>
      <c r="D63" s="69">
        <v>0</v>
      </c>
      <c r="AA63" s="196"/>
      <c r="AB63" s="1575"/>
    </row>
    <row r="64" spans="1:28" ht="16.5">
      <c r="B64" s="689" t="s">
        <v>703</v>
      </c>
      <c r="C64" s="532">
        <v>744.53</v>
      </c>
      <c r="D64" s="69">
        <v>0</v>
      </c>
      <c r="I64" s="68" t="s">
        <v>2180</v>
      </c>
    </row>
    <row r="65" spans="2:16" ht="16.5">
      <c r="B65" s="689" t="s">
        <v>706</v>
      </c>
      <c r="C65" s="532">
        <v>23079.17</v>
      </c>
      <c r="D65" s="69">
        <v>0</v>
      </c>
      <c r="I65" s="68" t="s">
        <v>27</v>
      </c>
      <c r="J65" s="68" t="s">
        <v>2175</v>
      </c>
      <c r="K65" s="68" t="s">
        <v>2176</v>
      </c>
      <c r="L65" s="68" t="s">
        <v>21</v>
      </c>
      <c r="M65" s="68" t="s">
        <v>1124</v>
      </c>
    </row>
    <row r="66" spans="2:16" ht="16.5">
      <c r="B66" s="959" t="s">
        <v>708</v>
      </c>
      <c r="C66" s="819">
        <v>543.65</v>
      </c>
      <c r="D66" s="69">
        <v>0</v>
      </c>
      <c r="I66" s="68" t="s">
        <v>2380</v>
      </c>
      <c r="J66" s="68">
        <v>5697</v>
      </c>
      <c r="K66" s="1573">
        <v>44469</v>
      </c>
      <c r="L66" s="68" t="s">
        <v>176</v>
      </c>
      <c r="M66" s="832">
        <v>0.53969999999999996</v>
      </c>
    </row>
    <row r="67" spans="2:16">
      <c r="I67" s="68" t="s">
        <v>2380</v>
      </c>
      <c r="J67" s="68">
        <v>5697</v>
      </c>
      <c r="K67" s="1573">
        <v>44469</v>
      </c>
      <c r="L67" s="68" t="s">
        <v>2038</v>
      </c>
      <c r="M67" s="832">
        <v>0.53969999999999996</v>
      </c>
    </row>
    <row r="68" spans="2:16">
      <c r="K68" s="1573"/>
    </row>
    <row r="69" spans="2:16">
      <c r="K69" s="1573"/>
    </row>
    <row r="70" spans="2:16">
      <c r="B70" s="900" t="s">
        <v>72</v>
      </c>
      <c r="C70" s="900" t="s">
        <v>37</v>
      </c>
      <c r="D70" s="900" t="s">
        <v>73</v>
      </c>
      <c r="K70" s="1573"/>
    </row>
    <row r="71" spans="2:16">
      <c r="B71" s="847" t="s">
        <v>49</v>
      </c>
      <c r="C71" s="1460"/>
      <c r="D71" s="848"/>
      <c r="K71" s="1573"/>
    </row>
    <row r="72" spans="2:16">
      <c r="B72" s="847" t="s">
        <v>769</v>
      </c>
      <c r="C72" s="1460"/>
      <c r="D72" s="848"/>
      <c r="K72" s="1573"/>
    </row>
    <row r="73" spans="2:16">
      <c r="B73" s="847" t="s">
        <v>2321</v>
      </c>
      <c r="C73" s="1460"/>
      <c r="D73" s="848"/>
      <c r="K73" s="1573"/>
    </row>
    <row r="74" spans="2:16">
      <c r="B74" s="847" t="s">
        <v>2073</v>
      </c>
      <c r="C74" s="1460"/>
      <c r="D74" s="848"/>
      <c r="K74" s="1573"/>
    </row>
    <row r="75" spans="2:16">
      <c r="B75" s="847" t="s">
        <v>2322</v>
      </c>
      <c r="C75" s="1460"/>
      <c r="D75" s="848"/>
      <c r="K75" s="1573"/>
    </row>
    <row r="76" spans="2:16">
      <c r="B76" s="847" t="s">
        <v>2323</v>
      </c>
      <c r="C76" s="1460">
        <v>0</v>
      </c>
      <c r="D76" s="848"/>
    </row>
    <row r="77" spans="2:16">
      <c r="B77" s="847" t="s">
        <v>2324</v>
      </c>
      <c r="C77" s="1460">
        <v>0</v>
      </c>
      <c r="D77" s="848"/>
    </row>
    <row r="78" spans="2:16">
      <c r="I78" s="68" t="s">
        <v>2179</v>
      </c>
    </row>
    <row r="79" spans="2:16">
      <c r="I79" s="68" t="s">
        <v>27</v>
      </c>
      <c r="J79" s="68" t="s">
        <v>2175</v>
      </c>
      <c r="K79" s="68" t="s">
        <v>2176</v>
      </c>
      <c r="L79" s="68" t="s">
        <v>21</v>
      </c>
      <c r="M79" s="68" t="s">
        <v>22</v>
      </c>
      <c r="N79" s="68" t="s">
        <v>2177</v>
      </c>
      <c r="O79" s="68" t="s">
        <v>2178</v>
      </c>
      <c r="P79" s="68" t="s">
        <v>1124</v>
      </c>
    </row>
    <row r="80" spans="2:16">
      <c r="I80" s="68" t="s">
        <v>2380</v>
      </c>
      <c r="J80" s="68">
        <v>5697</v>
      </c>
      <c r="K80" s="1573">
        <v>44469</v>
      </c>
      <c r="L80" s="68" t="s">
        <v>176</v>
      </c>
      <c r="M80" s="68" t="s">
        <v>179</v>
      </c>
      <c r="N80" s="68" t="s">
        <v>1238</v>
      </c>
      <c r="O80" s="68" t="s">
        <v>1239</v>
      </c>
      <c r="P80" s="68">
        <v>0</v>
      </c>
    </row>
    <row r="81" spans="2:16">
      <c r="I81" s="68" t="s">
        <v>2380</v>
      </c>
      <c r="J81" s="68">
        <v>5697</v>
      </c>
      <c r="K81" s="1573">
        <v>44469</v>
      </c>
      <c r="L81" s="68" t="s">
        <v>176</v>
      </c>
      <c r="M81" s="68" t="s">
        <v>181</v>
      </c>
      <c r="N81" s="68" t="s">
        <v>894</v>
      </c>
      <c r="O81" s="68" t="s">
        <v>1239</v>
      </c>
      <c r="P81" s="68">
        <v>0</v>
      </c>
    </row>
    <row r="82" spans="2:16">
      <c r="B82" s="900" t="s">
        <v>696</v>
      </c>
      <c r="C82" s="900" t="s">
        <v>2174</v>
      </c>
      <c r="D82" s="900" t="s">
        <v>37</v>
      </c>
      <c r="I82" s="68" t="s">
        <v>2380</v>
      </c>
      <c r="J82" s="68">
        <v>5697</v>
      </c>
      <c r="K82" s="1573">
        <v>44469</v>
      </c>
      <c r="L82" s="68" t="s">
        <v>2038</v>
      </c>
      <c r="M82" s="68" t="s">
        <v>179</v>
      </c>
      <c r="N82" s="68" t="s">
        <v>1238</v>
      </c>
      <c r="O82" s="68" t="s">
        <v>1239</v>
      </c>
      <c r="P82" s="68">
        <v>0</v>
      </c>
    </row>
    <row r="83" spans="2:16">
      <c r="B83" s="847" t="s">
        <v>1438</v>
      </c>
      <c r="C83" s="1460" t="s">
        <v>2381</v>
      </c>
      <c r="D83" s="848">
        <v>141.96354499218299</v>
      </c>
      <c r="I83" s="68" t="s">
        <v>2380</v>
      </c>
      <c r="J83" s="68">
        <v>5697</v>
      </c>
      <c r="K83" s="1573">
        <v>44469</v>
      </c>
      <c r="L83" s="68" t="s">
        <v>2038</v>
      </c>
      <c r="M83" s="68" t="s">
        <v>181</v>
      </c>
      <c r="N83" s="68" t="s">
        <v>894</v>
      </c>
      <c r="O83" s="68" t="s">
        <v>1239</v>
      </c>
      <c r="P83" s="68">
        <v>0</v>
      </c>
    </row>
    <row r="84" spans="2:16">
      <c r="B84" s="847" t="s">
        <v>2382</v>
      </c>
      <c r="C84" s="1460" t="s">
        <v>2383</v>
      </c>
      <c r="D84" s="848">
        <v>0</v>
      </c>
      <c r="I84" s="68" t="s">
        <v>2380</v>
      </c>
      <c r="J84" s="68">
        <v>5697</v>
      </c>
      <c r="K84" s="1573">
        <v>44469</v>
      </c>
      <c r="L84" s="68" t="s">
        <v>176</v>
      </c>
      <c r="M84" s="68" t="s">
        <v>183</v>
      </c>
      <c r="N84" s="68" t="s">
        <v>1240</v>
      </c>
      <c r="O84" s="68" t="s">
        <v>108</v>
      </c>
      <c r="P84" s="68">
        <v>0</v>
      </c>
    </row>
    <row r="85" spans="2:16">
      <c r="B85" s="847" t="s">
        <v>1431</v>
      </c>
      <c r="C85" s="1460" t="s">
        <v>2383</v>
      </c>
      <c r="D85" s="848">
        <v>0</v>
      </c>
      <c r="I85" s="68" t="s">
        <v>2380</v>
      </c>
      <c r="J85" s="68">
        <v>5697</v>
      </c>
      <c r="K85" s="1573">
        <v>44469</v>
      </c>
      <c r="L85" s="68" t="s">
        <v>176</v>
      </c>
      <c r="M85" s="68" t="s">
        <v>185</v>
      </c>
      <c r="N85" s="68" t="s">
        <v>1240</v>
      </c>
      <c r="O85" s="68" t="s">
        <v>108</v>
      </c>
      <c r="P85" s="68">
        <v>0</v>
      </c>
    </row>
    <row r="86" spans="2:16">
      <c r="B86" s="847" t="s">
        <v>1430</v>
      </c>
      <c r="C86" s="1460" t="s">
        <v>2383</v>
      </c>
      <c r="D86" s="848">
        <v>6.4896281507161493E-2</v>
      </c>
      <c r="I86" s="68" t="s">
        <v>2380</v>
      </c>
      <c r="J86" s="68">
        <v>5697</v>
      </c>
      <c r="K86" s="1573">
        <v>44469</v>
      </c>
      <c r="L86" s="68" t="s">
        <v>2038</v>
      </c>
      <c r="M86" s="68" t="s">
        <v>183</v>
      </c>
      <c r="N86" s="68" t="s">
        <v>1240</v>
      </c>
      <c r="O86" s="68" t="s">
        <v>108</v>
      </c>
      <c r="P86" s="68">
        <v>0</v>
      </c>
    </row>
    <row r="87" spans="2:16">
      <c r="I87" s="68" t="s">
        <v>2380</v>
      </c>
      <c r="J87" s="68">
        <v>5697</v>
      </c>
      <c r="K87" s="1573">
        <v>44469</v>
      </c>
      <c r="L87" s="68" t="s">
        <v>2038</v>
      </c>
      <c r="M87" s="68" t="s">
        <v>185</v>
      </c>
      <c r="N87" s="68" t="s">
        <v>1240</v>
      </c>
      <c r="O87" s="68" t="s">
        <v>108</v>
      </c>
      <c r="P87" s="68">
        <v>0</v>
      </c>
    </row>
    <row r="88" spans="2:16">
      <c r="K88" s="1573"/>
    </row>
    <row r="89" spans="2:16">
      <c r="K89" s="1573"/>
    </row>
    <row r="90" spans="2:16">
      <c r="K90" s="1573"/>
    </row>
    <row r="91" spans="2:16">
      <c r="K91" s="1573"/>
    </row>
    <row r="92" spans="2:16">
      <c r="K92" s="1573"/>
    </row>
    <row r="93" spans="2:16">
      <c r="K93" s="1573"/>
    </row>
    <row r="94" spans="2:16">
      <c r="K94" s="1573"/>
    </row>
    <row r="95" spans="2:16">
      <c r="K95" s="1573"/>
    </row>
    <row r="96" spans="2:16">
      <c r="K96" s="1573"/>
    </row>
    <row r="97" spans="2:11">
      <c r="K97" s="1573"/>
    </row>
    <row r="98" spans="2:11">
      <c r="K98" s="1573"/>
    </row>
    <row r="103" spans="2:11" ht="25.5" customHeight="1">
      <c r="B103" s="68" t="s">
        <v>2190</v>
      </c>
      <c r="C103" s="1576" t="s">
        <v>2192</v>
      </c>
      <c r="D103" s="68" t="s">
        <v>2191</v>
      </c>
    </row>
    <row r="104" spans="2:11">
      <c r="B104" s="69">
        <v>28651980.425397582</v>
      </c>
      <c r="C104" s="196">
        <v>44531</v>
      </c>
      <c r="D104" s="68" t="s">
        <v>2325</v>
      </c>
    </row>
    <row r="108" spans="2:11" ht="28.5">
      <c r="B108" s="1576" t="s">
        <v>2188</v>
      </c>
      <c r="C108" s="1576" t="s">
        <v>2189</v>
      </c>
      <c r="D108" s="1576" t="s">
        <v>214</v>
      </c>
      <c r="E108" s="1576" t="s">
        <v>215</v>
      </c>
      <c r="F108" s="1576" t="s">
        <v>2193</v>
      </c>
      <c r="G108" s="1576" t="s">
        <v>2194</v>
      </c>
      <c r="H108" s="1576" t="s">
        <v>2195</v>
      </c>
    </row>
    <row r="109" spans="2:11">
      <c r="B109" s="1576" t="s">
        <v>155</v>
      </c>
      <c r="C109" s="1576">
        <v>111</v>
      </c>
      <c r="D109" s="1576">
        <v>179.67819908532709</v>
      </c>
      <c r="E109" s="1576">
        <v>180.36</v>
      </c>
      <c r="F109" s="1577">
        <v>1205667.8282342954</v>
      </c>
      <c r="G109" s="1578">
        <v>44430</v>
      </c>
      <c r="H109" s="1578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R1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2165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2166</v>
      </c>
      <c r="H1" t="s">
        <v>2167</v>
      </c>
      <c r="I1" s="8" t="s">
        <v>174</v>
      </c>
      <c r="J1" t="s">
        <v>179</v>
      </c>
      <c r="K1" t="s">
        <v>181</v>
      </c>
      <c r="L1" t="s">
        <v>183</v>
      </c>
      <c r="M1" t="s">
        <v>185</v>
      </c>
      <c r="N1" t="s">
        <v>191</v>
      </c>
      <c r="O1" t="s">
        <v>192</v>
      </c>
      <c r="P1" t="s">
        <v>187</v>
      </c>
      <c r="Q1" t="s">
        <v>2168</v>
      </c>
      <c r="R1" t="s">
        <v>2169</v>
      </c>
      <c r="S1" t="s">
        <v>2170</v>
      </c>
      <c r="T1" t="s">
        <v>2171</v>
      </c>
      <c r="U1" t="s">
        <v>2172</v>
      </c>
      <c r="V1" t="s">
        <v>193</v>
      </c>
      <c r="W1" t="s">
        <v>177</v>
      </c>
      <c r="X1" t="s">
        <v>2173</v>
      </c>
      <c r="AA1" s="232" t="s">
        <v>2196</v>
      </c>
      <c r="AB1" s="232" t="s">
        <v>2197</v>
      </c>
    </row>
    <row r="2" spans="1:28">
      <c r="A2" t="s">
        <v>2331</v>
      </c>
      <c r="B2">
        <v>5364</v>
      </c>
      <c r="C2" t="s">
        <v>2330</v>
      </c>
      <c r="D2">
        <v>5697</v>
      </c>
      <c r="E2" t="s">
        <v>2203</v>
      </c>
      <c r="F2" t="s">
        <v>176</v>
      </c>
      <c r="G2">
        <v>2021</v>
      </c>
      <c r="H2">
        <v>6</v>
      </c>
      <c r="I2" s="8">
        <v>44348</v>
      </c>
      <c r="J2">
        <v>13098.4</v>
      </c>
      <c r="K2">
        <v>7946</v>
      </c>
      <c r="L2">
        <v>4772703</v>
      </c>
      <c r="M2">
        <v>365916</v>
      </c>
      <c r="N2">
        <v>4772703</v>
      </c>
      <c r="O2">
        <v>365916</v>
      </c>
      <c r="P2">
        <v>0</v>
      </c>
      <c r="Q2">
        <v>8.92</v>
      </c>
      <c r="R2">
        <v>12.98</v>
      </c>
      <c r="S2">
        <v>5.76</v>
      </c>
      <c r="T2">
        <v>121.52</v>
      </c>
      <c r="U2">
        <v>29359.89</v>
      </c>
      <c r="V2">
        <v>0</v>
      </c>
      <c r="W2">
        <v>0</v>
      </c>
      <c r="X2">
        <v>903380.1</v>
      </c>
      <c r="AA2" s="232">
        <f>J2*Q2+K2*R2+((L2+M2)/1000)*S2</f>
        <v>249575.25344</v>
      </c>
      <c r="AB2" s="232">
        <f>((N2+O2)/1000)*T2</f>
        <v>624444.98087999993</v>
      </c>
    </row>
    <row r="3" spans="1:28">
      <c r="A3" t="s">
        <v>2332</v>
      </c>
      <c r="B3">
        <v>5364</v>
      </c>
      <c r="C3" t="s">
        <v>2330</v>
      </c>
      <c r="D3">
        <v>5697</v>
      </c>
      <c r="E3" t="s">
        <v>2203</v>
      </c>
      <c r="F3" t="s">
        <v>2038</v>
      </c>
      <c r="G3">
        <v>2021</v>
      </c>
      <c r="H3">
        <v>6</v>
      </c>
      <c r="I3" s="8">
        <v>44348</v>
      </c>
      <c r="J3">
        <v>16064.67</v>
      </c>
      <c r="K3">
        <v>9115.9500000000007</v>
      </c>
      <c r="L3">
        <v>5995125</v>
      </c>
      <c r="M3">
        <v>417930</v>
      </c>
      <c r="N3">
        <v>5801882</v>
      </c>
      <c r="O3">
        <v>417930</v>
      </c>
      <c r="P3">
        <v>193243</v>
      </c>
      <c r="Q3">
        <v>12.33</v>
      </c>
      <c r="R3">
        <v>23.94</v>
      </c>
      <c r="S3">
        <v>10.17</v>
      </c>
      <c r="T3">
        <v>121.52</v>
      </c>
      <c r="U3">
        <v>41565.269999999997</v>
      </c>
      <c r="V3">
        <v>0</v>
      </c>
      <c r="W3">
        <v>0</v>
      </c>
      <c r="X3">
        <v>1278931</v>
      </c>
      <c r="AA3" s="232">
        <f t="shared" ref="AA3:AA66" si="0">J3*Q3+K3*R3+((L3+M3)/1000)*S3</f>
        <v>481533.99345000001</v>
      </c>
      <c r="AB3" s="232">
        <f t="shared" ref="AB3:AB66" si="1">((N3+O3)/1000)*T3</f>
        <v>755831.55423999997</v>
      </c>
    </row>
    <row r="4" spans="1:28">
      <c r="A4" t="s">
        <v>2333</v>
      </c>
      <c r="B4">
        <v>5364</v>
      </c>
      <c r="C4" t="s">
        <v>2330</v>
      </c>
      <c r="D4">
        <v>5697</v>
      </c>
      <c r="E4" t="s">
        <v>2203</v>
      </c>
      <c r="F4" t="s">
        <v>176</v>
      </c>
      <c r="G4">
        <v>2021</v>
      </c>
      <c r="H4">
        <v>7</v>
      </c>
      <c r="I4" s="8">
        <v>44378</v>
      </c>
      <c r="J4">
        <v>12913.6</v>
      </c>
      <c r="K4">
        <v>7996.4</v>
      </c>
      <c r="L4">
        <v>5540010</v>
      </c>
      <c r="M4">
        <v>385963</v>
      </c>
      <c r="N4">
        <v>5540010</v>
      </c>
      <c r="O4">
        <v>385963</v>
      </c>
      <c r="P4">
        <v>0</v>
      </c>
      <c r="Q4">
        <v>8.92</v>
      </c>
      <c r="R4">
        <v>12.98</v>
      </c>
      <c r="S4">
        <v>5.76</v>
      </c>
      <c r="T4">
        <v>121.52</v>
      </c>
      <c r="U4">
        <v>1755</v>
      </c>
      <c r="V4">
        <v>0</v>
      </c>
      <c r="W4">
        <v>0</v>
      </c>
      <c r="X4">
        <v>974995.42</v>
      </c>
      <c r="AA4" s="232">
        <f t="shared" si="0"/>
        <v>253116.18848000001</v>
      </c>
      <c r="AB4" s="232">
        <f t="shared" si="1"/>
        <v>720124.23895999999</v>
      </c>
    </row>
    <row r="5" spans="1:28">
      <c r="A5" t="s">
        <v>2334</v>
      </c>
      <c r="B5">
        <v>5364</v>
      </c>
      <c r="C5" t="s">
        <v>2330</v>
      </c>
      <c r="D5">
        <v>5697</v>
      </c>
      <c r="E5" t="s">
        <v>2203</v>
      </c>
      <c r="F5" t="s">
        <v>2038</v>
      </c>
      <c r="G5">
        <v>2021</v>
      </c>
      <c r="H5">
        <v>7</v>
      </c>
      <c r="I5" s="8">
        <v>44378</v>
      </c>
      <c r="J5">
        <v>16350.32</v>
      </c>
      <c r="K5">
        <v>9122.68</v>
      </c>
      <c r="L5">
        <v>6027117</v>
      </c>
      <c r="M5">
        <v>439768</v>
      </c>
      <c r="N5">
        <v>5828431</v>
      </c>
      <c r="O5">
        <v>439768</v>
      </c>
      <c r="P5">
        <v>198686</v>
      </c>
      <c r="Q5">
        <v>12.33</v>
      </c>
      <c r="R5">
        <v>23.94</v>
      </c>
      <c r="S5">
        <v>10.17</v>
      </c>
      <c r="T5">
        <v>121.52</v>
      </c>
      <c r="U5">
        <v>2249.5100000000002</v>
      </c>
      <c r="V5">
        <v>0</v>
      </c>
      <c r="W5">
        <v>0</v>
      </c>
      <c r="X5">
        <v>1249725.54</v>
      </c>
      <c r="AA5" s="232">
        <f t="shared" si="0"/>
        <v>485764.62525000004</v>
      </c>
      <c r="AB5" s="232">
        <f t="shared" si="1"/>
        <v>761711.54247999995</v>
      </c>
    </row>
    <row r="6" spans="1:28">
      <c r="A6" t="s">
        <v>2335</v>
      </c>
      <c r="B6">
        <v>5364</v>
      </c>
      <c r="C6" t="s">
        <v>2330</v>
      </c>
      <c r="D6">
        <v>5697</v>
      </c>
      <c r="E6" t="s">
        <v>2203</v>
      </c>
      <c r="F6" t="s">
        <v>176</v>
      </c>
      <c r="G6">
        <v>2021</v>
      </c>
      <c r="H6">
        <v>8</v>
      </c>
      <c r="I6" s="8">
        <v>44409</v>
      </c>
      <c r="J6">
        <v>13342</v>
      </c>
      <c r="K6">
        <v>8013.2</v>
      </c>
      <c r="L6">
        <v>5802182</v>
      </c>
      <c r="M6">
        <v>416921</v>
      </c>
      <c r="N6">
        <v>5802182</v>
      </c>
      <c r="O6">
        <v>416921</v>
      </c>
      <c r="P6">
        <v>0</v>
      </c>
      <c r="Q6">
        <v>8.92</v>
      </c>
      <c r="R6">
        <v>12.98</v>
      </c>
      <c r="S6">
        <v>5.76</v>
      </c>
      <c r="T6">
        <v>121.52</v>
      </c>
      <c r="U6">
        <v>4074.68</v>
      </c>
      <c r="V6">
        <v>0</v>
      </c>
      <c r="W6">
        <v>0</v>
      </c>
      <c r="X6">
        <v>1018664.06</v>
      </c>
      <c r="AA6" s="232">
        <f t="shared" si="0"/>
        <v>258844.00928</v>
      </c>
      <c r="AB6" s="232">
        <f t="shared" si="1"/>
        <v>755745.39656000002</v>
      </c>
    </row>
    <row r="7" spans="1:28">
      <c r="A7" t="s">
        <v>2336</v>
      </c>
      <c r="B7">
        <v>5364</v>
      </c>
      <c r="C7" t="s">
        <v>2330</v>
      </c>
      <c r="D7">
        <v>5697</v>
      </c>
      <c r="E7" t="s">
        <v>2203</v>
      </c>
      <c r="F7" t="s">
        <v>2038</v>
      </c>
      <c r="G7">
        <v>2021</v>
      </c>
      <c r="H7">
        <v>8</v>
      </c>
      <c r="I7" s="8">
        <v>44409</v>
      </c>
      <c r="J7">
        <v>16115.12</v>
      </c>
      <c r="K7">
        <v>8917.76</v>
      </c>
      <c r="L7">
        <v>6064109</v>
      </c>
      <c r="M7">
        <v>434884</v>
      </c>
      <c r="N7">
        <v>5857330</v>
      </c>
      <c r="O7">
        <v>434884</v>
      </c>
      <c r="P7">
        <v>206779</v>
      </c>
      <c r="Q7">
        <v>12.33</v>
      </c>
      <c r="R7">
        <v>23.94</v>
      </c>
      <c r="S7">
        <v>10.17</v>
      </c>
      <c r="T7">
        <v>121.52</v>
      </c>
      <c r="U7">
        <v>4991.6400000000003</v>
      </c>
      <c r="V7">
        <v>0</v>
      </c>
      <c r="W7">
        <v>0</v>
      </c>
      <c r="X7">
        <v>1247906.8400000001</v>
      </c>
      <c r="AA7" s="232">
        <f t="shared" si="0"/>
        <v>478285.36281000008</v>
      </c>
      <c r="AB7" s="232">
        <f t="shared" si="1"/>
        <v>764629.84528000001</v>
      </c>
    </row>
    <row r="8" spans="1:28">
      <c r="A8" t="s">
        <v>2337</v>
      </c>
      <c r="B8">
        <v>5364</v>
      </c>
      <c r="C8" t="s">
        <v>2330</v>
      </c>
      <c r="D8">
        <v>5697</v>
      </c>
      <c r="E8" t="s">
        <v>2203</v>
      </c>
      <c r="F8" t="s">
        <v>176</v>
      </c>
      <c r="G8">
        <v>2021</v>
      </c>
      <c r="H8">
        <v>9</v>
      </c>
      <c r="I8" s="8">
        <v>44440</v>
      </c>
      <c r="J8">
        <v>13426</v>
      </c>
      <c r="K8">
        <v>8030</v>
      </c>
      <c r="L8">
        <v>5787772</v>
      </c>
      <c r="M8">
        <v>384426</v>
      </c>
      <c r="N8">
        <v>5787772</v>
      </c>
      <c r="O8">
        <v>384426</v>
      </c>
      <c r="P8">
        <v>0</v>
      </c>
      <c r="Q8">
        <v>8.99</v>
      </c>
      <c r="R8">
        <v>13.25</v>
      </c>
      <c r="S8">
        <v>5.82</v>
      </c>
      <c r="T8">
        <v>122.29</v>
      </c>
      <c r="U8">
        <v>27384.75</v>
      </c>
      <c r="V8">
        <v>0</v>
      </c>
      <c r="W8">
        <v>0</v>
      </c>
      <c r="X8">
        <v>1045218.94</v>
      </c>
      <c r="AA8" s="232">
        <f t="shared" si="0"/>
        <v>263019.43235999998</v>
      </c>
      <c r="AB8" s="232">
        <f t="shared" si="1"/>
        <v>754798.09342000005</v>
      </c>
    </row>
    <row r="9" spans="1:28">
      <c r="A9" t="s">
        <v>2338</v>
      </c>
      <c r="B9">
        <v>5364</v>
      </c>
      <c r="C9" t="s">
        <v>2330</v>
      </c>
      <c r="D9">
        <v>5697</v>
      </c>
      <c r="E9" t="s">
        <v>2203</v>
      </c>
      <c r="F9" t="s">
        <v>2038</v>
      </c>
      <c r="G9">
        <v>2021</v>
      </c>
      <c r="H9">
        <v>9</v>
      </c>
      <c r="I9" s="8">
        <v>44440</v>
      </c>
      <c r="J9">
        <v>16209.2</v>
      </c>
      <c r="K9">
        <v>9243.6299999999992</v>
      </c>
      <c r="L9">
        <v>6007115</v>
      </c>
      <c r="M9">
        <v>398885</v>
      </c>
      <c r="N9">
        <v>5800381</v>
      </c>
      <c r="O9">
        <v>398885</v>
      </c>
      <c r="P9">
        <v>206734</v>
      </c>
      <c r="Q9">
        <v>12.31</v>
      </c>
      <c r="R9">
        <v>23.85</v>
      </c>
      <c r="S9">
        <v>10.31</v>
      </c>
      <c r="T9">
        <v>122.29</v>
      </c>
      <c r="U9">
        <v>33472.78</v>
      </c>
      <c r="V9">
        <v>0</v>
      </c>
      <c r="W9">
        <v>0</v>
      </c>
      <c r="X9">
        <v>1277585.95</v>
      </c>
      <c r="AA9" s="232">
        <f t="shared" si="0"/>
        <v>486041.6875</v>
      </c>
      <c r="AB9" s="232">
        <f t="shared" si="1"/>
        <v>758108.23913999996</v>
      </c>
    </row>
    <row r="10" spans="1:28">
      <c r="A10" t="s">
        <v>2339</v>
      </c>
      <c r="B10">
        <v>5364</v>
      </c>
      <c r="C10" t="s">
        <v>2330</v>
      </c>
      <c r="D10">
        <v>5697</v>
      </c>
      <c r="E10" t="s">
        <v>2203</v>
      </c>
      <c r="F10" t="s">
        <v>176</v>
      </c>
      <c r="G10">
        <v>2021</v>
      </c>
      <c r="H10">
        <v>10</v>
      </c>
      <c r="I10" s="8">
        <v>44470</v>
      </c>
      <c r="J10">
        <v>13570.2</v>
      </c>
      <c r="K10">
        <v>8252.4</v>
      </c>
      <c r="L10">
        <v>6013606</v>
      </c>
      <c r="M10">
        <v>384169</v>
      </c>
      <c r="N10">
        <v>6013606</v>
      </c>
      <c r="O10">
        <v>384169</v>
      </c>
      <c r="P10">
        <v>0</v>
      </c>
      <c r="Q10">
        <v>11.26</v>
      </c>
      <c r="R10">
        <v>21.11</v>
      </c>
      <c r="S10">
        <v>7.49</v>
      </c>
      <c r="T10">
        <v>144.21</v>
      </c>
      <c r="U10">
        <v>47758.49</v>
      </c>
      <c r="V10">
        <v>0</v>
      </c>
      <c r="W10">
        <v>0</v>
      </c>
      <c r="X10">
        <v>1345309.57</v>
      </c>
      <c r="AA10" s="232">
        <f t="shared" si="0"/>
        <v>374927.95075000002</v>
      </c>
      <c r="AB10" s="232">
        <f t="shared" si="1"/>
        <v>922623.13274999999</v>
      </c>
    </row>
    <row r="11" spans="1:28">
      <c r="A11" t="s">
        <v>2340</v>
      </c>
      <c r="B11">
        <v>5364</v>
      </c>
      <c r="C11" t="s">
        <v>2330</v>
      </c>
      <c r="D11">
        <v>5697</v>
      </c>
      <c r="E11" t="s">
        <v>2203</v>
      </c>
      <c r="F11" t="s">
        <v>2038</v>
      </c>
      <c r="G11">
        <v>2021</v>
      </c>
      <c r="H11">
        <v>10</v>
      </c>
      <c r="I11" s="8">
        <v>44470</v>
      </c>
      <c r="J11">
        <v>16787.400000000001</v>
      </c>
      <c r="K11">
        <v>9334.56</v>
      </c>
      <c r="L11">
        <v>6045133</v>
      </c>
      <c r="M11">
        <v>382616</v>
      </c>
      <c r="N11">
        <v>5825010</v>
      </c>
      <c r="O11">
        <v>382616</v>
      </c>
      <c r="P11">
        <v>220123</v>
      </c>
      <c r="Q11">
        <v>11.83</v>
      </c>
      <c r="R11">
        <v>21.22</v>
      </c>
      <c r="S11">
        <v>14.37</v>
      </c>
      <c r="T11">
        <v>144.21</v>
      </c>
      <c r="U11">
        <v>50949.34</v>
      </c>
      <c r="V11">
        <v>0</v>
      </c>
      <c r="W11">
        <v>0</v>
      </c>
      <c r="X11">
        <v>1435192.15</v>
      </c>
      <c r="AA11" s="232">
        <f t="shared" si="0"/>
        <v>489041.05833000003</v>
      </c>
      <c r="AB11" s="232">
        <f t="shared" si="1"/>
        <v>895201.74546000012</v>
      </c>
    </row>
    <row r="12" spans="1:28">
      <c r="A12" t="s">
        <v>2341</v>
      </c>
      <c r="B12">
        <v>5364</v>
      </c>
      <c r="C12" t="s">
        <v>2330</v>
      </c>
      <c r="D12">
        <v>5697</v>
      </c>
      <c r="E12" t="s">
        <v>2203</v>
      </c>
      <c r="F12" t="s">
        <v>176</v>
      </c>
      <c r="G12">
        <v>2021</v>
      </c>
      <c r="H12">
        <v>11</v>
      </c>
      <c r="I12" s="8">
        <v>44501</v>
      </c>
      <c r="J12">
        <v>13805.4</v>
      </c>
      <c r="K12">
        <v>8336.4</v>
      </c>
      <c r="L12">
        <v>5849125</v>
      </c>
      <c r="M12">
        <v>375324</v>
      </c>
      <c r="N12">
        <v>5849125</v>
      </c>
      <c r="O12">
        <v>375324</v>
      </c>
      <c r="P12">
        <v>0</v>
      </c>
      <c r="Q12">
        <v>11.26</v>
      </c>
      <c r="R12">
        <v>21.11</v>
      </c>
      <c r="S12">
        <v>7.49</v>
      </c>
      <c r="T12">
        <v>144.21</v>
      </c>
      <c r="U12">
        <v>49564.1</v>
      </c>
      <c r="V12">
        <v>0</v>
      </c>
      <c r="W12">
        <v>0</v>
      </c>
      <c r="X12">
        <v>1325243.21</v>
      </c>
      <c r="AA12" s="232">
        <f t="shared" si="0"/>
        <v>378051.33100999997</v>
      </c>
      <c r="AB12" s="232">
        <f t="shared" si="1"/>
        <v>897627.79029000003</v>
      </c>
    </row>
    <row r="13" spans="1:28">
      <c r="A13" t="s">
        <v>2342</v>
      </c>
      <c r="B13">
        <v>5364</v>
      </c>
      <c r="C13" t="s">
        <v>2330</v>
      </c>
      <c r="D13">
        <v>5697</v>
      </c>
      <c r="E13" t="s">
        <v>2203</v>
      </c>
      <c r="F13" t="s">
        <v>2038</v>
      </c>
      <c r="G13">
        <v>2021</v>
      </c>
      <c r="H13">
        <v>11</v>
      </c>
      <c r="I13" s="8">
        <v>44501</v>
      </c>
      <c r="J13">
        <v>17235.939999999999</v>
      </c>
      <c r="K13">
        <v>9437.02</v>
      </c>
      <c r="L13">
        <v>6039581</v>
      </c>
      <c r="M13">
        <v>388357</v>
      </c>
      <c r="N13">
        <v>5819815</v>
      </c>
      <c r="O13">
        <v>388357</v>
      </c>
      <c r="P13">
        <v>219766</v>
      </c>
      <c r="Q13">
        <v>11.83</v>
      </c>
      <c r="R13">
        <v>21.22</v>
      </c>
      <c r="S13">
        <v>14.37</v>
      </c>
      <c r="T13">
        <v>144.21</v>
      </c>
      <c r="U13">
        <v>54075.94</v>
      </c>
      <c r="V13">
        <v>0</v>
      </c>
      <c r="W13">
        <v>0</v>
      </c>
      <c r="X13">
        <v>1445880.55</v>
      </c>
      <c r="AA13" s="232">
        <f t="shared" si="0"/>
        <v>496524.20366</v>
      </c>
      <c r="AB13" s="232">
        <f t="shared" si="1"/>
        <v>895280.48412000004</v>
      </c>
    </row>
    <row r="14" spans="1:28">
      <c r="A14" t="s">
        <v>2343</v>
      </c>
      <c r="B14">
        <v>5364</v>
      </c>
      <c r="C14" t="s">
        <v>2330</v>
      </c>
      <c r="D14">
        <v>5697</v>
      </c>
      <c r="E14" t="s">
        <v>2203</v>
      </c>
      <c r="F14" t="s">
        <v>176</v>
      </c>
      <c r="G14">
        <v>2021</v>
      </c>
      <c r="H14">
        <v>12</v>
      </c>
      <c r="I14" s="8">
        <v>44531</v>
      </c>
      <c r="J14">
        <v>13662.6</v>
      </c>
      <c r="K14">
        <v>8122.2</v>
      </c>
      <c r="L14">
        <v>5553445</v>
      </c>
      <c r="M14">
        <v>375820</v>
      </c>
      <c r="N14">
        <v>5553445</v>
      </c>
      <c r="O14">
        <v>375820</v>
      </c>
      <c r="P14">
        <v>0</v>
      </c>
      <c r="Q14">
        <v>11.26</v>
      </c>
      <c r="R14">
        <v>21.11</v>
      </c>
      <c r="S14">
        <v>7.49</v>
      </c>
      <c r="T14">
        <v>144.21</v>
      </c>
      <c r="U14">
        <v>47586.11</v>
      </c>
      <c r="V14">
        <v>0</v>
      </c>
      <c r="W14">
        <v>0</v>
      </c>
      <c r="X14">
        <v>1272356.1299999999</v>
      </c>
      <c r="AA14" s="232">
        <f t="shared" si="0"/>
        <v>369710.71285000001</v>
      </c>
      <c r="AB14" s="232">
        <f t="shared" si="1"/>
        <v>855059.30565000011</v>
      </c>
    </row>
    <row r="15" spans="1:28">
      <c r="A15" t="s">
        <v>2344</v>
      </c>
      <c r="B15">
        <v>5364</v>
      </c>
      <c r="C15" t="s">
        <v>2330</v>
      </c>
      <c r="D15">
        <v>5697</v>
      </c>
      <c r="E15" t="s">
        <v>2203</v>
      </c>
      <c r="F15" t="s">
        <v>2038</v>
      </c>
      <c r="G15">
        <v>2021</v>
      </c>
      <c r="H15">
        <v>12</v>
      </c>
      <c r="I15" s="8">
        <v>44531</v>
      </c>
      <c r="J15">
        <v>17212.419999999998</v>
      </c>
      <c r="K15">
        <v>9384.9599999999991</v>
      </c>
      <c r="L15">
        <v>5734693</v>
      </c>
      <c r="M15">
        <v>406526</v>
      </c>
      <c r="N15">
        <v>5534299</v>
      </c>
      <c r="O15">
        <v>406526</v>
      </c>
      <c r="P15">
        <v>200394</v>
      </c>
      <c r="Q15">
        <v>11.83</v>
      </c>
      <c r="R15">
        <v>21.22</v>
      </c>
      <c r="S15">
        <v>14.37</v>
      </c>
      <c r="T15">
        <v>144.21</v>
      </c>
      <c r="U15">
        <v>52364.2</v>
      </c>
      <c r="V15">
        <v>0</v>
      </c>
      <c r="W15">
        <v>0</v>
      </c>
      <c r="X15">
        <v>1400111.62</v>
      </c>
      <c r="AA15" s="232">
        <f t="shared" si="0"/>
        <v>491021.09682999994</v>
      </c>
      <c r="AB15" s="232">
        <f t="shared" si="1"/>
        <v>856726.37325000006</v>
      </c>
    </row>
    <row r="16" spans="1:28">
      <c r="A16" t="s">
        <v>2345</v>
      </c>
      <c r="B16">
        <v>5364</v>
      </c>
      <c r="C16" t="s">
        <v>2330</v>
      </c>
      <c r="D16">
        <v>5697</v>
      </c>
      <c r="E16" t="s">
        <v>2203</v>
      </c>
      <c r="F16" t="s">
        <v>176</v>
      </c>
      <c r="G16">
        <v>2022</v>
      </c>
      <c r="H16">
        <v>1</v>
      </c>
      <c r="I16" s="8">
        <v>44562</v>
      </c>
      <c r="J16">
        <v>14498.4</v>
      </c>
      <c r="K16">
        <v>8109.6</v>
      </c>
      <c r="L16">
        <v>6035206</v>
      </c>
      <c r="M16">
        <v>337356</v>
      </c>
      <c r="N16">
        <v>6035206</v>
      </c>
      <c r="O16">
        <v>337356</v>
      </c>
      <c r="P16">
        <v>0</v>
      </c>
      <c r="Q16">
        <v>11.26</v>
      </c>
      <c r="R16">
        <v>21.11</v>
      </c>
      <c r="S16">
        <v>7.49</v>
      </c>
      <c r="T16">
        <v>144.21</v>
      </c>
      <c r="U16">
        <v>64600.639999999999</v>
      </c>
      <c r="V16">
        <v>0</v>
      </c>
      <c r="W16">
        <v>0</v>
      </c>
      <c r="X16">
        <v>1365763.91</v>
      </c>
      <c r="AA16" s="232">
        <f t="shared" si="0"/>
        <v>382176.12938</v>
      </c>
      <c r="AB16" s="232">
        <f t="shared" si="1"/>
        <v>918987.16602</v>
      </c>
    </row>
    <row r="17" spans="1:28">
      <c r="A17" t="s">
        <v>2346</v>
      </c>
      <c r="B17">
        <v>5364</v>
      </c>
      <c r="C17" t="s">
        <v>2330</v>
      </c>
      <c r="D17">
        <v>5697</v>
      </c>
      <c r="E17" t="s">
        <v>2203</v>
      </c>
      <c r="F17" t="s">
        <v>2038</v>
      </c>
      <c r="G17">
        <v>2022</v>
      </c>
      <c r="H17">
        <v>1</v>
      </c>
      <c r="I17" s="8">
        <v>44562</v>
      </c>
      <c r="J17">
        <v>17646.72</v>
      </c>
      <c r="K17">
        <v>9658.7800000000007</v>
      </c>
      <c r="L17">
        <v>6349941</v>
      </c>
      <c r="M17">
        <v>423437</v>
      </c>
      <c r="N17">
        <v>6161326</v>
      </c>
      <c r="O17">
        <v>423437</v>
      </c>
      <c r="P17">
        <v>188615</v>
      </c>
      <c r="Q17">
        <v>11.83</v>
      </c>
      <c r="R17">
        <v>21.22</v>
      </c>
      <c r="S17">
        <v>14.37</v>
      </c>
      <c r="T17">
        <v>144.21</v>
      </c>
      <c r="U17">
        <v>72518.490000000005</v>
      </c>
      <c r="V17">
        <v>0</v>
      </c>
      <c r="W17">
        <v>0</v>
      </c>
      <c r="X17">
        <v>1533160.53</v>
      </c>
      <c r="AA17" s="232">
        <f t="shared" si="0"/>
        <v>511053.45105999999</v>
      </c>
      <c r="AB17" s="232">
        <f t="shared" si="1"/>
        <v>949588.67223000003</v>
      </c>
    </row>
    <row r="18" spans="1:28">
      <c r="A18" t="s">
        <v>2347</v>
      </c>
      <c r="B18">
        <v>5364</v>
      </c>
      <c r="C18" t="s">
        <v>2330</v>
      </c>
      <c r="D18">
        <v>5697</v>
      </c>
      <c r="E18" t="s">
        <v>2203</v>
      </c>
      <c r="F18" t="s">
        <v>176</v>
      </c>
      <c r="G18">
        <v>2022</v>
      </c>
      <c r="H18">
        <v>2</v>
      </c>
      <c r="I18" s="8">
        <v>44593</v>
      </c>
      <c r="J18">
        <v>14078.4</v>
      </c>
      <c r="K18">
        <v>7962.6</v>
      </c>
      <c r="L18">
        <v>5519673</v>
      </c>
      <c r="M18">
        <v>314113</v>
      </c>
      <c r="N18">
        <v>5519673</v>
      </c>
      <c r="O18">
        <v>314113</v>
      </c>
      <c r="P18">
        <v>0</v>
      </c>
      <c r="Q18">
        <v>11.26</v>
      </c>
      <c r="R18">
        <v>21.11</v>
      </c>
      <c r="S18">
        <v>7.49</v>
      </c>
      <c r="T18">
        <v>144.21</v>
      </c>
      <c r="U18">
        <v>35671.94</v>
      </c>
      <c r="V18">
        <v>0</v>
      </c>
      <c r="W18">
        <v>0</v>
      </c>
      <c r="X18">
        <v>1247270.53</v>
      </c>
      <c r="AA18" s="232">
        <f t="shared" si="0"/>
        <v>370308.32714000001</v>
      </c>
      <c r="AB18" s="232">
        <f t="shared" si="1"/>
        <v>841290.27906000009</v>
      </c>
    </row>
    <row r="19" spans="1:28">
      <c r="A19" t="s">
        <v>2348</v>
      </c>
      <c r="B19">
        <v>5364</v>
      </c>
      <c r="C19" t="s">
        <v>2330</v>
      </c>
      <c r="D19">
        <v>5697</v>
      </c>
      <c r="E19" t="s">
        <v>2203</v>
      </c>
      <c r="F19" t="s">
        <v>2038</v>
      </c>
      <c r="G19">
        <v>2022</v>
      </c>
      <c r="H19">
        <v>2</v>
      </c>
      <c r="I19" s="8">
        <v>44593</v>
      </c>
      <c r="J19">
        <v>17814.63</v>
      </c>
      <c r="K19">
        <v>9589.92</v>
      </c>
      <c r="L19">
        <v>6275962</v>
      </c>
      <c r="M19">
        <v>403248</v>
      </c>
      <c r="N19">
        <v>6107033</v>
      </c>
      <c r="O19">
        <v>403248</v>
      </c>
      <c r="P19">
        <v>168929</v>
      </c>
      <c r="Q19">
        <v>11.83</v>
      </c>
      <c r="R19">
        <v>21.22</v>
      </c>
      <c r="S19">
        <v>14.37</v>
      </c>
      <c r="T19">
        <v>144.21</v>
      </c>
      <c r="U19">
        <v>42663.68</v>
      </c>
      <c r="V19">
        <v>0</v>
      </c>
      <c r="W19">
        <v>0</v>
      </c>
      <c r="X19">
        <v>1491736.71</v>
      </c>
      <c r="AA19" s="232">
        <f t="shared" si="0"/>
        <v>510225.42300000001</v>
      </c>
      <c r="AB19" s="232">
        <f t="shared" si="1"/>
        <v>938847.6230100001</v>
      </c>
    </row>
    <row r="20" spans="1:28">
      <c r="A20" t="s">
        <v>2349</v>
      </c>
      <c r="B20">
        <v>5364</v>
      </c>
      <c r="C20" t="s">
        <v>2330</v>
      </c>
      <c r="D20">
        <v>5697</v>
      </c>
      <c r="E20" t="s">
        <v>2203</v>
      </c>
      <c r="F20" t="s">
        <v>176</v>
      </c>
      <c r="G20">
        <v>2022</v>
      </c>
      <c r="H20">
        <v>3</v>
      </c>
      <c r="I20" s="8">
        <v>44621</v>
      </c>
      <c r="J20">
        <v>13633.2</v>
      </c>
      <c r="K20">
        <v>7870.2</v>
      </c>
      <c r="L20">
        <v>5833833</v>
      </c>
      <c r="M20">
        <v>342266</v>
      </c>
      <c r="N20">
        <v>5833833</v>
      </c>
      <c r="O20">
        <v>342266</v>
      </c>
      <c r="P20">
        <v>0</v>
      </c>
      <c r="Q20">
        <v>11.26</v>
      </c>
      <c r="R20">
        <v>21.11</v>
      </c>
      <c r="S20">
        <v>7.49</v>
      </c>
      <c r="T20">
        <v>144.21</v>
      </c>
      <c r="U20">
        <v>42613.02</v>
      </c>
      <c r="V20">
        <v>0</v>
      </c>
      <c r="W20">
        <v>0</v>
      </c>
      <c r="X20">
        <v>1299176.98</v>
      </c>
      <c r="AA20" s="232">
        <f t="shared" si="0"/>
        <v>365908.73550999997</v>
      </c>
      <c r="AB20" s="232">
        <f t="shared" si="1"/>
        <v>890655.23679000011</v>
      </c>
    </row>
    <row r="21" spans="1:28">
      <c r="A21" t="s">
        <v>2350</v>
      </c>
      <c r="B21">
        <v>5364</v>
      </c>
      <c r="C21" t="s">
        <v>2330</v>
      </c>
      <c r="D21">
        <v>5697</v>
      </c>
      <c r="E21" t="s">
        <v>2203</v>
      </c>
      <c r="F21" t="s">
        <v>2038</v>
      </c>
      <c r="G21">
        <v>2022</v>
      </c>
      <c r="H21">
        <v>3</v>
      </c>
      <c r="I21" s="8">
        <v>44621</v>
      </c>
      <c r="J21">
        <v>17639.91</v>
      </c>
      <c r="K21">
        <v>9465.6</v>
      </c>
      <c r="L21">
        <v>6820049</v>
      </c>
      <c r="M21">
        <v>450787</v>
      </c>
      <c r="N21">
        <v>6637471</v>
      </c>
      <c r="O21">
        <v>450787</v>
      </c>
      <c r="P21">
        <v>182578</v>
      </c>
      <c r="Q21">
        <v>11.83</v>
      </c>
      <c r="R21">
        <v>21.22</v>
      </c>
      <c r="S21">
        <v>14.37</v>
      </c>
      <c r="T21">
        <v>144.21</v>
      </c>
      <c r="U21">
        <v>52096.800000000003</v>
      </c>
      <c r="V21">
        <v>0</v>
      </c>
      <c r="W21">
        <v>0</v>
      </c>
      <c r="X21">
        <v>1588316.55</v>
      </c>
      <c r="AA21" s="232">
        <f t="shared" si="0"/>
        <v>514022.08061999996</v>
      </c>
      <c r="AB21" s="232">
        <f t="shared" si="1"/>
        <v>1022197.6861800001</v>
      </c>
    </row>
    <row r="22" spans="1:28">
      <c r="A22" t="s">
        <v>2351</v>
      </c>
      <c r="B22">
        <v>5364</v>
      </c>
      <c r="C22" t="s">
        <v>2330</v>
      </c>
      <c r="D22">
        <v>5697</v>
      </c>
      <c r="E22" t="s">
        <v>2203</v>
      </c>
      <c r="F22" t="s">
        <v>176</v>
      </c>
      <c r="G22">
        <v>2022</v>
      </c>
      <c r="H22">
        <v>4</v>
      </c>
      <c r="I22" s="8">
        <v>44652</v>
      </c>
      <c r="J22">
        <v>13549.2</v>
      </c>
      <c r="K22">
        <v>8055</v>
      </c>
      <c r="L22">
        <v>5608020</v>
      </c>
      <c r="M22">
        <v>297473</v>
      </c>
      <c r="N22">
        <v>5608020</v>
      </c>
      <c r="O22">
        <v>297473</v>
      </c>
      <c r="P22">
        <v>0</v>
      </c>
      <c r="Q22">
        <v>11.26</v>
      </c>
      <c r="R22">
        <v>21.11</v>
      </c>
      <c r="S22">
        <v>7.49</v>
      </c>
      <c r="T22">
        <v>144.21</v>
      </c>
      <c r="U22">
        <v>26645.47</v>
      </c>
      <c r="V22">
        <v>0</v>
      </c>
      <c r="W22">
        <v>0</v>
      </c>
      <c r="X22">
        <v>1245113.79</v>
      </c>
      <c r="AA22" s="232">
        <f t="shared" si="0"/>
        <v>366837.18457000004</v>
      </c>
      <c r="AB22" s="232">
        <f t="shared" si="1"/>
        <v>851631.1455300001</v>
      </c>
    </row>
    <row r="23" spans="1:28">
      <c r="A23" t="s">
        <v>2352</v>
      </c>
      <c r="B23">
        <v>5364</v>
      </c>
      <c r="C23" t="s">
        <v>2330</v>
      </c>
      <c r="D23">
        <v>5697</v>
      </c>
      <c r="E23" t="s">
        <v>2203</v>
      </c>
      <c r="F23" t="s">
        <v>2038</v>
      </c>
      <c r="G23">
        <v>2022</v>
      </c>
      <c r="H23">
        <v>4</v>
      </c>
      <c r="I23" s="8">
        <v>44652</v>
      </c>
      <c r="J23">
        <v>17444.259999999998</v>
      </c>
      <c r="K23">
        <v>9610.08</v>
      </c>
      <c r="L23">
        <v>6220398</v>
      </c>
      <c r="M23">
        <v>384118</v>
      </c>
      <c r="N23">
        <v>6044726</v>
      </c>
      <c r="O23">
        <v>384118</v>
      </c>
      <c r="P23">
        <v>175672</v>
      </c>
      <c r="Q23">
        <v>11.83</v>
      </c>
      <c r="R23">
        <v>21.22</v>
      </c>
      <c r="S23">
        <v>14.37</v>
      </c>
      <c r="T23">
        <v>144.21</v>
      </c>
      <c r="U23">
        <v>31321.58</v>
      </c>
      <c r="V23">
        <v>0</v>
      </c>
      <c r="W23">
        <v>0</v>
      </c>
      <c r="X23">
        <v>1463623.51</v>
      </c>
      <c r="AA23" s="232">
        <f t="shared" si="0"/>
        <v>505198.38831999997</v>
      </c>
      <c r="AB23" s="232">
        <f t="shared" si="1"/>
        <v>927103.59324000007</v>
      </c>
    </row>
    <row r="24" spans="1:28">
      <c r="A24" t="s">
        <v>2353</v>
      </c>
      <c r="B24">
        <v>5364</v>
      </c>
      <c r="C24" t="s">
        <v>2330</v>
      </c>
      <c r="D24">
        <v>5697</v>
      </c>
      <c r="E24" t="s">
        <v>2203</v>
      </c>
      <c r="F24" t="s">
        <v>176</v>
      </c>
      <c r="G24">
        <v>2022</v>
      </c>
      <c r="H24">
        <v>5</v>
      </c>
      <c r="I24" s="8">
        <v>44682</v>
      </c>
      <c r="J24">
        <v>13696.2</v>
      </c>
      <c r="K24">
        <v>8206.2000000000007</v>
      </c>
      <c r="L24">
        <v>6030423</v>
      </c>
      <c r="M24">
        <v>354383</v>
      </c>
      <c r="N24">
        <v>6030423</v>
      </c>
      <c r="O24">
        <v>354383</v>
      </c>
      <c r="P24">
        <v>0</v>
      </c>
      <c r="Q24">
        <v>11.26</v>
      </c>
      <c r="R24">
        <v>21.11</v>
      </c>
      <c r="S24">
        <v>7.49</v>
      </c>
      <c r="T24">
        <v>144.21</v>
      </c>
      <c r="U24">
        <v>42152.69</v>
      </c>
      <c r="V24">
        <v>0</v>
      </c>
      <c r="W24">
        <v>0</v>
      </c>
      <c r="X24">
        <v>1338179.8500000001</v>
      </c>
      <c r="AA24" s="232">
        <f t="shared" si="0"/>
        <v>375274.29094000004</v>
      </c>
      <c r="AB24" s="232">
        <f t="shared" si="1"/>
        <v>920752.87326000002</v>
      </c>
    </row>
    <row r="25" spans="1:28">
      <c r="A25" t="s">
        <v>2354</v>
      </c>
      <c r="B25">
        <v>5364</v>
      </c>
      <c r="C25" t="s">
        <v>2330</v>
      </c>
      <c r="D25">
        <v>5697</v>
      </c>
      <c r="E25" t="s">
        <v>2203</v>
      </c>
      <c r="F25" t="s">
        <v>2038</v>
      </c>
      <c r="G25">
        <v>2022</v>
      </c>
      <c r="H25">
        <v>5</v>
      </c>
      <c r="I25" s="8">
        <v>44682</v>
      </c>
      <c r="J25">
        <v>16763.88</v>
      </c>
      <c r="K25">
        <v>9924.2199999999993</v>
      </c>
      <c r="L25">
        <v>6280921</v>
      </c>
      <c r="M25">
        <v>428549</v>
      </c>
      <c r="N25">
        <v>6081649</v>
      </c>
      <c r="O25">
        <v>428549</v>
      </c>
      <c r="P25">
        <v>199272</v>
      </c>
      <c r="Q25">
        <v>11.83</v>
      </c>
      <c r="R25">
        <v>21.22</v>
      </c>
      <c r="S25">
        <v>14.37</v>
      </c>
      <c r="T25">
        <v>144.21</v>
      </c>
      <c r="U25">
        <v>46970.61</v>
      </c>
      <c r="V25">
        <v>0</v>
      </c>
      <c r="W25">
        <v>0</v>
      </c>
      <c r="X25">
        <v>1491129.94</v>
      </c>
      <c r="AA25" s="232">
        <f t="shared" si="0"/>
        <v>505323.73269999993</v>
      </c>
      <c r="AB25" s="232">
        <f t="shared" si="1"/>
        <v>938835.65358000004</v>
      </c>
    </row>
    <row r="26" spans="1:28">
      <c r="A26" t="s">
        <v>2355</v>
      </c>
      <c r="B26">
        <v>5364</v>
      </c>
      <c r="C26" t="s">
        <v>2330</v>
      </c>
      <c r="D26">
        <v>5697</v>
      </c>
      <c r="E26" t="s">
        <v>2203</v>
      </c>
      <c r="F26" t="s">
        <v>176</v>
      </c>
      <c r="G26">
        <v>2022</v>
      </c>
      <c r="H26">
        <v>6</v>
      </c>
      <c r="I26" s="8">
        <v>44713</v>
      </c>
      <c r="J26">
        <v>13805.4</v>
      </c>
      <c r="K26">
        <v>8189.4</v>
      </c>
      <c r="L26">
        <v>6094305</v>
      </c>
      <c r="M26">
        <v>379272</v>
      </c>
      <c r="N26">
        <v>6094305</v>
      </c>
      <c r="O26">
        <v>379272</v>
      </c>
      <c r="P26">
        <v>0</v>
      </c>
      <c r="Q26">
        <v>11.26</v>
      </c>
      <c r="R26">
        <v>21.11</v>
      </c>
      <c r="S26">
        <v>7.49</v>
      </c>
      <c r="T26">
        <v>144.21</v>
      </c>
      <c r="U26">
        <v>53888.160000000003</v>
      </c>
      <c r="V26">
        <v>0</v>
      </c>
      <c r="W26">
        <v>0</v>
      </c>
      <c r="X26">
        <v>1364256.82</v>
      </c>
      <c r="AA26" s="232">
        <f t="shared" si="0"/>
        <v>376814.12972999999</v>
      </c>
      <c r="AB26" s="232">
        <f t="shared" si="1"/>
        <v>933554.53917000012</v>
      </c>
    </row>
    <row r="27" spans="1:28">
      <c r="A27" t="s">
        <v>2356</v>
      </c>
      <c r="B27">
        <v>5364</v>
      </c>
      <c r="C27" t="s">
        <v>2330</v>
      </c>
      <c r="D27">
        <v>5697</v>
      </c>
      <c r="E27" t="s">
        <v>2203</v>
      </c>
      <c r="F27" t="s">
        <v>2038</v>
      </c>
      <c r="G27">
        <v>2022</v>
      </c>
      <c r="H27">
        <v>6</v>
      </c>
      <c r="I27" s="8">
        <v>44713</v>
      </c>
      <c r="J27">
        <v>16948.68</v>
      </c>
      <c r="K27">
        <v>10422.629999999999</v>
      </c>
      <c r="L27">
        <v>6135605</v>
      </c>
      <c r="M27">
        <v>451180</v>
      </c>
      <c r="N27">
        <v>5936470</v>
      </c>
      <c r="O27">
        <v>451180</v>
      </c>
      <c r="P27">
        <v>199135</v>
      </c>
      <c r="Q27">
        <v>11.83</v>
      </c>
      <c r="R27">
        <v>21.22</v>
      </c>
      <c r="S27">
        <v>14.37</v>
      </c>
      <c r="T27">
        <v>144.21</v>
      </c>
      <c r="U27">
        <v>59115.78</v>
      </c>
      <c r="V27">
        <v>0</v>
      </c>
      <c r="W27">
        <v>0</v>
      </c>
      <c r="X27">
        <v>1496601.95</v>
      </c>
      <c r="AA27" s="232">
        <f t="shared" si="0"/>
        <v>516323.19345000002</v>
      </c>
      <c r="AB27" s="232">
        <f t="shared" si="1"/>
        <v>921163.00650000002</v>
      </c>
    </row>
    <row r="28" spans="1:28">
      <c r="A28" t="s">
        <v>2400</v>
      </c>
      <c r="B28">
        <v>5364</v>
      </c>
      <c r="C28" t="s">
        <v>2330</v>
      </c>
      <c r="D28">
        <v>5697</v>
      </c>
      <c r="E28" t="s">
        <v>2203</v>
      </c>
      <c r="F28" t="s">
        <v>176</v>
      </c>
      <c r="G28">
        <v>2022</v>
      </c>
      <c r="H28">
        <v>7</v>
      </c>
      <c r="I28" s="8">
        <v>44743</v>
      </c>
      <c r="J28">
        <v>13801.2</v>
      </c>
      <c r="K28">
        <v>8193.6</v>
      </c>
      <c r="L28">
        <v>5881062</v>
      </c>
      <c r="M28">
        <v>356227</v>
      </c>
      <c r="N28">
        <v>5881062</v>
      </c>
      <c r="O28">
        <v>356227</v>
      </c>
      <c r="P28">
        <v>0</v>
      </c>
      <c r="Q28">
        <v>11.26</v>
      </c>
      <c r="R28">
        <v>21.11</v>
      </c>
      <c r="S28">
        <v>7.49</v>
      </c>
      <c r="T28">
        <v>144.21</v>
      </c>
      <c r="U28">
        <v>67223.62</v>
      </c>
      <c r="V28">
        <v>0</v>
      </c>
      <c r="W28">
        <v>0</v>
      </c>
      <c r="X28">
        <v>1341788.77</v>
      </c>
      <c r="AA28" s="232">
        <f t="shared" si="0"/>
        <v>375085.70261000004</v>
      </c>
      <c r="AB28" s="232">
        <f t="shared" si="1"/>
        <v>899479.44669000001</v>
      </c>
    </row>
    <row r="29" spans="1:28">
      <c r="A29" t="s">
        <v>2401</v>
      </c>
      <c r="B29">
        <v>5364</v>
      </c>
      <c r="C29" t="s">
        <v>2330</v>
      </c>
      <c r="D29">
        <v>5697</v>
      </c>
      <c r="E29" t="s">
        <v>2203</v>
      </c>
      <c r="F29" t="s">
        <v>2038</v>
      </c>
      <c r="G29">
        <v>2022</v>
      </c>
      <c r="H29">
        <v>7</v>
      </c>
      <c r="I29" s="8">
        <v>44743</v>
      </c>
      <c r="J29">
        <v>16842.82</v>
      </c>
      <c r="K29">
        <v>9932.64</v>
      </c>
      <c r="L29">
        <v>6185035</v>
      </c>
      <c r="M29">
        <v>428158</v>
      </c>
      <c r="N29">
        <v>5978708</v>
      </c>
      <c r="O29">
        <v>428158</v>
      </c>
      <c r="P29">
        <v>206327</v>
      </c>
      <c r="Q29">
        <v>11.83</v>
      </c>
      <c r="R29">
        <v>21.22</v>
      </c>
      <c r="S29">
        <v>14.37</v>
      </c>
      <c r="T29">
        <v>144.21</v>
      </c>
      <c r="U29">
        <v>75368.2</v>
      </c>
      <c r="V29">
        <v>0</v>
      </c>
      <c r="W29">
        <v>0</v>
      </c>
      <c r="X29">
        <v>1504355.09</v>
      </c>
      <c r="AA29" s="232">
        <f t="shared" si="0"/>
        <v>505052.76480999996</v>
      </c>
      <c r="AB29" s="232">
        <f t="shared" si="1"/>
        <v>923934.14586000005</v>
      </c>
    </row>
    <row r="30" spans="1:28">
      <c r="AA30" s="232">
        <f t="shared" si="0"/>
        <v>0</v>
      </c>
      <c r="AB30" s="232">
        <f t="shared" si="1"/>
        <v>0</v>
      </c>
    </row>
    <row r="31" spans="1:28">
      <c r="AA31" s="232">
        <f t="shared" si="0"/>
        <v>0</v>
      </c>
      <c r="AB31" s="232">
        <f t="shared" si="1"/>
        <v>0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21"/>
  <sheetViews>
    <sheetView topLeftCell="C7" zoomScale="70" zoomScaleNormal="70" workbookViewId="0">
      <selection activeCell="AC15" sqref="AC15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0" t="s">
        <v>169</v>
      </c>
      <c r="K1" s="720" t="s">
        <v>175</v>
      </c>
      <c r="L1" s="720" t="s">
        <v>174</v>
      </c>
      <c r="M1" s="720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189</v>
      </c>
      <c r="AJ1" t="s">
        <v>190</v>
      </c>
    </row>
    <row r="2" spans="1:36">
      <c r="A2">
        <v>5364</v>
      </c>
      <c r="B2" t="s">
        <v>2330</v>
      </c>
      <c r="C2">
        <v>5697</v>
      </c>
      <c r="D2" t="s">
        <v>2203</v>
      </c>
      <c r="E2" t="s">
        <v>176</v>
      </c>
      <c r="F2">
        <v>202106</v>
      </c>
      <c r="G2" t="s">
        <v>191</v>
      </c>
      <c r="H2">
        <v>4772703</v>
      </c>
      <c r="J2" s="721">
        <f>CAPA!K12</f>
        <v>5364</v>
      </c>
      <c r="K2" s="721" t="s">
        <v>178</v>
      </c>
      <c r="L2" s="721" t="str">
        <f>"&gt;="&amp;K6</f>
        <v>&gt;=202109</v>
      </c>
      <c r="M2" s="721" t="str">
        <f>"&lt;="&amp;K7</f>
        <v>&lt;=202208</v>
      </c>
      <c r="O2">
        <v>5364</v>
      </c>
      <c r="P2" t="s">
        <v>2330</v>
      </c>
      <c r="Q2">
        <v>5697</v>
      </c>
      <c r="R2" t="s">
        <v>2203</v>
      </c>
      <c r="S2" t="s">
        <v>176</v>
      </c>
      <c r="T2">
        <v>202109</v>
      </c>
      <c r="U2" t="s">
        <v>191</v>
      </c>
      <c r="V2">
        <v>5787772</v>
      </c>
      <c r="X2">
        <v>5697</v>
      </c>
      <c r="Y2" t="s">
        <v>2203</v>
      </c>
      <c r="Z2" t="s">
        <v>176</v>
      </c>
      <c r="AB2">
        <v>5697</v>
      </c>
      <c r="AC2" t="s">
        <v>2203</v>
      </c>
      <c r="AD2" t="s">
        <v>176</v>
      </c>
      <c r="AE2" t="s">
        <v>179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5364</v>
      </c>
      <c r="B3" t="s">
        <v>2330</v>
      </c>
      <c r="C3">
        <v>5697</v>
      </c>
      <c r="D3" t="s">
        <v>2203</v>
      </c>
      <c r="E3" t="s">
        <v>176</v>
      </c>
      <c r="F3">
        <v>202106</v>
      </c>
      <c r="G3" t="s">
        <v>192</v>
      </c>
      <c r="H3">
        <v>365916</v>
      </c>
      <c r="J3" s="721">
        <f>J2</f>
        <v>5364</v>
      </c>
      <c r="K3" s="721" t="s">
        <v>180</v>
      </c>
      <c r="L3" s="721" t="str">
        <f>L2</f>
        <v>&gt;=202109</v>
      </c>
      <c r="M3" s="721" t="str">
        <f>M2</f>
        <v>&lt;=202208</v>
      </c>
      <c r="O3">
        <v>5364</v>
      </c>
      <c r="P3" t="s">
        <v>2330</v>
      </c>
      <c r="Q3">
        <v>5697</v>
      </c>
      <c r="R3" t="s">
        <v>2203</v>
      </c>
      <c r="S3" t="s">
        <v>176</v>
      </c>
      <c r="T3">
        <v>202109</v>
      </c>
      <c r="U3" t="s">
        <v>192</v>
      </c>
      <c r="V3">
        <v>384426</v>
      </c>
      <c r="X3">
        <v>5697</v>
      </c>
      <c r="Y3" t="s">
        <v>2203</v>
      </c>
      <c r="Z3" t="s">
        <v>2038</v>
      </c>
      <c r="AB3">
        <v>5697</v>
      </c>
      <c r="AC3" t="s">
        <v>2203</v>
      </c>
      <c r="AD3" t="s">
        <v>176</v>
      </c>
      <c r="AE3" t="s">
        <v>181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5364</v>
      </c>
      <c r="B4" t="s">
        <v>2330</v>
      </c>
      <c r="C4">
        <v>5697</v>
      </c>
      <c r="D4" t="s">
        <v>2203</v>
      </c>
      <c r="E4" t="s">
        <v>176</v>
      </c>
      <c r="F4">
        <v>202106</v>
      </c>
      <c r="G4" t="s">
        <v>177</v>
      </c>
      <c r="H4">
        <v>0</v>
      </c>
      <c r="J4" s="723">
        <f>J3</f>
        <v>5364</v>
      </c>
      <c r="K4" s="721" t="s">
        <v>182</v>
      </c>
      <c r="L4" s="722" t="str">
        <f>L2</f>
        <v>&gt;=202109</v>
      </c>
      <c r="M4" s="722" t="str">
        <f>M2</f>
        <v>&lt;=202208</v>
      </c>
      <c r="O4">
        <v>5364</v>
      </c>
      <c r="P4" t="s">
        <v>2330</v>
      </c>
      <c r="Q4">
        <v>5697</v>
      </c>
      <c r="R4" t="s">
        <v>2203</v>
      </c>
      <c r="S4" t="s">
        <v>176</v>
      </c>
      <c r="T4">
        <v>202109</v>
      </c>
      <c r="U4" t="s">
        <v>179</v>
      </c>
      <c r="V4">
        <v>13426</v>
      </c>
      <c r="AB4">
        <v>5697</v>
      </c>
      <c r="AC4" t="s">
        <v>2203</v>
      </c>
      <c r="AD4" t="s">
        <v>176</v>
      </c>
      <c r="AE4" t="s">
        <v>183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5364</v>
      </c>
      <c r="B5" t="s">
        <v>2330</v>
      </c>
      <c r="C5">
        <v>5697</v>
      </c>
      <c r="D5" t="s">
        <v>2203</v>
      </c>
      <c r="E5" t="s">
        <v>176</v>
      </c>
      <c r="F5">
        <v>202106</v>
      </c>
      <c r="G5" t="s">
        <v>179</v>
      </c>
      <c r="H5">
        <v>13098.4</v>
      </c>
      <c r="J5" s="723">
        <f>J4</f>
        <v>5364</v>
      </c>
      <c r="K5" s="901" t="s">
        <v>184</v>
      </c>
      <c r="L5" s="722" t="str">
        <f>L3</f>
        <v>&gt;=202109</v>
      </c>
      <c r="M5" s="722" t="str">
        <f>M3</f>
        <v>&lt;=202208</v>
      </c>
      <c r="O5">
        <v>5364</v>
      </c>
      <c r="P5" t="s">
        <v>2330</v>
      </c>
      <c r="Q5">
        <v>5697</v>
      </c>
      <c r="R5" t="s">
        <v>2203</v>
      </c>
      <c r="S5" t="s">
        <v>176</v>
      </c>
      <c r="T5">
        <v>202109</v>
      </c>
      <c r="U5" t="s">
        <v>181</v>
      </c>
      <c r="V5">
        <v>8030</v>
      </c>
      <c r="AB5">
        <v>5697</v>
      </c>
      <c r="AC5" t="s">
        <v>2203</v>
      </c>
      <c r="AD5" t="s">
        <v>176</v>
      </c>
      <c r="AE5" t="s">
        <v>185</v>
      </c>
      <c r="AI5">
        <f t="shared" si="0"/>
        <v>0</v>
      </c>
      <c r="AJ5" t="str">
        <f t="shared" si="1"/>
        <v>Nada</v>
      </c>
    </row>
    <row r="6" spans="1:36">
      <c r="A6">
        <v>5364</v>
      </c>
      <c r="B6" t="s">
        <v>2330</v>
      </c>
      <c r="C6">
        <v>5697</v>
      </c>
      <c r="D6" t="s">
        <v>2203</v>
      </c>
      <c r="E6" t="s">
        <v>176</v>
      </c>
      <c r="F6">
        <v>202106</v>
      </c>
      <c r="G6" t="s">
        <v>181</v>
      </c>
      <c r="H6">
        <v>7946</v>
      </c>
      <c r="J6" t="s">
        <v>186</v>
      </c>
      <c r="K6">
        <f>(YEAR(SAS_RA0_DataInicio)*100+MONTH(SAS_RA0_DataInicio))</f>
        <v>202109</v>
      </c>
      <c r="O6">
        <v>5364</v>
      </c>
      <c r="P6" t="s">
        <v>2330</v>
      </c>
      <c r="Q6">
        <v>5697</v>
      </c>
      <c r="R6" t="s">
        <v>2203</v>
      </c>
      <c r="S6" t="s">
        <v>176</v>
      </c>
      <c r="T6">
        <v>202109</v>
      </c>
      <c r="U6" t="s">
        <v>183</v>
      </c>
      <c r="V6">
        <v>5787772</v>
      </c>
      <c r="AB6">
        <v>5697</v>
      </c>
      <c r="AC6" t="s">
        <v>2203</v>
      </c>
      <c r="AD6" t="s">
        <v>176</v>
      </c>
      <c r="AE6" t="s">
        <v>187</v>
      </c>
      <c r="AI6">
        <f t="shared" si="0"/>
        <v>0</v>
      </c>
      <c r="AJ6" t="str">
        <f t="shared" si="1"/>
        <v>Nada</v>
      </c>
    </row>
    <row r="7" spans="1:36">
      <c r="A7">
        <v>5364</v>
      </c>
      <c r="B7" t="s">
        <v>2330</v>
      </c>
      <c r="C7">
        <v>5697</v>
      </c>
      <c r="D7" t="s">
        <v>2203</v>
      </c>
      <c r="E7" t="s">
        <v>176</v>
      </c>
      <c r="F7">
        <v>202106</v>
      </c>
      <c r="G7" t="s">
        <v>183</v>
      </c>
      <c r="H7">
        <v>4772703</v>
      </c>
      <c r="J7" t="s">
        <v>188</v>
      </c>
      <c r="K7">
        <f>YEAR(SAS_RA0_DataFim)*100+MONTH(SAS_RA0_DataFim)</f>
        <v>202208</v>
      </c>
      <c r="O7">
        <v>5364</v>
      </c>
      <c r="P7" t="s">
        <v>2330</v>
      </c>
      <c r="Q7">
        <v>5697</v>
      </c>
      <c r="R7" t="s">
        <v>2203</v>
      </c>
      <c r="S7" t="s">
        <v>176</v>
      </c>
      <c r="T7">
        <v>202109</v>
      </c>
      <c r="U7" t="s">
        <v>185</v>
      </c>
      <c r="V7">
        <v>384426</v>
      </c>
      <c r="AB7">
        <v>5697</v>
      </c>
      <c r="AC7" t="s">
        <v>2203</v>
      </c>
      <c r="AD7" t="s">
        <v>2038</v>
      </c>
      <c r="AE7" t="s">
        <v>179</v>
      </c>
      <c r="AI7">
        <f t="shared" si="0"/>
        <v>0</v>
      </c>
      <c r="AJ7" t="str">
        <f t="shared" si="1"/>
        <v>Nada</v>
      </c>
    </row>
    <row r="8" spans="1:36">
      <c r="A8">
        <v>5364</v>
      </c>
      <c r="B8" t="s">
        <v>2330</v>
      </c>
      <c r="C8">
        <v>5697</v>
      </c>
      <c r="D8" t="s">
        <v>2203</v>
      </c>
      <c r="E8" t="s">
        <v>176</v>
      </c>
      <c r="F8">
        <v>202106</v>
      </c>
      <c r="G8" t="s">
        <v>185</v>
      </c>
      <c r="H8">
        <v>365916</v>
      </c>
      <c r="J8" t="s">
        <v>189</v>
      </c>
      <c r="K8" s="631">
        <f>MAX(AI:AI)</f>
        <v>202207</v>
      </c>
      <c r="O8">
        <v>5364</v>
      </c>
      <c r="P8" t="s">
        <v>2330</v>
      </c>
      <c r="Q8">
        <v>5697</v>
      </c>
      <c r="R8" t="s">
        <v>2203</v>
      </c>
      <c r="S8" t="s">
        <v>176</v>
      </c>
      <c r="T8">
        <v>202109</v>
      </c>
      <c r="U8" t="s">
        <v>187</v>
      </c>
      <c r="V8">
        <v>0</v>
      </c>
      <c r="AB8">
        <v>5697</v>
      </c>
      <c r="AC8" t="s">
        <v>2203</v>
      </c>
      <c r="AD8" t="s">
        <v>2038</v>
      </c>
      <c r="AE8" t="s">
        <v>181</v>
      </c>
      <c r="AI8">
        <f t="shared" si="0"/>
        <v>0</v>
      </c>
      <c r="AJ8" t="str">
        <f t="shared" si="1"/>
        <v>Nada</v>
      </c>
    </row>
    <row r="9" spans="1:36">
      <c r="A9">
        <v>5364</v>
      </c>
      <c r="B9" t="s">
        <v>2330</v>
      </c>
      <c r="C9">
        <v>5697</v>
      </c>
      <c r="D9" t="s">
        <v>2203</v>
      </c>
      <c r="E9" t="s">
        <v>176</v>
      </c>
      <c r="F9">
        <v>202106</v>
      </c>
      <c r="G9" t="s">
        <v>193</v>
      </c>
      <c r="H9">
        <v>0</v>
      </c>
      <c r="J9" t="s">
        <v>190</v>
      </c>
      <c r="K9" s="631">
        <f>MAX(AJ:AJ)</f>
        <v>1</v>
      </c>
      <c r="O9">
        <v>5364</v>
      </c>
      <c r="P9" t="s">
        <v>2330</v>
      </c>
      <c r="Q9">
        <v>5697</v>
      </c>
      <c r="R9" t="s">
        <v>2203</v>
      </c>
      <c r="S9" t="s">
        <v>2038</v>
      </c>
      <c r="T9">
        <v>202109</v>
      </c>
      <c r="U9" t="s">
        <v>191</v>
      </c>
      <c r="V9">
        <v>5800381</v>
      </c>
      <c r="AB9">
        <v>5697</v>
      </c>
      <c r="AC9" t="s">
        <v>2203</v>
      </c>
      <c r="AD9" t="s">
        <v>2038</v>
      </c>
      <c r="AE9" t="s">
        <v>183</v>
      </c>
    </row>
    <row r="10" spans="1:36">
      <c r="A10">
        <v>5364</v>
      </c>
      <c r="B10" t="s">
        <v>2330</v>
      </c>
      <c r="C10">
        <v>5697</v>
      </c>
      <c r="D10" t="s">
        <v>2203</v>
      </c>
      <c r="E10" t="s">
        <v>176</v>
      </c>
      <c r="F10">
        <v>202106</v>
      </c>
      <c r="G10" t="s">
        <v>2172</v>
      </c>
      <c r="H10">
        <v>29359.89</v>
      </c>
      <c r="O10">
        <v>5364</v>
      </c>
      <c r="P10" t="s">
        <v>2330</v>
      </c>
      <c r="Q10">
        <v>5697</v>
      </c>
      <c r="R10" t="s">
        <v>2203</v>
      </c>
      <c r="S10" t="s">
        <v>2038</v>
      </c>
      <c r="T10">
        <v>202109</v>
      </c>
      <c r="U10" t="s">
        <v>192</v>
      </c>
      <c r="V10">
        <v>398885</v>
      </c>
      <c r="AB10">
        <v>5697</v>
      </c>
      <c r="AC10" t="s">
        <v>2203</v>
      </c>
      <c r="AD10" t="s">
        <v>2038</v>
      </c>
      <c r="AE10" t="s">
        <v>185</v>
      </c>
    </row>
    <row r="11" spans="1:36">
      <c r="A11">
        <v>5364</v>
      </c>
      <c r="B11" t="s">
        <v>2330</v>
      </c>
      <c r="C11">
        <v>5697</v>
      </c>
      <c r="D11" t="s">
        <v>2203</v>
      </c>
      <c r="E11" t="s">
        <v>176</v>
      </c>
      <c r="F11">
        <v>202106</v>
      </c>
      <c r="G11" t="s">
        <v>187</v>
      </c>
      <c r="H11">
        <v>0</v>
      </c>
      <c r="J11" s="780">
        <f>VALUE(A2)</f>
        <v>5364</v>
      </c>
      <c r="O11">
        <v>5364</v>
      </c>
      <c r="P11" t="s">
        <v>2330</v>
      </c>
      <c r="Q11">
        <v>5697</v>
      </c>
      <c r="R11" t="s">
        <v>2203</v>
      </c>
      <c r="S11" t="s">
        <v>2038</v>
      </c>
      <c r="T11">
        <v>202109</v>
      </c>
      <c r="U11" t="s">
        <v>179</v>
      </c>
      <c r="V11">
        <v>16209.2</v>
      </c>
      <c r="AB11">
        <v>5697</v>
      </c>
      <c r="AC11" t="s">
        <v>2203</v>
      </c>
      <c r="AD11" t="s">
        <v>2038</v>
      </c>
      <c r="AE11" t="s">
        <v>187</v>
      </c>
    </row>
    <row r="12" spans="1:36">
      <c r="A12">
        <v>5364</v>
      </c>
      <c r="B12" t="s">
        <v>2330</v>
      </c>
      <c r="C12">
        <v>5697</v>
      </c>
      <c r="D12" t="s">
        <v>2203</v>
      </c>
      <c r="E12" t="s">
        <v>176</v>
      </c>
      <c r="F12">
        <v>202106</v>
      </c>
      <c r="G12" t="s">
        <v>2171</v>
      </c>
      <c r="H12">
        <v>121.52</v>
      </c>
      <c r="K12" s="8"/>
      <c r="O12">
        <v>5364</v>
      </c>
      <c r="P12" t="s">
        <v>2330</v>
      </c>
      <c r="Q12">
        <v>5697</v>
      </c>
      <c r="R12" t="s">
        <v>2203</v>
      </c>
      <c r="S12" t="s">
        <v>2038</v>
      </c>
      <c r="T12">
        <v>202109</v>
      </c>
      <c r="U12" t="s">
        <v>181</v>
      </c>
      <c r="V12">
        <v>9243.6299999999992</v>
      </c>
    </row>
    <row r="13" spans="1:36">
      <c r="A13">
        <v>5364</v>
      </c>
      <c r="B13" t="s">
        <v>2330</v>
      </c>
      <c r="C13">
        <v>5697</v>
      </c>
      <c r="D13" t="s">
        <v>2203</v>
      </c>
      <c r="E13" t="s">
        <v>176</v>
      </c>
      <c r="F13">
        <v>202106</v>
      </c>
      <c r="G13" t="s">
        <v>2168</v>
      </c>
      <c r="H13">
        <v>8.92</v>
      </c>
      <c r="O13">
        <v>5364</v>
      </c>
      <c r="P13" t="s">
        <v>2330</v>
      </c>
      <c r="Q13">
        <v>5697</v>
      </c>
      <c r="R13" t="s">
        <v>2203</v>
      </c>
      <c r="S13" t="s">
        <v>2038</v>
      </c>
      <c r="T13">
        <v>202109</v>
      </c>
      <c r="U13" t="s">
        <v>183</v>
      </c>
      <c r="V13">
        <v>6007115</v>
      </c>
    </row>
    <row r="14" spans="1:36">
      <c r="A14">
        <v>5364</v>
      </c>
      <c r="B14" t="s">
        <v>2330</v>
      </c>
      <c r="C14">
        <v>5697</v>
      </c>
      <c r="D14" t="s">
        <v>2203</v>
      </c>
      <c r="E14" t="s">
        <v>176</v>
      </c>
      <c r="F14">
        <v>202106</v>
      </c>
      <c r="G14" t="s">
        <v>2169</v>
      </c>
      <c r="H14">
        <v>12.98</v>
      </c>
      <c r="O14">
        <v>5364</v>
      </c>
      <c r="P14" t="s">
        <v>2330</v>
      </c>
      <c r="Q14">
        <v>5697</v>
      </c>
      <c r="R14" t="s">
        <v>2203</v>
      </c>
      <c r="S14" t="s">
        <v>2038</v>
      </c>
      <c r="T14">
        <v>202109</v>
      </c>
      <c r="U14" t="s">
        <v>185</v>
      </c>
      <c r="V14">
        <v>398885</v>
      </c>
    </row>
    <row r="15" spans="1:36">
      <c r="A15">
        <v>5364</v>
      </c>
      <c r="B15" t="s">
        <v>2330</v>
      </c>
      <c r="C15">
        <v>5697</v>
      </c>
      <c r="D15" t="s">
        <v>2203</v>
      </c>
      <c r="E15" t="s">
        <v>176</v>
      </c>
      <c r="F15">
        <v>202106</v>
      </c>
      <c r="G15" t="s">
        <v>2170</v>
      </c>
      <c r="H15">
        <v>5.76</v>
      </c>
      <c r="O15">
        <v>5364</v>
      </c>
      <c r="P15" t="s">
        <v>2330</v>
      </c>
      <c r="Q15">
        <v>5697</v>
      </c>
      <c r="R15" t="s">
        <v>2203</v>
      </c>
      <c r="S15" t="s">
        <v>2038</v>
      </c>
      <c r="T15">
        <v>202109</v>
      </c>
      <c r="U15" t="s">
        <v>187</v>
      </c>
      <c r="V15">
        <v>206734</v>
      </c>
    </row>
    <row r="16" spans="1:36">
      <c r="A16">
        <v>5364</v>
      </c>
      <c r="B16" t="s">
        <v>2330</v>
      </c>
      <c r="C16">
        <v>5697</v>
      </c>
      <c r="D16" t="s">
        <v>2203</v>
      </c>
      <c r="E16" t="s">
        <v>176</v>
      </c>
      <c r="F16">
        <v>202106</v>
      </c>
      <c r="G16" t="s">
        <v>2173</v>
      </c>
      <c r="H16">
        <v>903380.1</v>
      </c>
      <c r="O16">
        <v>5364</v>
      </c>
      <c r="P16" t="s">
        <v>2330</v>
      </c>
      <c r="Q16">
        <v>5697</v>
      </c>
      <c r="R16" t="s">
        <v>2203</v>
      </c>
      <c r="S16" t="s">
        <v>176</v>
      </c>
      <c r="T16">
        <v>202110</v>
      </c>
      <c r="U16" t="s">
        <v>191</v>
      </c>
      <c r="V16">
        <v>6013606</v>
      </c>
    </row>
    <row r="17" spans="1:22">
      <c r="A17">
        <v>5364</v>
      </c>
      <c r="B17" t="s">
        <v>2330</v>
      </c>
      <c r="C17">
        <v>5697</v>
      </c>
      <c r="D17" t="s">
        <v>2203</v>
      </c>
      <c r="E17" t="s">
        <v>2038</v>
      </c>
      <c r="F17">
        <v>202106</v>
      </c>
      <c r="G17" t="s">
        <v>191</v>
      </c>
      <c r="H17">
        <v>5801882</v>
      </c>
      <c r="O17">
        <v>5364</v>
      </c>
      <c r="P17" t="s">
        <v>2330</v>
      </c>
      <c r="Q17">
        <v>5697</v>
      </c>
      <c r="R17" t="s">
        <v>2203</v>
      </c>
      <c r="S17" t="s">
        <v>176</v>
      </c>
      <c r="T17">
        <v>202110</v>
      </c>
      <c r="U17" t="s">
        <v>192</v>
      </c>
      <c r="V17">
        <v>384169</v>
      </c>
    </row>
    <row r="18" spans="1:22">
      <c r="A18">
        <v>5364</v>
      </c>
      <c r="B18" t="s">
        <v>2330</v>
      </c>
      <c r="C18">
        <v>5697</v>
      </c>
      <c r="D18" t="s">
        <v>2203</v>
      </c>
      <c r="E18" t="s">
        <v>2038</v>
      </c>
      <c r="F18">
        <v>202106</v>
      </c>
      <c r="G18" t="s">
        <v>192</v>
      </c>
      <c r="H18">
        <v>417930</v>
      </c>
      <c r="O18">
        <v>5364</v>
      </c>
      <c r="P18" t="s">
        <v>2330</v>
      </c>
      <c r="Q18">
        <v>5697</v>
      </c>
      <c r="R18" t="s">
        <v>2203</v>
      </c>
      <c r="S18" t="s">
        <v>176</v>
      </c>
      <c r="T18">
        <v>202110</v>
      </c>
      <c r="U18" t="s">
        <v>179</v>
      </c>
      <c r="V18">
        <v>13570.2</v>
      </c>
    </row>
    <row r="19" spans="1:22">
      <c r="A19">
        <v>5364</v>
      </c>
      <c r="B19" t="s">
        <v>2330</v>
      </c>
      <c r="C19">
        <v>5697</v>
      </c>
      <c r="D19" t="s">
        <v>2203</v>
      </c>
      <c r="E19" t="s">
        <v>2038</v>
      </c>
      <c r="F19">
        <v>202106</v>
      </c>
      <c r="G19" t="s">
        <v>177</v>
      </c>
      <c r="H19">
        <v>0</v>
      </c>
      <c r="O19">
        <v>5364</v>
      </c>
      <c r="P19" t="s">
        <v>2330</v>
      </c>
      <c r="Q19">
        <v>5697</v>
      </c>
      <c r="R19" t="s">
        <v>2203</v>
      </c>
      <c r="S19" t="s">
        <v>176</v>
      </c>
      <c r="T19">
        <v>202110</v>
      </c>
      <c r="U19" t="s">
        <v>181</v>
      </c>
      <c r="V19">
        <v>8252.4</v>
      </c>
    </row>
    <row r="20" spans="1:22">
      <c r="A20">
        <v>5364</v>
      </c>
      <c r="B20" t="s">
        <v>2330</v>
      </c>
      <c r="C20">
        <v>5697</v>
      </c>
      <c r="D20" t="s">
        <v>2203</v>
      </c>
      <c r="E20" t="s">
        <v>2038</v>
      </c>
      <c r="F20">
        <v>202106</v>
      </c>
      <c r="G20" t="s">
        <v>179</v>
      </c>
      <c r="H20">
        <v>16064.67</v>
      </c>
      <c r="O20">
        <v>5364</v>
      </c>
      <c r="P20" t="s">
        <v>2330</v>
      </c>
      <c r="Q20">
        <v>5697</v>
      </c>
      <c r="R20" t="s">
        <v>2203</v>
      </c>
      <c r="S20" t="s">
        <v>176</v>
      </c>
      <c r="T20">
        <v>202110</v>
      </c>
      <c r="U20" t="s">
        <v>183</v>
      </c>
      <c r="V20">
        <v>6013606</v>
      </c>
    </row>
    <row r="21" spans="1:22">
      <c r="A21">
        <v>5364</v>
      </c>
      <c r="B21" t="s">
        <v>2330</v>
      </c>
      <c r="C21">
        <v>5697</v>
      </c>
      <c r="D21" t="s">
        <v>2203</v>
      </c>
      <c r="E21" t="s">
        <v>2038</v>
      </c>
      <c r="F21">
        <v>202106</v>
      </c>
      <c r="G21" t="s">
        <v>181</v>
      </c>
      <c r="H21">
        <v>9115.9500000000007</v>
      </c>
      <c r="O21">
        <v>5364</v>
      </c>
      <c r="P21" t="s">
        <v>2330</v>
      </c>
      <c r="Q21">
        <v>5697</v>
      </c>
      <c r="R21" t="s">
        <v>2203</v>
      </c>
      <c r="S21" t="s">
        <v>176</v>
      </c>
      <c r="T21">
        <v>202110</v>
      </c>
      <c r="U21" t="s">
        <v>185</v>
      </c>
      <c r="V21">
        <v>384169</v>
      </c>
    </row>
    <row r="22" spans="1:22">
      <c r="A22">
        <v>5364</v>
      </c>
      <c r="B22" t="s">
        <v>2330</v>
      </c>
      <c r="C22">
        <v>5697</v>
      </c>
      <c r="D22" t="s">
        <v>2203</v>
      </c>
      <c r="E22" t="s">
        <v>2038</v>
      </c>
      <c r="F22">
        <v>202106</v>
      </c>
      <c r="G22" t="s">
        <v>183</v>
      </c>
      <c r="H22">
        <v>5995125</v>
      </c>
      <c r="O22">
        <v>5364</v>
      </c>
      <c r="P22" t="s">
        <v>2330</v>
      </c>
      <c r="Q22">
        <v>5697</v>
      </c>
      <c r="R22" t="s">
        <v>2203</v>
      </c>
      <c r="S22" t="s">
        <v>176</v>
      </c>
      <c r="T22">
        <v>202110</v>
      </c>
      <c r="U22" t="s">
        <v>187</v>
      </c>
      <c r="V22">
        <v>0</v>
      </c>
    </row>
    <row r="23" spans="1:22">
      <c r="A23">
        <v>5364</v>
      </c>
      <c r="B23" t="s">
        <v>2330</v>
      </c>
      <c r="C23">
        <v>5697</v>
      </c>
      <c r="D23" t="s">
        <v>2203</v>
      </c>
      <c r="E23" t="s">
        <v>2038</v>
      </c>
      <c r="F23">
        <v>202106</v>
      </c>
      <c r="G23" t="s">
        <v>185</v>
      </c>
      <c r="H23">
        <v>417930</v>
      </c>
      <c r="O23">
        <v>5364</v>
      </c>
      <c r="P23" t="s">
        <v>2330</v>
      </c>
      <c r="Q23">
        <v>5697</v>
      </c>
      <c r="R23" t="s">
        <v>2203</v>
      </c>
      <c r="S23" t="s">
        <v>2038</v>
      </c>
      <c r="T23">
        <v>202110</v>
      </c>
      <c r="U23" t="s">
        <v>191</v>
      </c>
      <c r="V23">
        <v>5825010</v>
      </c>
    </row>
    <row r="24" spans="1:22">
      <c r="A24">
        <v>5364</v>
      </c>
      <c r="B24" t="s">
        <v>2330</v>
      </c>
      <c r="C24">
        <v>5697</v>
      </c>
      <c r="D24" t="s">
        <v>2203</v>
      </c>
      <c r="E24" t="s">
        <v>2038</v>
      </c>
      <c r="F24">
        <v>202106</v>
      </c>
      <c r="G24" t="s">
        <v>193</v>
      </c>
      <c r="H24">
        <v>0</v>
      </c>
      <c r="O24">
        <v>5364</v>
      </c>
      <c r="P24" t="s">
        <v>2330</v>
      </c>
      <c r="Q24">
        <v>5697</v>
      </c>
      <c r="R24" t="s">
        <v>2203</v>
      </c>
      <c r="S24" t="s">
        <v>2038</v>
      </c>
      <c r="T24">
        <v>202110</v>
      </c>
      <c r="U24" t="s">
        <v>192</v>
      </c>
      <c r="V24">
        <v>382616</v>
      </c>
    </row>
    <row r="25" spans="1:22">
      <c r="A25">
        <v>5364</v>
      </c>
      <c r="B25" t="s">
        <v>2330</v>
      </c>
      <c r="C25">
        <v>5697</v>
      </c>
      <c r="D25" t="s">
        <v>2203</v>
      </c>
      <c r="E25" t="s">
        <v>2038</v>
      </c>
      <c r="F25">
        <v>202106</v>
      </c>
      <c r="G25" t="s">
        <v>2172</v>
      </c>
      <c r="H25">
        <v>41565.269999999997</v>
      </c>
      <c r="O25">
        <v>5364</v>
      </c>
      <c r="P25" t="s">
        <v>2330</v>
      </c>
      <c r="Q25">
        <v>5697</v>
      </c>
      <c r="R25" t="s">
        <v>2203</v>
      </c>
      <c r="S25" t="s">
        <v>2038</v>
      </c>
      <c r="T25">
        <v>202110</v>
      </c>
      <c r="U25" t="s">
        <v>179</v>
      </c>
      <c r="V25">
        <v>16787.400000000001</v>
      </c>
    </row>
    <row r="26" spans="1:22">
      <c r="A26">
        <v>5364</v>
      </c>
      <c r="B26" t="s">
        <v>2330</v>
      </c>
      <c r="C26">
        <v>5697</v>
      </c>
      <c r="D26" t="s">
        <v>2203</v>
      </c>
      <c r="E26" t="s">
        <v>2038</v>
      </c>
      <c r="F26">
        <v>202106</v>
      </c>
      <c r="G26" t="s">
        <v>187</v>
      </c>
      <c r="H26">
        <v>193243</v>
      </c>
      <c r="O26">
        <v>5364</v>
      </c>
      <c r="P26" t="s">
        <v>2330</v>
      </c>
      <c r="Q26">
        <v>5697</v>
      </c>
      <c r="R26" t="s">
        <v>2203</v>
      </c>
      <c r="S26" t="s">
        <v>2038</v>
      </c>
      <c r="T26">
        <v>202110</v>
      </c>
      <c r="U26" t="s">
        <v>181</v>
      </c>
      <c r="V26">
        <v>9334.56</v>
      </c>
    </row>
    <row r="27" spans="1:22">
      <c r="A27">
        <v>5364</v>
      </c>
      <c r="B27" t="s">
        <v>2330</v>
      </c>
      <c r="C27">
        <v>5697</v>
      </c>
      <c r="D27" t="s">
        <v>2203</v>
      </c>
      <c r="E27" t="s">
        <v>2038</v>
      </c>
      <c r="F27">
        <v>202106</v>
      </c>
      <c r="G27" t="s">
        <v>2171</v>
      </c>
      <c r="H27">
        <v>121.52</v>
      </c>
      <c r="O27">
        <v>5364</v>
      </c>
      <c r="P27" t="s">
        <v>2330</v>
      </c>
      <c r="Q27">
        <v>5697</v>
      </c>
      <c r="R27" t="s">
        <v>2203</v>
      </c>
      <c r="S27" t="s">
        <v>2038</v>
      </c>
      <c r="T27">
        <v>202110</v>
      </c>
      <c r="U27" t="s">
        <v>183</v>
      </c>
      <c r="V27">
        <v>6045133</v>
      </c>
    </row>
    <row r="28" spans="1:22">
      <c r="A28">
        <v>5364</v>
      </c>
      <c r="B28" t="s">
        <v>2330</v>
      </c>
      <c r="C28">
        <v>5697</v>
      </c>
      <c r="D28" t="s">
        <v>2203</v>
      </c>
      <c r="E28" t="s">
        <v>2038</v>
      </c>
      <c r="F28">
        <v>202106</v>
      </c>
      <c r="G28" t="s">
        <v>2168</v>
      </c>
      <c r="H28">
        <v>12.33</v>
      </c>
      <c r="O28">
        <v>5364</v>
      </c>
      <c r="P28" t="s">
        <v>2330</v>
      </c>
      <c r="Q28">
        <v>5697</v>
      </c>
      <c r="R28" t="s">
        <v>2203</v>
      </c>
      <c r="S28" t="s">
        <v>2038</v>
      </c>
      <c r="T28">
        <v>202110</v>
      </c>
      <c r="U28" t="s">
        <v>185</v>
      </c>
      <c r="V28">
        <v>382616</v>
      </c>
    </row>
    <row r="29" spans="1:22">
      <c r="A29">
        <v>5364</v>
      </c>
      <c r="B29" t="s">
        <v>2330</v>
      </c>
      <c r="C29">
        <v>5697</v>
      </c>
      <c r="D29" t="s">
        <v>2203</v>
      </c>
      <c r="E29" t="s">
        <v>2038</v>
      </c>
      <c r="F29">
        <v>202106</v>
      </c>
      <c r="G29" t="s">
        <v>2169</v>
      </c>
      <c r="H29">
        <v>23.94</v>
      </c>
      <c r="O29">
        <v>5364</v>
      </c>
      <c r="P29" t="s">
        <v>2330</v>
      </c>
      <c r="Q29">
        <v>5697</v>
      </c>
      <c r="R29" t="s">
        <v>2203</v>
      </c>
      <c r="S29" t="s">
        <v>2038</v>
      </c>
      <c r="T29">
        <v>202110</v>
      </c>
      <c r="U29" t="s">
        <v>187</v>
      </c>
      <c r="V29">
        <v>220123</v>
      </c>
    </row>
    <row r="30" spans="1:22">
      <c r="A30">
        <v>5364</v>
      </c>
      <c r="B30" t="s">
        <v>2330</v>
      </c>
      <c r="C30">
        <v>5697</v>
      </c>
      <c r="D30" t="s">
        <v>2203</v>
      </c>
      <c r="E30" t="s">
        <v>2038</v>
      </c>
      <c r="F30">
        <v>202106</v>
      </c>
      <c r="G30" t="s">
        <v>2170</v>
      </c>
      <c r="H30">
        <v>10.17</v>
      </c>
      <c r="O30">
        <v>5364</v>
      </c>
      <c r="P30" t="s">
        <v>2330</v>
      </c>
      <c r="Q30">
        <v>5697</v>
      </c>
      <c r="R30" t="s">
        <v>2203</v>
      </c>
      <c r="S30" t="s">
        <v>176</v>
      </c>
      <c r="T30">
        <v>202111</v>
      </c>
      <c r="U30" t="s">
        <v>191</v>
      </c>
      <c r="V30">
        <v>5849125</v>
      </c>
    </row>
    <row r="31" spans="1:22">
      <c r="A31">
        <v>5364</v>
      </c>
      <c r="B31" t="s">
        <v>2330</v>
      </c>
      <c r="C31">
        <v>5697</v>
      </c>
      <c r="D31" t="s">
        <v>2203</v>
      </c>
      <c r="E31" t="s">
        <v>2038</v>
      </c>
      <c r="F31">
        <v>202106</v>
      </c>
      <c r="G31" t="s">
        <v>2173</v>
      </c>
      <c r="H31">
        <v>1278931</v>
      </c>
      <c r="O31">
        <v>5364</v>
      </c>
      <c r="P31" t="s">
        <v>2330</v>
      </c>
      <c r="Q31">
        <v>5697</v>
      </c>
      <c r="R31" t="s">
        <v>2203</v>
      </c>
      <c r="S31" t="s">
        <v>176</v>
      </c>
      <c r="T31">
        <v>202111</v>
      </c>
      <c r="U31" t="s">
        <v>192</v>
      </c>
      <c r="V31">
        <v>375324</v>
      </c>
    </row>
    <row r="32" spans="1:22">
      <c r="A32">
        <v>5364</v>
      </c>
      <c r="B32" t="s">
        <v>2330</v>
      </c>
      <c r="C32">
        <v>5697</v>
      </c>
      <c r="D32" t="s">
        <v>2203</v>
      </c>
      <c r="E32" t="s">
        <v>176</v>
      </c>
      <c r="F32">
        <v>202107</v>
      </c>
      <c r="G32" t="s">
        <v>191</v>
      </c>
      <c r="H32">
        <v>5540010</v>
      </c>
      <c r="O32">
        <v>5364</v>
      </c>
      <c r="P32" t="s">
        <v>2330</v>
      </c>
      <c r="Q32">
        <v>5697</v>
      </c>
      <c r="R32" t="s">
        <v>2203</v>
      </c>
      <c r="S32" t="s">
        <v>176</v>
      </c>
      <c r="T32">
        <v>202111</v>
      </c>
      <c r="U32" t="s">
        <v>179</v>
      </c>
      <c r="V32">
        <v>13805.4</v>
      </c>
    </row>
    <row r="33" spans="1:22">
      <c r="A33">
        <v>5364</v>
      </c>
      <c r="B33" t="s">
        <v>2330</v>
      </c>
      <c r="C33">
        <v>5697</v>
      </c>
      <c r="D33" t="s">
        <v>2203</v>
      </c>
      <c r="E33" t="s">
        <v>176</v>
      </c>
      <c r="F33">
        <v>202107</v>
      </c>
      <c r="G33" t="s">
        <v>192</v>
      </c>
      <c r="H33">
        <v>385963</v>
      </c>
      <c r="O33">
        <v>5364</v>
      </c>
      <c r="P33" t="s">
        <v>2330</v>
      </c>
      <c r="Q33">
        <v>5697</v>
      </c>
      <c r="R33" t="s">
        <v>2203</v>
      </c>
      <c r="S33" t="s">
        <v>176</v>
      </c>
      <c r="T33">
        <v>202111</v>
      </c>
      <c r="U33" t="s">
        <v>181</v>
      </c>
      <c r="V33">
        <v>8336.4</v>
      </c>
    </row>
    <row r="34" spans="1:22">
      <c r="A34">
        <v>5364</v>
      </c>
      <c r="B34" t="s">
        <v>2330</v>
      </c>
      <c r="C34">
        <v>5697</v>
      </c>
      <c r="D34" t="s">
        <v>2203</v>
      </c>
      <c r="E34" t="s">
        <v>176</v>
      </c>
      <c r="F34">
        <v>202107</v>
      </c>
      <c r="G34" t="s">
        <v>177</v>
      </c>
      <c r="H34">
        <v>0</v>
      </c>
      <c r="O34">
        <v>5364</v>
      </c>
      <c r="P34" t="s">
        <v>2330</v>
      </c>
      <c r="Q34">
        <v>5697</v>
      </c>
      <c r="R34" t="s">
        <v>2203</v>
      </c>
      <c r="S34" t="s">
        <v>176</v>
      </c>
      <c r="T34">
        <v>202111</v>
      </c>
      <c r="U34" t="s">
        <v>183</v>
      </c>
      <c r="V34">
        <v>5849125</v>
      </c>
    </row>
    <row r="35" spans="1:22">
      <c r="A35">
        <v>5364</v>
      </c>
      <c r="B35" t="s">
        <v>2330</v>
      </c>
      <c r="C35">
        <v>5697</v>
      </c>
      <c r="D35" t="s">
        <v>2203</v>
      </c>
      <c r="E35" t="s">
        <v>176</v>
      </c>
      <c r="F35">
        <v>202107</v>
      </c>
      <c r="G35" t="s">
        <v>179</v>
      </c>
      <c r="H35">
        <v>12913.6</v>
      </c>
      <c r="O35">
        <v>5364</v>
      </c>
      <c r="P35" t="s">
        <v>2330</v>
      </c>
      <c r="Q35">
        <v>5697</v>
      </c>
      <c r="R35" t="s">
        <v>2203</v>
      </c>
      <c r="S35" t="s">
        <v>176</v>
      </c>
      <c r="T35">
        <v>202111</v>
      </c>
      <c r="U35" t="s">
        <v>185</v>
      </c>
      <c r="V35">
        <v>375324</v>
      </c>
    </row>
    <row r="36" spans="1:22">
      <c r="A36">
        <v>5364</v>
      </c>
      <c r="B36" t="s">
        <v>2330</v>
      </c>
      <c r="C36">
        <v>5697</v>
      </c>
      <c r="D36" t="s">
        <v>2203</v>
      </c>
      <c r="E36" t="s">
        <v>176</v>
      </c>
      <c r="F36">
        <v>202107</v>
      </c>
      <c r="G36" t="s">
        <v>181</v>
      </c>
      <c r="H36">
        <v>7996.4</v>
      </c>
      <c r="O36">
        <v>5364</v>
      </c>
      <c r="P36" t="s">
        <v>2330</v>
      </c>
      <c r="Q36">
        <v>5697</v>
      </c>
      <c r="R36" t="s">
        <v>2203</v>
      </c>
      <c r="S36" t="s">
        <v>176</v>
      </c>
      <c r="T36">
        <v>202111</v>
      </c>
      <c r="U36" t="s">
        <v>187</v>
      </c>
      <c r="V36">
        <v>0</v>
      </c>
    </row>
    <row r="37" spans="1:22">
      <c r="A37">
        <v>5364</v>
      </c>
      <c r="B37" t="s">
        <v>2330</v>
      </c>
      <c r="C37">
        <v>5697</v>
      </c>
      <c r="D37" t="s">
        <v>2203</v>
      </c>
      <c r="E37" t="s">
        <v>176</v>
      </c>
      <c r="F37">
        <v>202107</v>
      </c>
      <c r="G37" t="s">
        <v>183</v>
      </c>
      <c r="H37">
        <v>5540010</v>
      </c>
      <c r="O37">
        <v>5364</v>
      </c>
      <c r="P37" t="s">
        <v>2330</v>
      </c>
      <c r="Q37">
        <v>5697</v>
      </c>
      <c r="R37" t="s">
        <v>2203</v>
      </c>
      <c r="S37" t="s">
        <v>2038</v>
      </c>
      <c r="T37">
        <v>202111</v>
      </c>
      <c r="U37" t="s">
        <v>191</v>
      </c>
      <c r="V37">
        <v>5819815</v>
      </c>
    </row>
    <row r="38" spans="1:22">
      <c r="A38">
        <v>5364</v>
      </c>
      <c r="B38" t="s">
        <v>2330</v>
      </c>
      <c r="C38">
        <v>5697</v>
      </c>
      <c r="D38" t="s">
        <v>2203</v>
      </c>
      <c r="E38" t="s">
        <v>176</v>
      </c>
      <c r="F38">
        <v>202107</v>
      </c>
      <c r="G38" t="s">
        <v>185</v>
      </c>
      <c r="H38">
        <v>385963</v>
      </c>
      <c r="O38">
        <v>5364</v>
      </c>
      <c r="P38" t="s">
        <v>2330</v>
      </c>
      <c r="Q38">
        <v>5697</v>
      </c>
      <c r="R38" t="s">
        <v>2203</v>
      </c>
      <c r="S38" t="s">
        <v>2038</v>
      </c>
      <c r="T38">
        <v>202111</v>
      </c>
      <c r="U38" t="s">
        <v>192</v>
      </c>
      <c r="V38">
        <v>388357</v>
      </c>
    </row>
    <row r="39" spans="1:22">
      <c r="A39">
        <v>5364</v>
      </c>
      <c r="B39" t="s">
        <v>2330</v>
      </c>
      <c r="C39">
        <v>5697</v>
      </c>
      <c r="D39" t="s">
        <v>2203</v>
      </c>
      <c r="E39" t="s">
        <v>176</v>
      </c>
      <c r="F39">
        <v>202107</v>
      </c>
      <c r="G39" t="s">
        <v>193</v>
      </c>
      <c r="H39">
        <v>0</v>
      </c>
      <c r="O39">
        <v>5364</v>
      </c>
      <c r="P39" t="s">
        <v>2330</v>
      </c>
      <c r="Q39">
        <v>5697</v>
      </c>
      <c r="R39" t="s">
        <v>2203</v>
      </c>
      <c r="S39" t="s">
        <v>2038</v>
      </c>
      <c r="T39">
        <v>202111</v>
      </c>
      <c r="U39" t="s">
        <v>179</v>
      </c>
      <c r="V39">
        <v>17235.939999999999</v>
      </c>
    </row>
    <row r="40" spans="1:22">
      <c r="A40">
        <v>5364</v>
      </c>
      <c r="B40" t="s">
        <v>2330</v>
      </c>
      <c r="C40">
        <v>5697</v>
      </c>
      <c r="D40" t="s">
        <v>2203</v>
      </c>
      <c r="E40" t="s">
        <v>176</v>
      </c>
      <c r="F40">
        <v>202107</v>
      </c>
      <c r="G40" t="s">
        <v>2172</v>
      </c>
      <c r="H40">
        <v>1755</v>
      </c>
      <c r="O40">
        <v>5364</v>
      </c>
      <c r="P40" t="s">
        <v>2330</v>
      </c>
      <c r="Q40">
        <v>5697</v>
      </c>
      <c r="R40" t="s">
        <v>2203</v>
      </c>
      <c r="S40" t="s">
        <v>2038</v>
      </c>
      <c r="T40">
        <v>202111</v>
      </c>
      <c r="U40" t="s">
        <v>181</v>
      </c>
      <c r="V40">
        <v>9437.02</v>
      </c>
    </row>
    <row r="41" spans="1:22">
      <c r="A41">
        <v>5364</v>
      </c>
      <c r="B41" t="s">
        <v>2330</v>
      </c>
      <c r="C41">
        <v>5697</v>
      </c>
      <c r="D41" t="s">
        <v>2203</v>
      </c>
      <c r="E41" t="s">
        <v>176</v>
      </c>
      <c r="F41">
        <v>202107</v>
      </c>
      <c r="G41" t="s">
        <v>187</v>
      </c>
      <c r="H41">
        <v>0</v>
      </c>
      <c r="O41">
        <v>5364</v>
      </c>
      <c r="P41" t="s">
        <v>2330</v>
      </c>
      <c r="Q41">
        <v>5697</v>
      </c>
      <c r="R41" t="s">
        <v>2203</v>
      </c>
      <c r="S41" t="s">
        <v>2038</v>
      </c>
      <c r="T41">
        <v>202111</v>
      </c>
      <c r="U41" t="s">
        <v>183</v>
      </c>
      <c r="V41">
        <v>6039581</v>
      </c>
    </row>
    <row r="42" spans="1:22">
      <c r="A42">
        <v>5364</v>
      </c>
      <c r="B42" t="s">
        <v>2330</v>
      </c>
      <c r="C42">
        <v>5697</v>
      </c>
      <c r="D42" t="s">
        <v>2203</v>
      </c>
      <c r="E42" t="s">
        <v>176</v>
      </c>
      <c r="F42">
        <v>202107</v>
      </c>
      <c r="G42" t="s">
        <v>2171</v>
      </c>
      <c r="H42">
        <v>121.52</v>
      </c>
      <c r="O42">
        <v>5364</v>
      </c>
      <c r="P42" t="s">
        <v>2330</v>
      </c>
      <c r="Q42">
        <v>5697</v>
      </c>
      <c r="R42" t="s">
        <v>2203</v>
      </c>
      <c r="S42" t="s">
        <v>2038</v>
      </c>
      <c r="T42">
        <v>202111</v>
      </c>
      <c r="U42" t="s">
        <v>185</v>
      </c>
      <c r="V42">
        <v>388357</v>
      </c>
    </row>
    <row r="43" spans="1:22">
      <c r="A43">
        <v>5364</v>
      </c>
      <c r="B43" t="s">
        <v>2330</v>
      </c>
      <c r="C43">
        <v>5697</v>
      </c>
      <c r="D43" t="s">
        <v>2203</v>
      </c>
      <c r="E43" t="s">
        <v>176</v>
      </c>
      <c r="F43">
        <v>202107</v>
      </c>
      <c r="G43" t="s">
        <v>2168</v>
      </c>
      <c r="H43">
        <v>8.92</v>
      </c>
      <c r="O43">
        <v>5364</v>
      </c>
      <c r="P43" t="s">
        <v>2330</v>
      </c>
      <c r="Q43">
        <v>5697</v>
      </c>
      <c r="R43" t="s">
        <v>2203</v>
      </c>
      <c r="S43" t="s">
        <v>2038</v>
      </c>
      <c r="T43">
        <v>202111</v>
      </c>
      <c r="U43" t="s">
        <v>187</v>
      </c>
      <c r="V43">
        <v>219766</v>
      </c>
    </row>
    <row r="44" spans="1:22">
      <c r="A44">
        <v>5364</v>
      </c>
      <c r="B44" t="s">
        <v>2330</v>
      </c>
      <c r="C44">
        <v>5697</v>
      </c>
      <c r="D44" t="s">
        <v>2203</v>
      </c>
      <c r="E44" t="s">
        <v>176</v>
      </c>
      <c r="F44">
        <v>202107</v>
      </c>
      <c r="G44" t="s">
        <v>2169</v>
      </c>
      <c r="H44">
        <v>12.98</v>
      </c>
      <c r="O44">
        <v>5364</v>
      </c>
      <c r="P44" t="s">
        <v>2330</v>
      </c>
      <c r="Q44">
        <v>5697</v>
      </c>
      <c r="R44" t="s">
        <v>2203</v>
      </c>
      <c r="S44" t="s">
        <v>176</v>
      </c>
      <c r="T44">
        <v>202112</v>
      </c>
      <c r="U44" t="s">
        <v>191</v>
      </c>
      <c r="V44">
        <v>5553445</v>
      </c>
    </row>
    <row r="45" spans="1:22">
      <c r="A45">
        <v>5364</v>
      </c>
      <c r="B45" t="s">
        <v>2330</v>
      </c>
      <c r="C45">
        <v>5697</v>
      </c>
      <c r="D45" t="s">
        <v>2203</v>
      </c>
      <c r="E45" t="s">
        <v>176</v>
      </c>
      <c r="F45">
        <v>202107</v>
      </c>
      <c r="G45" t="s">
        <v>2170</v>
      </c>
      <c r="H45">
        <v>5.76</v>
      </c>
      <c r="O45">
        <v>5364</v>
      </c>
      <c r="P45" t="s">
        <v>2330</v>
      </c>
      <c r="Q45">
        <v>5697</v>
      </c>
      <c r="R45" t="s">
        <v>2203</v>
      </c>
      <c r="S45" t="s">
        <v>176</v>
      </c>
      <c r="T45">
        <v>202112</v>
      </c>
      <c r="U45" t="s">
        <v>192</v>
      </c>
      <c r="V45">
        <v>375820</v>
      </c>
    </row>
    <row r="46" spans="1:22">
      <c r="A46">
        <v>5364</v>
      </c>
      <c r="B46" t="s">
        <v>2330</v>
      </c>
      <c r="C46">
        <v>5697</v>
      </c>
      <c r="D46" t="s">
        <v>2203</v>
      </c>
      <c r="E46" t="s">
        <v>176</v>
      </c>
      <c r="F46">
        <v>202107</v>
      </c>
      <c r="G46" t="s">
        <v>2173</v>
      </c>
      <c r="H46">
        <v>974995.42</v>
      </c>
      <c r="O46">
        <v>5364</v>
      </c>
      <c r="P46" t="s">
        <v>2330</v>
      </c>
      <c r="Q46">
        <v>5697</v>
      </c>
      <c r="R46" t="s">
        <v>2203</v>
      </c>
      <c r="S46" t="s">
        <v>176</v>
      </c>
      <c r="T46">
        <v>202112</v>
      </c>
      <c r="U46" t="s">
        <v>179</v>
      </c>
      <c r="V46">
        <v>13662.6</v>
      </c>
    </row>
    <row r="47" spans="1:22">
      <c r="A47">
        <v>5364</v>
      </c>
      <c r="B47" t="s">
        <v>2330</v>
      </c>
      <c r="C47">
        <v>5697</v>
      </c>
      <c r="D47" t="s">
        <v>2203</v>
      </c>
      <c r="E47" t="s">
        <v>2038</v>
      </c>
      <c r="F47">
        <v>202107</v>
      </c>
      <c r="G47" t="s">
        <v>191</v>
      </c>
      <c r="H47">
        <v>5828431</v>
      </c>
      <c r="O47">
        <v>5364</v>
      </c>
      <c r="P47" t="s">
        <v>2330</v>
      </c>
      <c r="Q47">
        <v>5697</v>
      </c>
      <c r="R47" t="s">
        <v>2203</v>
      </c>
      <c r="S47" t="s">
        <v>176</v>
      </c>
      <c r="T47">
        <v>202112</v>
      </c>
      <c r="U47" t="s">
        <v>181</v>
      </c>
      <c r="V47">
        <v>8122.2</v>
      </c>
    </row>
    <row r="48" spans="1:22">
      <c r="A48">
        <v>5364</v>
      </c>
      <c r="B48" t="s">
        <v>2330</v>
      </c>
      <c r="C48">
        <v>5697</v>
      </c>
      <c r="D48" t="s">
        <v>2203</v>
      </c>
      <c r="E48" t="s">
        <v>2038</v>
      </c>
      <c r="F48">
        <v>202107</v>
      </c>
      <c r="G48" t="s">
        <v>192</v>
      </c>
      <c r="H48">
        <v>439768</v>
      </c>
      <c r="O48">
        <v>5364</v>
      </c>
      <c r="P48" t="s">
        <v>2330</v>
      </c>
      <c r="Q48">
        <v>5697</v>
      </c>
      <c r="R48" t="s">
        <v>2203</v>
      </c>
      <c r="S48" t="s">
        <v>176</v>
      </c>
      <c r="T48">
        <v>202112</v>
      </c>
      <c r="U48" t="s">
        <v>183</v>
      </c>
      <c r="V48">
        <v>5553445</v>
      </c>
    </row>
    <row r="49" spans="1:22">
      <c r="A49">
        <v>5364</v>
      </c>
      <c r="B49" t="s">
        <v>2330</v>
      </c>
      <c r="C49">
        <v>5697</v>
      </c>
      <c r="D49" t="s">
        <v>2203</v>
      </c>
      <c r="E49" t="s">
        <v>2038</v>
      </c>
      <c r="F49">
        <v>202107</v>
      </c>
      <c r="G49" t="s">
        <v>177</v>
      </c>
      <c r="H49">
        <v>0</v>
      </c>
      <c r="O49">
        <v>5364</v>
      </c>
      <c r="P49" t="s">
        <v>2330</v>
      </c>
      <c r="Q49">
        <v>5697</v>
      </c>
      <c r="R49" t="s">
        <v>2203</v>
      </c>
      <c r="S49" t="s">
        <v>176</v>
      </c>
      <c r="T49">
        <v>202112</v>
      </c>
      <c r="U49" t="s">
        <v>185</v>
      </c>
      <c r="V49">
        <v>375820</v>
      </c>
    </row>
    <row r="50" spans="1:22">
      <c r="A50">
        <v>5364</v>
      </c>
      <c r="B50" t="s">
        <v>2330</v>
      </c>
      <c r="C50">
        <v>5697</v>
      </c>
      <c r="D50" t="s">
        <v>2203</v>
      </c>
      <c r="E50" t="s">
        <v>2038</v>
      </c>
      <c r="F50">
        <v>202107</v>
      </c>
      <c r="G50" t="s">
        <v>179</v>
      </c>
      <c r="H50">
        <v>16350.32</v>
      </c>
      <c r="O50">
        <v>5364</v>
      </c>
      <c r="P50" t="s">
        <v>2330</v>
      </c>
      <c r="Q50">
        <v>5697</v>
      </c>
      <c r="R50" t="s">
        <v>2203</v>
      </c>
      <c r="S50" t="s">
        <v>176</v>
      </c>
      <c r="T50">
        <v>202112</v>
      </c>
      <c r="U50" t="s">
        <v>187</v>
      </c>
      <c r="V50">
        <v>0</v>
      </c>
    </row>
    <row r="51" spans="1:22">
      <c r="A51">
        <v>5364</v>
      </c>
      <c r="B51" t="s">
        <v>2330</v>
      </c>
      <c r="C51">
        <v>5697</v>
      </c>
      <c r="D51" t="s">
        <v>2203</v>
      </c>
      <c r="E51" t="s">
        <v>2038</v>
      </c>
      <c r="F51">
        <v>202107</v>
      </c>
      <c r="G51" t="s">
        <v>181</v>
      </c>
      <c r="H51">
        <v>9122.68</v>
      </c>
      <c r="O51">
        <v>5364</v>
      </c>
      <c r="P51" t="s">
        <v>2330</v>
      </c>
      <c r="Q51">
        <v>5697</v>
      </c>
      <c r="R51" t="s">
        <v>2203</v>
      </c>
      <c r="S51" t="s">
        <v>2038</v>
      </c>
      <c r="T51">
        <v>202112</v>
      </c>
      <c r="U51" t="s">
        <v>191</v>
      </c>
      <c r="V51">
        <v>5534299</v>
      </c>
    </row>
    <row r="52" spans="1:22">
      <c r="A52">
        <v>5364</v>
      </c>
      <c r="B52" t="s">
        <v>2330</v>
      </c>
      <c r="C52">
        <v>5697</v>
      </c>
      <c r="D52" t="s">
        <v>2203</v>
      </c>
      <c r="E52" t="s">
        <v>2038</v>
      </c>
      <c r="F52">
        <v>202107</v>
      </c>
      <c r="G52" t="s">
        <v>183</v>
      </c>
      <c r="H52">
        <v>6027117</v>
      </c>
      <c r="O52">
        <v>5364</v>
      </c>
      <c r="P52" t="s">
        <v>2330</v>
      </c>
      <c r="Q52">
        <v>5697</v>
      </c>
      <c r="R52" t="s">
        <v>2203</v>
      </c>
      <c r="S52" t="s">
        <v>2038</v>
      </c>
      <c r="T52">
        <v>202112</v>
      </c>
      <c r="U52" t="s">
        <v>192</v>
      </c>
      <c r="V52">
        <v>406526</v>
      </c>
    </row>
    <row r="53" spans="1:22">
      <c r="A53">
        <v>5364</v>
      </c>
      <c r="B53" t="s">
        <v>2330</v>
      </c>
      <c r="C53">
        <v>5697</v>
      </c>
      <c r="D53" t="s">
        <v>2203</v>
      </c>
      <c r="E53" t="s">
        <v>2038</v>
      </c>
      <c r="F53">
        <v>202107</v>
      </c>
      <c r="G53" t="s">
        <v>185</v>
      </c>
      <c r="H53">
        <v>439768</v>
      </c>
      <c r="O53">
        <v>5364</v>
      </c>
      <c r="P53" t="s">
        <v>2330</v>
      </c>
      <c r="Q53">
        <v>5697</v>
      </c>
      <c r="R53" t="s">
        <v>2203</v>
      </c>
      <c r="S53" t="s">
        <v>2038</v>
      </c>
      <c r="T53">
        <v>202112</v>
      </c>
      <c r="U53" t="s">
        <v>179</v>
      </c>
      <c r="V53">
        <v>17212.419999999998</v>
      </c>
    </row>
    <row r="54" spans="1:22">
      <c r="A54">
        <v>5364</v>
      </c>
      <c r="B54" t="s">
        <v>2330</v>
      </c>
      <c r="C54">
        <v>5697</v>
      </c>
      <c r="D54" t="s">
        <v>2203</v>
      </c>
      <c r="E54" t="s">
        <v>2038</v>
      </c>
      <c r="F54">
        <v>202107</v>
      </c>
      <c r="G54" t="s">
        <v>193</v>
      </c>
      <c r="H54">
        <v>0</v>
      </c>
      <c r="O54">
        <v>5364</v>
      </c>
      <c r="P54" t="s">
        <v>2330</v>
      </c>
      <c r="Q54">
        <v>5697</v>
      </c>
      <c r="R54" t="s">
        <v>2203</v>
      </c>
      <c r="S54" t="s">
        <v>2038</v>
      </c>
      <c r="T54">
        <v>202112</v>
      </c>
      <c r="U54" t="s">
        <v>181</v>
      </c>
      <c r="V54">
        <v>9384.9599999999991</v>
      </c>
    </row>
    <row r="55" spans="1:22">
      <c r="A55">
        <v>5364</v>
      </c>
      <c r="B55" t="s">
        <v>2330</v>
      </c>
      <c r="C55">
        <v>5697</v>
      </c>
      <c r="D55" t="s">
        <v>2203</v>
      </c>
      <c r="E55" t="s">
        <v>2038</v>
      </c>
      <c r="F55">
        <v>202107</v>
      </c>
      <c r="G55" t="s">
        <v>2172</v>
      </c>
      <c r="H55">
        <v>2249.5100000000002</v>
      </c>
      <c r="O55">
        <v>5364</v>
      </c>
      <c r="P55" t="s">
        <v>2330</v>
      </c>
      <c r="Q55">
        <v>5697</v>
      </c>
      <c r="R55" t="s">
        <v>2203</v>
      </c>
      <c r="S55" t="s">
        <v>2038</v>
      </c>
      <c r="T55">
        <v>202112</v>
      </c>
      <c r="U55" t="s">
        <v>183</v>
      </c>
      <c r="V55">
        <v>5734693</v>
      </c>
    </row>
    <row r="56" spans="1:22">
      <c r="A56">
        <v>5364</v>
      </c>
      <c r="B56" t="s">
        <v>2330</v>
      </c>
      <c r="C56">
        <v>5697</v>
      </c>
      <c r="D56" t="s">
        <v>2203</v>
      </c>
      <c r="E56" t="s">
        <v>2038</v>
      </c>
      <c r="F56">
        <v>202107</v>
      </c>
      <c r="G56" t="s">
        <v>187</v>
      </c>
      <c r="H56">
        <v>198686</v>
      </c>
      <c r="O56">
        <v>5364</v>
      </c>
      <c r="P56" t="s">
        <v>2330</v>
      </c>
      <c r="Q56">
        <v>5697</v>
      </c>
      <c r="R56" t="s">
        <v>2203</v>
      </c>
      <c r="S56" t="s">
        <v>2038</v>
      </c>
      <c r="T56">
        <v>202112</v>
      </c>
      <c r="U56" t="s">
        <v>185</v>
      </c>
      <c r="V56">
        <v>406526</v>
      </c>
    </row>
    <row r="57" spans="1:22">
      <c r="A57">
        <v>5364</v>
      </c>
      <c r="B57" t="s">
        <v>2330</v>
      </c>
      <c r="C57">
        <v>5697</v>
      </c>
      <c r="D57" t="s">
        <v>2203</v>
      </c>
      <c r="E57" t="s">
        <v>2038</v>
      </c>
      <c r="F57">
        <v>202107</v>
      </c>
      <c r="G57" t="s">
        <v>2171</v>
      </c>
      <c r="H57">
        <v>121.52</v>
      </c>
      <c r="O57">
        <v>5364</v>
      </c>
      <c r="P57" t="s">
        <v>2330</v>
      </c>
      <c r="Q57">
        <v>5697</v>
      </c>
      <c r="R57" t="s">
        <v>2203</v>
      </c>
      <c r="S57" t="s">
        <v>2038</v>
      </c>
      <c r="T57">
        <v>202112</v>
      </c>
      <c r="U57" t="s">
        <v>187</v>
      </c>
      <c r="V57">
        <v>200394</v>
      </c>
    </row>
    <row r="58" spans="1:22">
      <c r="A58">
        <v>5364</v>
      </c>
      <c r="B58" t="s">
        <v>2330</v>
      </c>
      <c r="C58">
        <v>5697</v>
      </c>
      <c r="D58" t="s">
        <v>2203</v>
      </c>
      <c r="E58" t="s">
        <v>2038</v>
      </c>
      <c r="F58">
        <v>202107</v>
      </c>
      <c r="G58" t="s">
        <v>2168</v>
      </c>
      <c r="H58">
        <v>12.33</v>
      </c>
      <c r="O58">
        <v>5364</v>
      </c>
      <c r="P58" t="s">
        <v>2330</v>
      </c>
      <c r="Q58">
        <v>5697</v>
      </c>
      <c r="R58" t="s">
        <v>2203</v>
      </c>
      <c r="S58" t="s">
        <v>176</v>
      </c>
      <c r="T58">
        <v>202201</v>
      </c>
      <c r="U58" t="s">
        <v>191</v>
      </c>
      <c r="V58">
        <v>6035206</v>
      </c>
    </row>
    <row r="59" spans="1:22">
      <c r="A59">
        <v>5364</v>
      </c>
      <c r="B59" t="s">
        <v>2330</v>
      </c>
      <c r="C59">
        <v>5697</v>
      </c>
      <c r="D59" t="s">
        <v>2203</v>
      </c>
      <c r="E59" t="s">
        <v>2038</v>
      </c>
      <c r="F59">
        <v>202107</v>
      </c>
      <c r="G59" t="s">
        <v>2169</v>
      </c>
      <c r="H59">
        <v>23.94</v>
      </c>
      <c r="O59">
        <v>5364</v>
      </c>
      <c r="P59" t="s">
        <v>2330</v>
      </c>
      <c r="Q59">
        <v>5697</v>
      </c>
      <c r="R59" t="s">
        <v>2203</v>
      </c>
      <c r="S59" t="s">
        <v>176</v>
      </c>
      <c r="T59">
        <v>202201</v>
      </c>
      <c r="U59" t="s">
        <v>192</v>
      </c>
      <c r="V59">
        <v>337356</v>
      </c>
    </row>
    <row r="60" spans="1:22">
      <c r="A60">
        <v>5364</v>
      </c>
      <c r="B60" t="s">
        <v>2330</v>
      </c>
      <c r="C60">
        <v>5697</v>
      </c>
      <c r="D60" t="s">
        <v>2203</v>
      </c>
      <c r="E60" t="s">
        <v>2038</v>
      </c>
      <c r="F60">
        <v>202107</v>
      </c>
      <c r="G60" t="s">
        <v>2170</v>
      </c>
      <c r="H60">
        <v>10.17</v>
      </c>
      <c r="O60">
        <v>5364</v>
      </c>
      <c r="P60" t="s">
        <v>2330</v>
      </c>
      <c r="Q60">
        <v>5697</v>
      </c>
      <c r="R60" t="s">
        <v>2203</v>
      </c>
      <c r="S60" t="s">
        <v>176</v>
      </c>
      <c r="T60">
        <v>202201</v>
      </c>
      <c r="U60" t="s">
        <v>179</v>
      </c>
      <c r="V60">
        <v>14498.4</v>
      </c>
    </row>
    <row r="61" spans="1:22">
      <c r="A61">
        <v>5364</v>
      </c>
      <c r="B61" t="s">
        <v>2330</v>
      </c>
      <c r="C61">
        <v>5697</v>
      </c>
      <c r="D61" t="s">
        <v>2203</v>
      </c>
      <c r="E61" t="s">
        <v>2038</v>
      </c>
      <c r="F61">
        <v>202107</v>
      </c>
      <c r="G61" t="s">
        <v>2173</v>
      </c>
      <c r="H61">
        <v>1249725.54</v>
      </c>
      <c r="O61">
        <v>5364</v>
      </c>
      <c r="P61" t="s">
        <v>2330</v>
      </c>
      <c r="Q61">
        <v>5697</v>
      </c>
      <c r="R61" t="s">
        <v>2203</v>
      </c>
      <c r="S61" t="s">
        <v>176</v>
      </c>
      <c r="T61">
        <v>202201</v>
      </c>
      <c r="U61" t="s">
        <v>181</v>
      </c>
      <c r="V61">
        <v>8109.6</v>
      </c>
    </row>
    <row r="62" spans="1:22">
      <c r="A62">
        <v>5364</v>
      </c>
      <c r="B62" t="s">
        <v>2330</v>
      </c>
      <c r="C62">
        <v>5697</v>
      </c>
      <c r="D62" t="s">
        <v>2203</v>
      </c>
      <c r="E62" t="s">
        <v>176</v>
      </c>
      <c r="F62">
        <v>202108</v>
      </c>
      <c r="G62" t="s">
        <v>191</v>
      </c>
      <c r="H62">
        <v>5802182</v>
      </c>
      <c r="O62">
        <v>5364</v>
      </c>
      <c r="P62" t="s">
        <v>2330</v>
      </c>
      <c r="Q62">
        <v>5697</v>
      </c>
      <c r="R62" t="s">
        <v>2203</v>
      </c>
      <c r="S62" t="s">
        <v>176</v>
      </c>
      <c r="T62">
        <v>202201</v>
      </c>
      <c r="U62" t="s">
        <v>183</v>
      </c>
      <c r="V62">
        <v>6035206</v>
      </c>
    </row>
    <row r="63" spans="1:22">
      <c r="A63">
        <v>5364</v>
      </c>
      <c r="B63" t="s">
        <v>2330</v>
      </c>
      <c r="C63">
        <v>5697</v>
      </c>
      <c r="D63" t="s">
        <v>2203</v>
      </c>
      <c r="E63" t="s">
        <v>176</v>
      </c>
      <c r="F63">
        <v>202108</v>
      </c>
      <c r="G63" t="s">
        <v>192</v>
      </c>
      <c r="H63">
        <v>416921</v>
      </c>
      <c r="O63">
        <v>5364</v>
      </c>
      <c r="P63" t="s">
        <v>2330</v>
      </c>
      <c r="Q63">
        <v>5697</v>
      </c>
      <c r="R63" t="s">
        <v>2203</v>
      </c>
      <c r="S63" t="s">
        <v>176</v>
      </c>
      <c r="T63">
        <v>202201</v>
      </c>
      <c r="U63" t="s">
        <v>185</v>
      </c>
      <c r="V63">
        <v>337356</v>
      </c>
    </row>
    <row r="64" spans="1:22">
      <c r="A64">
        <v>5364</v>
      </c>
      <c r="B64" t="s">
        <v>2330</v>
      </c>
      <c r="C64">
        <v>5697</v>
      </c>
      <c r="D64" t="s">
        <v>2203</v>
      </c>
      <c r="E64" t="s">
        <v>176</v>
      </c>
      <c r="F64">
        <v>202108</v>
      </c>
      <c r="G64" t="s">
        <v>177</v>
      </c>
      <c r="H64">
        <v>0</v>
      </c>
      <c r="O64">
        <v>5364</v>
      </c>
      <c r="P64" t="s">
        <v>2330</v>
      </c>
      <c r="Q64">
        <v>5697</v>
      </c>
      <c r="R64" t="s">
        <v>2203</v>
      </c>
      <c r="S64" t="s">
        <v>176</v>
      </c>
      <c r="T64">
        <v>202201</v>
      </c>
      <c r="U64" t="s">
        <v>187</v>
      </c>
      <c r="V64">
        <v>0</v>
      </c>
    </row>
    <row r="65" spans="1:22">
      <c r="A65">
        <v>5364</v>
      </c>
      <c r="B65" t="s">
        <v>2330</v>
      </c>
      <c r="C65">
        <v>5697</v>
      </c>
      <c r="D65" t="s">
        <v>2203</v>
      </c>
      <c r="E65" t="s">
        <v>176</v>
      </c>
      <c r="F65">
        <v>202108</v>
      </c>
      <c r="G65" t="s">
        <v>179</v>
      </c>
      <c r="H65">
        <v>13342</v>
      </c>
      <c r="O65">
        <v>5364</v>
      </c>
      <c r="P65" t="s">
        <v>2330</v>
      </c>
      <c r="Q65">
        <v>5697</v>
      </c>
      <c r="R65" t="s">
        <v>2203</v>
      </c>
      <c r="S65" t="s">
        <v>2038</v>
      </c>
      <c r="T65">
        <v>202201</v>
      </c>
      <c r="U65" t="s">
        <v>191</v>
      </c>
      <c r="V65">
        <v>6161326</v>
      </c>
    </row>
    <row r="66" spans="1:22">
      <c r="A66">
        <v>5364</v>
      </c>
      <c r="B66" t="s">
        <v>2330</v>
      </c>
      <c r="C66">
        <v>5697</v>
      </c>
      <c r="D66" t="s">
        <v>2203</v>
      </c>
      <c r="E66" t="s">
        <v>176</v>
      </c>
      <c r="F66">
        <v>202108</v>
      </c>
      <c r="G66" t="s">
        <v>181</v>
      </c>
      <c r="H66">
        <v>8013.2</v>
      </c>
      <c r="O66">
        <v>5364</v>
      </c>
      <c r="P66" t="s">
        <v>2330</v>
      </c>
      <c r="Q66">
        <v>5697</v>
      </c>
      <c r="R66" t="s">
        <v>2203</v>
      </c>
      <c r="S66" t="s">
        <v>2038</v>
      </c>
      <c r="T66">
        <v>202201</v>
      </c>
      <c r="U66" t="s">
        <v>192</v>
      </c>
      <c r="V66">
        <v>423437</v>
      </c>
    </row>
    <row r="67" spans="1:22">
      <c r="A67">
        <v>5364</v>
      </c>
      <c r="B67" t="s">
        <v>2330</v>
      </c>
      <c r="C67">
        <v>5697</v>
      </c>
      <c r="D67" t="s">
        <v>2203</v>
      </c>
      <c r="E67" t="s">
        <v>176</v>
      </c>
      <c r="F67">
        <v>202108</v>
      </c>
      <c r="G67" t="s">
        <v>183</v>
      </c>
      <c r="H67">
        <v>5802182</v>
      </c>
      <c r="O67">
        <v>5364</v>
      </c>
      <c r="P67" t="s">
        <v>2330</v>
      </c>
      <c r="Q67">
        <v>5697</v>
      </c>
      <c r="R67" t="s">
        <v>2203</v>
      </c>
      <c r="S67" t="s">
        <v>2038</v>
      </c>
      <c r="T67">
        <v>202201</v>
      </c>
      <c r="U67" t="s">
        <v>179</v>
      </c>
      <c r="V67">
        <v>17646.72</v>
      </c>
    </row>
    <row r="68" spans="1:22">
      <c r="A68">
        <v>5364</v>
      </c>
      <c r="B68" t="s">
        <v>2330</v>
      </c>
      <c r="C68">
        <v>5697</v>
      </c>
      <c r="D68" t="s">
        <v>2203</v>
      </c>
      <c r="E68" t="s">
        <v>176</v>
      </c>
      <c r="F68">
        <v>202108</v>
      </c>
      <c r="G68" t="s">
        <v>185</v>
      </c>
      <c r="H68">
        <v>416921</v>
      </c>
      <c r="O68">
        <v>5364</v>
      </c>
      <c r="P68" t="s">
        <v>2330</v>
      </c>
      <c r="Q68">
        <v>5697</v>
      </c>
      <c r="R68" t="s">
        <v>2203</v>
      </c>
      <c r="S68" t="s">
        <v>2038</v>
      </c>
      <c r="T68">
        <v>202201</v>
      </c>
      <c r="U68" t="s">
        <v>181</v>
      </c>
      <c r="V68">
        <v>9658.7800000000007</v>
      </c>
    </row>
    <row r="69" spans="1:22">
      <c r="A69">
        <v>5364</v>
      </c>
      <c r="B69" t="s">
        <v>2330</v>
      </c>
      <c r="C69">
        <v>5697</v>
      </c>
      <c r="D69" t="s">
        <v>2203</v>
      </c>
      <c r="E69" t="s">
        <v>176</v>
      </c>
      <c r="F69">
        <v>202108</v>
      </c>
      <c r="G69" t="s">
        <v>193</v>
      </c>
      <c r="H69">
        <v>0</v>
      </c>
      <c r="O69">
        <v>5364</v>
      </c>
      <c r="P69" t="s">
        <v>2330</v>
      </c>
      <c r="Q69">
        <v>5697</v>
      </c>
      <c r="R69" t="s">
        <v>2203</v>
      </c>
      <c r="S69" t="s">
        <v>2038</v>
      </c>
      <c r="T69">
        <v>202201</v>
      </c>
      <c r="U69" t="s">
        <v>183</v>
      </c>
      <c r="V69">
        <v>6349941</v>
      </c>
    </row>
    <row r="70" spans="1:22">
      <c r="A70">
        <v>5364</v>
      </c>
      <c r="B70" t="s">
        <v>2330</v>
      </c>
      <c r="C70">
        <v>5697</v>
      </c>
      <c r="D70" t="s">
        <v>2203</v>
      </c>
      <c r="E70" t="s">
        <v>176</v>
      </c>
      <c r="F70">
        <v>202108</v>
      </c>
      <c r="G70" t="s">
        <v>2172</v>
      </c>
      <c r="H70">
        <v>4074.68</v>
      </c>
      <c r="O70">
        <v>5364</v>
      </c>
      <c r="P70" t="s">
        <v>2330</v>
      </c>
      <c r="Q70">
        <v>5697</v>
      </c>
      <c r="R70" t="s">
        <v>2203</v>
      </c>
      <c r="S70" t="s">
        <v>2038</v>
      </c>
      <c r="T70">
        <v>202201</v>
      </c>
      <c r="U70" t="s">
        <v>185</v>
      </c>
      <c r="V70">
        <v>423437</v>
      </c>
    </row>
    <row r="71" spans="1:22">
      <c r="A71">
        <v>5364</v>
      </c>
      <c r="B71" t="s">
        <v>2330</v>
      </c>
      <c r="C71">
        <v>5697</v>
      </c>
      <c r="D71" t="s">
        <v>2203</v>
      </c>
      <c r="E71" t="s">
        <v>176</v>
      </c>
      <c r="F71">
        <v>202108</v>
      </c>
      <c r="G71" t="s">
        <v>187</v>
      </c>
      <c r="H71">
        <v>0</v>
      </c>
      <c r="O71">
        <v>5364</v>
      </c>
      <c r="P71" t="s">
        <v>2330</v>
      </c>
      <c r="Q71">
        <v>5697</v>
      </c>
      <c r="R71" t="s">
        <v>2203</v>
      </c>
      <c r="S71" t="s">
        <v>2038</v>
      </c>
      <c r="T71">
        <v>202201</v>
      </c>
      <c r="U71" t="s">
        <v>187</v>
      </c>
      <c r="V71">
        <v>188615</v>
      </c>
    </row>
    <row r="72" spans="1:22">
      <c r="A72">
        <v>5364</v>
      </c>
      <c r="B72" t="s">
        <v>2330</v>
      </c>
      <c r="C72">
        <v>5697</v>
      </c>
      <c r="D72" t="s">
        <v>2203</v>
      </c>
      <c r="E72" t="s">
        <v>176</v>
      </c>
      <c r="F72">
        <v>202108</v>
      </c>
      <c r="G72" t="s">
        <v>2171</v>
      </c>
      <c r="H72">
        <v>121.52</v>
      </c>
      <c r="O72">
        <v>5364</v>
      </c>
      <c r="P72" t="s">
        <v>2330</v>
      </c>
      <c r="Q72">
        <v>5697</v>
      </c>
      <c r="R72" t="s">
        <v>2203</v>
      </c>
      <c r="S72" t="s">
        <v>176</v>
      </c>
      <c r="T72">
        <v>202202</v>
      </c>
      <c r="U72" t="s">
        <v>191</v>
      </c>
      <c r="V72">
        <v>5519673</v>
      </c>
    </row>
    <row r="73" spans="1:22">
      <c r="A73">
        <v>5364</v>
      </c>
      <c r="B73" t="s">
        <v>2330</v>
      </c>
      <c r="C73">
        <v>5697</v>
      </c>
      <c r="D73" t="s">
        <v>2203</v>
      </c>
      <c r="E73" t="s">
        <v>176</v>
      </c>
      <c r="F73">
        <v>202108</v>
      </c>
      <c r="G73" t="s">
        <v>2168</v>
      </c>
      <c r="H73">
        <v>8.92</v>
      </c>
      <c r="O73">
        <v>5364</v>
      </c>
      <c r="P73" t="s">
        <v>2330</v>
      </c>
      <c r="Q73">
        <v>5697</v>
      </c>
      <c r="R73" t="s">
        <v>2203</v>
      </c>
      <c r="S73" t="s">
        <v>176</v>
      </c>
      <c r="T73">
        <v>202202</v>
      </c>
      <c r="U73" t="s">
        <v>192</v>
      </c>
      <c r="V73">
        <v>314113</v>
      </c>
    </row>
    <row r="74" spans="1:22">
      <c r="A74">
        <v>5364</v>
      </c>
      <c r="B74" t="s">
        <v>2330</v>
      </c>
      <c r="C74">
        <v>5697</v>
      </c>
      <c r="D74" t="s">
        <v>2203</v>
      </c>
      <c r="E74" t="s">
        <v>176</v>
      </c>
      <c r="F74">
        <v>202108</v>
      </c>
      <c r="G74" t="s">
        <v>2169</v>
      </c>
      <c r="H74">
        <v>12.98</v>
      </c>
      <c r="O74">
        <v>5364</v>
      </c>
      <c r="P74" t="s">
        <v>2330</v>
      </c>
      <c r="Q74">
        <v>5697</v>
      </c>
      <c r="R74" t="s">
        <v>2203</v>
      </c>
      <c r="S74" t="s">
        <v>176</v>
      </c>
      <c r="T74">
        <v>202202</v>
      </c>
      <c r="U74" t="s">
        <v>179</v>
      </c>
      <c r="V74">
        <v>14078.4</v>
      </c>
    </row>
    <row r="75" spans="1:22">
      <c r="A75">
        <v>5364</v>
      </c>
      <c r="B75" t="s">
        <v>2330</v>
      </c>
      <c r="C75">
        <v>5697</v>
      </c>
      <c r="D75" t="s">
        <v>2203</v>
      </c>
      <c r="E75" t="s">
        <v>176</v>
      </c>
      <c r="F75">
        <v>202108</v>
      </c>
      <c r="G75" t="s">
        <v>2170</v>
      </c>
      <c r="H75">
        <v>5.76</v>
      </c>
      <c r="O75">
        <v>5364</v>
      </c>
      <c r="P75" t="s">
        <v>2330</v>
      </c>
      <c r="Q75">
        <v>5697</v>
      </c>
      <c r="R75" t="s">
        <v>2203</v>
      </c>
      <c r="S75" t="s">
        <v>176</v>
      </c>
      <c r="T75">
        <v>202202</v>
      </c>
      <c r="U75" t="s">
        <v>181</v>
      </c>
      <c r="V75">
        <v>7962.6</v>
      </c>
    </row>
    <row r="76" spans="1:22">
      <c r="A76">
        <v>5364</v>
      </c>
      <c r="B76" t="s">
        <v>2330</v>
      </c>
      <c r="C76">
        <v>5697</v>
      </c>
      <c r="D76" t="s">
        <v>2203</v>
      </c>
      <c r="E76" t="s">
        <v>176</v>
      </c>
      <c r="F76">
        <v>202108</v>
      </c>
      <c r="G76" t="s">
        <v>2173</v>
      </c>
      <c r="H76">
        <v>1018664.06</v>
      </c>
      <c r="O76">
        <v>5364</v>
      </c>
      <c r="P76" t="s">
        <v>2330</v>
      </c>
      <c r="Q76">
        <v>5697</v>
      </c>
      <c r="R76" t="s">
        <v>2203</v>
      </c>
      <c r="S76" t="s">
        <v>176</v>
      </c>
      <c r="T76">
        <v>202202</v>
      </c>
      <c r="U76" t="s">
        <v>183</v>
      </c>
      <c r="V76">
        <v>5519673</v>
      </c>
    </row>
    <row r="77" spans="1:22">
      <c r="A77">
        <v>5364</v>
      </c>
      <c r="B77" t="s">
        <v>2330</v>
      </c>
      <c r="C77">
        <v>5697</v>
      </c>
      <c r="D77" t="s">
        <v>2203</v>
      </c>
      <c r="E77" t="s">
        <v>2038</v>
      </c>
      <c r="F77">
        <v>202108</v>
      </c>
      <c r="G77" t="s">
        <v>191</v>
      </c>
      <c r="H77">
        <v>5857330</v>
      </c>
      <c r="O77">
        <v>5364</v>
      </c>
      <c r="P77" t="s">
        <v>2330</v>
      </c>
      <c r="Q77">
        <v>5697</v>
      </c>
      <c r="R77" t="s">
        <v>2203</v>
      </c>
      <c r="S77" t="s">
        <v>176</v>
      </c>
      <c r="T77">
        <v>202202</v>
      </c>
      <c r="U77" t="s">
        <v>185</v>
      </c>
      <c r="V77">
        <v>314113</v>
      </c>
    </row>
    <row r="78" spans="1:22">
      <c r="A78">
        <v>5364</v>
      </c>
      <c r="B78" t="s">
        <v>2330</v>
      </c>
      <c r="C78">
        <v>5697</v>
      </c>
      <c r="D78" t="s">
        <v>2203</v>
      </c>
      <c r="E78" t="s">
        <v>2038</v>
      </c>
      <c r="F78">
        <v>202108</v>
      </c>
      <c r="G78" t="s">
        <v>192</v>
      </c>
      <c r="H78">
        <v>434884</v>
      </c>
      <c r="O78">
        <v>5364</v>
      </c>
      <c r="P78" t="s">
        <v>2330</v>
      </c>
      <c r="Q78">
        <v>5697</v>
      </c>
      <c r="R78" t="s">
        <v>2203</v>
      </c>
      <c r="S78" t="s">
        <v>176</v>
      </c>
      <c r="T78">
        <v>202202</v>
      </c>
      <c r="U78" t="s">
        <v>187</v>
      </c>
      <c r="V78">
        <v>0</v>
      </c>
    </row>
    <row r="79" spans="1:22">
      <c r="A79">
        <v>5364</v>
      </c>
      <c r="B79" t="s">
        <v>2330</v>
      </c>
      <c r="C79">
        <v>5697</v>
      </c>
      <c r="D79" t="s">
        <v>2203</v>
      </c>
      <c r="E79" t="s">
        <v>2038</v>
      </c>
      <c r="F79">
        <v>202108</v>
      </c>
      <c r="G79" t="s">
        <v>177</v>
      </c>
      <c r="H79">
        <v>0</v>
      </c>
      <c r="O79">
        <v>5364</v>
      </c>
      <c r="P79" t="s">
        <v>2330</v>
      </c>
      <c r="Q79">
        <v>5697</v>
      </c>
      <c r="R79" t="s">
        <v>2203</v>
      </c>
      <c r="S79" t="s">
        <v>2038</v>
      </c>
      <c r="T79">
        <v>202202</v>
      </c>
      <c r="U79" t="s">
        <v>191</v>
      </c>
      <c r="V79">
        <v>6107033</v>
      </c>
    </row>
    <row r="80" spans="1:22">
      <c r="A80">
        <v>5364</v>
      </c>
      <c r="B80" t="s">
        <v>2330</v>
      </c>
      <c r="C80">
        <v>5697</v>
      </c>
      <c r="D80" t="s">
        <v>2203</v>
      </c>
      <c r="E80" t="s">
        <v>2038</v>
      </c>
      <c r="F80">
        <v>202108</v>
      </c>
      <c r="G80" t="s">
        <v>179</v>
      </c>
      <c r="H80">
        <v>16115.12</v>
      </c>
      <c r="O80">
        <v>5364</v>
      </c>
      <c r="P80" t="s">
        <v>2330</v>
      </c>
      <c r="Q80">
        <v>5697</v>
      </c>
      <c r="R80" t="s">
        <v>2203</v>
      </c>
      <c r="S80" t="s">
        <v>2038</v>
      </c>
      <c r="T80">
        <v>202202</v>
      </c>
      <c r="U80" t="s">
        <v>192</v>
      </c>
      <c r="V80">
        <v>403248</v>
      </c>
    </row>
    <row r="81" spans="1:22">
      <c r="A81">
        <v>5364</v>
      </c>
      <c r="B81" t="s">
        <v>2330</v>
      </c>
      <c r="C81">
        <v>5697</v>
      </c>
      <c r="D81" t="s">
        <v>2203</v>
      </c>
      <c r="E81" t="s">
        <v>2038</v>
      </c>
      <c r="F81">
        <v>202108</v>
      </c>
      <c r="G81" t="s">
        <v>181</v>
      </c>
      <c r="H81">
        <v>8917.76</v>
      </c>
      <c r="O81">
        <v>5364</v>
      </c>
      <c r="P81" t="s">
        <v>2330</v>
      </c>
      <c r="Q81">
        <v>5697</v>
      </c>
      <c r="R81" t="s">
        <v>2203</v>
      </c>
      <c r="S81" t="s">
        <v>2038</v>
      </c>
      <c r="T81">
        <v>202202</v>
      </c>
      <c r="U81" t="s">
        <v>179</v>
      </c>
      <c r="V81">
        <v>17814.63</v>
      </c>
    </row>
    <row r="82" spans="1:22">
      <c r="A82">
        <v>5364</v>
      </c>
      <c r="B82" t="s">
        <v>2330</v>
      </c>
      <c r="C82">
        <v>5697</v>
      </c>
      <c r="D82" t="s">
        <v>2203</v>
      </c>
      <c r="E82" t="s">
        <v>2038</v>
      </c>
      <c r="F82">
        <v>202108</v>
      </c>
      <c r="G82" t="s">
        <v>183</v>
      </c>
      <c r="H82">
        <v>6064109</v>
      </c>
      <c r="O82">
        <v>5364</v>
      </c>
      <c r="P82" t="s">
        <v>2330</v>
      </c>
      <c r="Q82">
        <v>5697</v>
      </c>
      <c r="R82" t="s">
        <v>2203</v>
      </c>
      <c r="S82" t="s">
        <v>2038</v>
      </c>
      <c r="T82">
        <v>202202</v>
      </c>
      <c r="U82" t="s">
        <v>181</v>
      </c>
      <c r="V82">
        <v>9589.92</v>
      </c>
    </row>
    <row r="83" spans="1:22">
      <c r="A83">
        <v>5364</v>
      </c>
      <c r="B83" t="s">
        <v>2330</v>
      </c>
      <c r="C83">
        <v>5697</v>
      </c>
      <c r="D83" t="s">
        <v>2203</v>
      </c>
      <c r="E83" t="s">
        <v>2038</v>
      </c>
      <c r="F83">
        <v>202108</v>
      </c>
      <c r="G83" t="s">
        <v>185</v>
      </c>
      <c r="H83">
        <v>434884</v>
      </c>
      <c r="O83">
        <v>5364</v>
      </c>
      <c r="P83" t="s">
        <v>2330</v>
      </c>
      <c r="Q83">
        <v>5697</v>
      </c>
      <c r="R83" t="s">
        <v>2203</v>
      </c>
      <c r="S83" t="s">
        <v>2038</v>
      </c>
      <c r="T83">
        <v>202202</v>
      </c>
      <c r="U83" t="s">
        <v>183</v>
      </c>
      <c r="V83">
        <v>6275962</v>
      </c>
    </row>
    <row r="84" spans="1:22">
      <c r="A84">
        <v>5364</v>
      </c>
      <c r="B84" t="s">
        <v>2330</v>
      </c>
      <c r="C84">
        <v>5697</v>
      </c>
      <c r="D84" t="s">
        <v>2203</v>
      </c>
      <c r="E84" t="s">
        <v>2038</v>
      </c>
      <c r="F84">
        <v>202108</v>
      </c>
      <c r="G84" t="s">
        <v>193</v>
      </c>
      <c r="H84">
        <v>0</v>
      </c>
      <c r="O84">
        <v>5364</v>
      </c>
      <c r="P84" t="s">
        <v>2330</v>
      </c>
      <c r="Q84">
        <v>5697</v>
      </c>
      <c r="R84" t="s">
        <v>2203</v>
      </c>
      <c r="S84" t="s">
        <v>2038</v>
      </c>
      <c r="T84">
        <v>202202</v>
      </c>
      <c r="U84" t="s">
        <v>185</v>
      </c>
      <c r="V84">
        <v>403248</v>
      </c>
    </row>
    <row r="85" spans="1:22">
      <c r="A85">
        <v>5364</v>
      </c>
      <c r="B85" t="s">
        <v>2330</v>
      </c>
      <c r="C85">
        <v>5697</v>
      </c>
      <c r="D85" t="s">
        <v>2203</v>
      </c>
      <c r="E85" t="s">
        <v>2038</v>
      </c>
      <c r="F85">
        <v>202108</v>
      </c>
      <c r="G85" t="s">
        <v>2172</v>
      </c>
      <c r="H85">
        <v>4991.6400000000003</v>
      </c>
      <c r="O85">
        <v>5364</v>
      </c>
      <c r="P85" t="s">
        <v>2330</v>
      </c>
      <c r="Q85">
        <v>5697</v>
      </c>
      <c r="R85" t="s">
        <v>2203</v>
      </c>
      <c r="S85" t="s">
        <v>2038</v>
      </c>
      <c r="T85">
        <v>202202</v>
      </c>
      <c r="U85" t="s">
        <v>187</v>
      </c>
      <c r="V85">
        <v>168929</v>
      </c>
    </row>
    <row r="86" spans="1:22">
      <c r="A86">
        <v>5364</v>
      </c>
      <c r="B86" t="s">
        <v>2330</v>
      </c>
      <c r="C86">
        <v>5697</v>
      </c>
      <c r="D86" t="s">
        <v>2203</v>
      </c>
      <c r="E86" t="s">
        <v>2038</v>
      </c>
      <c r="F86">
        <v>202108</v>
      </c>
      <c r="G86" t="s">
        <v>187</v>
      </c>
      <c r="H86">
        <v>206779</v>
      </c>
      <c r="O86">
        <v>5364</v>
      </c>
      <c r="P86" t="s">
        <v>2330</v>
      </c>
      <c r="Q86">
        <v>5697</v>
      </c>
      <c r="R86" t="s">
        <v>2203</v>
      </c>
      <c r="S86" t="s">
        <v>176</v>
      </c>
      <c r="T86">
        <v>202203</v>
      </c>
      <c r="U86" t="s">
        <v>191</v>
      </c>
      <c r="V86">
        <v>5833833</v>
      </c>
    </row>
    <row r="87" spans="1:22">
      <c r="A87">
        <v>5364</v>
      </c>
      <c r="B87" t="s">
        <v>2330</v>
      </c>
      <c r="C87">
        <v>5697</v>
      </c>
      <c r="D87" t="s">
        <v>2203</v>
      </c>
      <c r="E87" t="s">
        <v>2038</v>
      </c>
      <c r="F87">
        <v>202108</v>
      </c>
      <c r="G87" t="s">
        <v>2171</v>
      </c>
      <c r="H87">
        <v>121.52</v>
      </c>
      <c r="O87">
        <v>5364</v>
      </c>
      <c r="P87" t="s">
        <v>2330</v>
      </c>
      <c r="Q87">
        <v>5697</v>
      </c>
      <c r="R87" t="s">
        <v>2203</v>
      </c>
      <c r="S87" t="s">
        <v>176</v>
      </c>
      <c r="T87">
        <v>202203</v>
      </c>
      <c r="U87" t="s">
        <v>192</v>
      </c>
      <c r="V87">
        <v>342266</v>
      </c>
    </row>
    <row r="88" spans="1:22">
      <c r="A88">
        <v>5364</v>
      </c>
      <c r="B88" t="s">
        <v>2330</v>
      </c>
      <c r="C88">
        <v>5697</v>
      </c>
      <c r="D88" t="s">
        <v>2203</v>
      </c>
      <c r="E88" t="s">
        <v>2038</v>
      </c>
      <c r="F88">
        <v>202108</v>
      </c>
      <c r="G88" t="s">
        <v>2168</v>
      </c>
      <c r="H88">
        <v>12.33</v>
      </c>
      <c r="O88">
        <v>5364</v>
      </c>
      <c r="P88" t="s">
        <v>2330</v>
      </c>
      <c r="Q88">
        <v>5697</v>
      </c>
      <c r="R88" t="s">
        <v>2203</v>
      </c>
      <c r="S88" t="s">
        <v>176</v>
      </c>
      <c r="T88">
        <v>202203</v>
      </c>
      <c r="U88" t="s">
        <v>179</v>
      </c>
      <c r="V88">
        <v>13633.2</v>
      </c>
    </row>
    <row r="89" spans="1:22">
      <c r="A89">
        <v>5364</v>
      </c>
      <c r="B89" t="s">
        <v>2330</v>
      </c>
      <c r="C89">
        <v>5697</v>
      </c>
      <c r="D89" t="s">
        <v>2203</v>
      </c>
      <c r="E89" t="s">
        <v>2038</v>
      </c>
      <c r="F89">
        <v>202108</v>
      </c>
      <c r="G89" t="s">
        <v>2169</v>
      </c>
      <c r="H89">
        <v>23.94</v>
      </c>
      <c r="O89">
        <v>5364</v>
      </c>
      <c r="P89" t="s">
        <v>2330</v>
      </c>
      <c r="Q89">
        <v>5697</v>
      </c>
      <c r="R89" t="s">
        <v>2203</v>
      </c>
      <c r="S89" t="s">
        <v>176</v>
      </c>
      <c r="T89">
        <v>202203</v>
      </c>
      <c r="U89" t="s">
        <v>181</v>
      </c>
      <c r="V89">
        <v>7870.2</v>
      </c>
    </row>
    <row r="90" spans="1:22">
      <c r="A90">
        <v>5364</v>
      </c>
      <c r="B90" t="s">
        <v>2330</v>
      </c>
      <c r="C90">
        <v>5697</v>
      </c>
      <c r="D90" t="s">
        <v>2203</v>
      </c>
      <c r="E90" t="s">
        <v>2038</v>
      </c>
      <c r="F90">
        <v>202108</v>
      </c>
      <c r="G90" t="s">
        <v>2170</v>
      </c>
      <c r="H90">
        <v>10.17</v>
      </c>
      <c r="O90">
        <v>5364</v>
      </c>
      <c r="P90" t="s">
        <v>2330</v>
      </c>
      <c r="Q90">
        <v>5697</v>
      </c>
      <c r="R90" t="s">
        <v>2203</v>
      </c>
      <c r="S90" t="s">
        <v>176</v>
      </c>
      <c r="T90">
        <v>202203</v>
      </c>
      <c r="U90" t="s">
        <v>183</v>
      </c>
      <c r="V90">
        <v>5833833</v>
      </c>
    </row>
    <row r="91" spans="1:22">
      <c r="A91">
        <v>5364</v>
      </c>
      <c r="B91" t="s">
        <v>2330</v>
      </c>
      <c r="C91">
        <v>5697</v>
      </c>
      <c r="D91" t="s">
        <v>2203</v>
      </c>
      <c r="E91" t="s">
        <v>2038</v>
      </c>
      <c r="F91">
        <v>202108</v>
      </c>
      <c r="G91" t="s">
        <v>2173</v>
      </c>
      <c r="H91">
        <v>1247906.8400000001</v>
      </c>
      <c r="O91">
        <v>5364</v>
      </c>
      <c r="P91" t="s">
        <v>2330</v>
      </c>
      <c r="Q91">
        <v>5697</v>
      </c>
      <c r="R91" t="s">
        <v>2203</v>
      </c>
      <c r="S91" t="s">
        <v>176</v>
      </c>
      <c r="T91">
        <v>202203</v>
      </c>
      <c r="U91" t="s">
        <v>185</v>
      </c>
      <c r="V91">
        <v>342266</v>
      </c>
    </row>
    <row r="92" spans="1:22">
      <c r="A92">
        <v>5364</v>
      </c>
      <c r="B92" t="s">
        <v>2330</v>
      </c>
      <c r="C92">
        <v>5697</v>
      </c>
      <c r="D92" t="s">
        <v>2203</v>
      </c>
      <c r="E92" t="s">
        <v>176</v>
      </c>
      <c r="F92">
        <v>202109</v>
      </c>
      <c r="G92" t="s">
        <v>191</v>
      </c>
      <c r="H92">
        <v>5787772</v>
      </c>
      <c r="O92">
        <v>5364</v>
      </c>
      <c r="P92" t="s">
        <v>2330</v>
      </c>
      <c r="Q92">
        <v>5697</v>
      </c>
      <c r="R92" t="s">
        <v>2203</v>
      </c>
      <c r="S92" t="s">
        <v>176</v>
      </c>
      <c r="T92">
        <v>202203</v>
      </c>
      <c r="U92" t="s">
        <v>187</v>
      </c>
      <c r="V92">
        <v>0</v>
      </c>
    </row>
    <row r="93" spans="1:22">
      <c r="A93">
        <v>5364</v>
      </c>
      <c r="B93" t="s">
        <v>2330</v>
      </c>
      <c r="C93">
        <v>5697</v>
      </c>
      <c r="D93" t="s">
        <v>2203</v>
      </c>
      <c r="E93" t="s">
        <v>176</v>
      </c>
      <c r="F93">
        <v>202109</v>
      </c>
      <c r="G93" t="s">
        <v>192</v>
      </c>
      <c r="H93">
        <v>384426</v>
      </c>
      <c r="O93">
        <v>5364</v>
      </c>
      <c r="P93" t="s">
        <v>2330</v>
      </c>
      <c r="Q93">
        <v>5697</v>
      </c>
      <c r="R93" t="s">
        <v>2203</v>
      </c>
      <c r="S93" t="s">
        <v>2038</v>
      </c>
      <c r="T93">
        <v>202203</v>
      </c>
      <c r="U93" t="s">
        <v>191</v>
      </c>
      <c r="V93">
        <v>6637471</v>
      </c>
    </row>
    <row r="94" spans="1:22">
      <c r="A94">
        <v>5364</v>
      </c>
      <c r="B94" t="s">
        <v>2330</v>
      </c>
      <c r="C94">
        <v>5697</v>
      </c>
      <c r="D94" t="s">
        <v>2203</v>
      </c>
      <c r="E94" t="s">
        <v>176</v>
      </c>
      <c r="F94">
        <v>202109</v>
      </c>
      <c r="G94" t="s">
        <v>177</v>
      </c>
      <c r="H94">
        <v>0</v>
      </c>
      <c r="O94">
        <v>5364</v>
      </c>
      <c r="P94" t="s">
        <v>2330</v>
      </c>
      <c r="Q94">
        <v>5697</v>
      </c>
      <c r="R94" t="s">
        <v>2203</v>
      </c>
      <c r="S94" t="s">
        <v>2038</v>
      </c>
      <c r="T94">
        <v>202203</v>
      </c>
      <c r="U94" t="s">
        <v>192</v>
      </c>
      <c r="V94">
        <v>450787</v>
      </c>
    </row>
    <row r="95" spans="1:22">
      <c r="A95">
        <v>5364</v>
      </c>
      <c r="B95" t="s">
        <v>2330</v>
      </c>
      <c r="C95">
        <v>5697</v>
      </c>
      <c r="D95" t="s">
        <v>2203</v>
      </c>
      <c r="E95" t="s">
        <v>176</v>
      </c>
      <c r="F95">
        <v>202109</v>
      </c>
      <c r="G95" t="s">
        <v>179</v>
      </c>
      <c r="H95">
        <v>13426</v>
      </c>
      <c r="O95">
        <v>5364</v>
      </c>
      <c r="P95" t="s">
        <v>2330</v>
      </c>
      <c r="Q95">
        <v>5697</v>
      </c>
      <c r="R95" t="s">
        <v>2203</v>
      </c>
      <c r="S95" t="s">
        <v>2038</v>
      </c>
      <c r="T95">
        <v>202203</v>
      </c>
      <c r="U95" t="s">
        <v>179</v>
      </c>
      <c r="V95">
        <v>17639.91</v>
      </c>
    </row>
    <row r="96" spans="1:22">
      <c r="A96">
        <v>5364</v>
      </c>
      <c r="B96" t="s">
        <v>2330</v>
      </c>
      <c r="C96">
        <v>5697</v>
      </c>
      <c r="D96" t="s">
        <v>2203</v>
      </c>
      <c r="E96" t="s">
        <v>176</v>
      </c>
      <c r="F96">
        <v>202109</v>
      </c>
      <c r="G96" t="s">
        <v>181</v>
      </c>
      <c r="H96">
        <v>8030</v>
      </c>
      <c r="O96">
        <v>5364</v>
      </c>
      <c r="P96" t="s">
        <v>2330</v>
      </c>
      <c r="Q96">
        <v>5697</v>
      </c>
      <c r="R96" t="s">
        <v>2203</v>
      </c>
      <c r="S96" t="s">
        <v>2038</v>
      </c>
      <c r="T96">
        <v>202203</v>
      </c>
      <c r="U96" t="s">
        <v>181</v>
      </c>
      <c r="V96">
        <v>9465.6</v>
      </c>
    </row>
    <row r="97" spans="1:22">
      <c r="A97">
        <v>5364</v>
      </c>
      <c r="B97" t="s">
        <v>2330</v>
      </c>
      <c r="C97">
        <v>5697</v>
      </c>
      <c r="D97" t="s">
        <v>2203</v>
      </c>
      <c r="E97" t="s">
        <v>176</v>
      </c>
      <c r="F97">
        <v>202109</v>
      </c>
      <c r="G97" t="s">
        <v>183</v>
      </c>
      <c r="H97">
        <v>5787772</v>
      </c>
      <c r="O97">
        <v>5364</v>
      </c>
      <c r="P97" t="s">
        <v>2330</v>
      </c>
      <c r="Q97">
        <v>5697</v>
      </c>
      <c r="R97" t="s">
        <v>2203</v>
      </c>
      <c r="S97" t="s">
        <v>2038</v>
      </c>
      <c r="T97">
        <v>202203</v>
      </c>
      <c r="U97" t="s">
        <v>183</v>
      </c>
      <c r="V97">
        <v>6820049</v>
      </c>
    </row>
    <row r="98" spans="1:22">
      <c r="A98">
        <v>5364</v>
      </c>
      <c r="B98" t="s">
        <v>2330</v>
      </c>
      <c r="C98">
        <v>5697</v>
      </c>
      <c r="D98" t="s">
        <v>2203</v>
      </c>
      <c r="E98" t="s">
        <v>176</v>
      </c>
      <c r="F98">
        <v>202109</v>
      </c>
      <c r="G98" t="s">
        <v>185</v>
      </c>
      <c r="H98">
        <v>384426</v>
      </c>
      <c r="O98">
        <v>5364</v>
      </c>
      <c r="P98" t="s">
        <v>2330</v>
      </c>
      <c r="Q98">
        <v>5697</v>
      </c>
      <c r="R98" t="s">
        <v>2203</v>
      </c>
      <c r="S98" t="s">
        <v>2038</v>
      </c>
      <c r="T98">
        <v>202203</v>
      </c>
      <c r="U98" t="s">
        <v>185</v>
      </c>
      <c r="V98">
        <v>450787</v>
      </c>
    </row>
    <row r="99" spans="1:22">
      <c r="A99">
        <v>5364</v>
      </c>
      <c r="B99" t="s">
        <v>2330</v>
      </c>
      <c r="C99">
        <v>5697</v>
      </c>
      <c r="D99" t="s">
        <v>2203</v>
      </c>
      <c r="E99" t="s">
        <v>176</v>
      </c>
      <c r="F99">
        <v>202109</v>
      </c>
      <c r="G99" t="s">
        <v>193</v>
      </c>
      <c r="H99">
        <v>0</v>
      </c>
      <c r="O99">
        <v>5364</v>
      </c>
      <c r="P99" t="s">
        <v>2330</v>
      </c>
      <c r="Q99">
        <v>5697</v>
      </c>
      <c r="R99" t="s">
        <v>2203</v>
      </c>
      <c r="S99" t="s">
        <v>2038</v>
      </c>
      <c r="T99">
        <v>202203</v>
      </c>
      <c r="U99" t="s">
        <v>187</v>
      </c>
      <c r="V99">
        <v>182578</v>
      </c>
    </row>
    <row r="100" spans="1:22">
      <c r="A100">
        <v>5364</v>
      </c>
      <c r="B100" t="s">
        <v>2330</v>
      </c>
      <c r="C100">
        <v>5697</v>
      </c>
      <c r="D100" t="s">
        <v>2203</v>
      </c>
      <c r="E100" t="s">
        <v>176</v>
      </c>
      <c r="F100">
        <v>202109</v>
      </c>
      <c r="G100" t="s">
        <v>2172</v>
      </c>
      <c r="H100">
        <v>27384.75</v>
      </c>
      <c r="O100">
        <v>5364</v>
      </c>
      <c r="P100" t="s">
        <v>2330</v>
      </c>
      <c r="Q100">
        <v>5697</v>
      </c>
      <c r="R100" t="s">
        <v>2203</v>
      </c>
      <c r="S100" t="s">
        <v>176</v>
      </c>
      <c r="T100">
        <v>202204</v>
      </c>
      <c r="U100" t="s">
        <v>191</v>
      </c>
      <c r="V100">
        <v>5608020</v>
      </c>
    </row>
    <row r="101" spans="1:22">
      <c r="A101">
        <v>5364</v>
      </c>
      <c r="B101" t="s">
        <v>2330</v>
      </c>
      <c r="C101">
        <v>5697</v>
      </c>
      <c r="D101" t="s">
        <v>2203</v>
      </c>
      <c r="E101" t="s">
        <v>176</v>
      </c>
      <c r="F101">
        <v>202109</v>
      </c>
      <c r="G101" t="s">
        <v>187</v>
      </c>
      <c r="H101">
        <v>0</v>
      </c>
      <c r="O101">
        <v>5364</v>
      </c>
      <c r="P101" t="s">
        <v>2330</v>
      </c>
      <c r="Q101">
        <v>5697</v>
      </c>
      <c r="R101" t="s">
        <v>2203</v>
      </c>
      <c r="S101" t="s">
        <v>176</v>
      </c>
      <c r="T101">
        <v>202204</v>
      </c>
      <c r="U101" t="s">
        <v>192</v>
      </c>
      <c r="V101">
        <v>297473</v>
      </c>
    </row>
    <row r="102" spans="1:22">
      <c r="A102">
        <v>5364</v>
      </c>
      <c r="B102" t="s">
        <v>2330</v>
      </c>
      <c r="C102">
        <v>5697</v>
      </c>
      <c r="D102" t="s">
        <v>2203</v>
      </c>
      <c r="E102" t="s">
        <v>176</v>
      </c>
      <c r="F102">
        <v>202109</v>
      </c>
      <c r="G102" t="s">
        <v>2171</v>
      </c>
      <c r="H102">
        <v>122.29</v>
      </c>
      <c r="O102">
        <v>5364</v>
      </c>
      <c r="P102" t="s">
        <v>2330</v>
      </c>
      <c r="Q102">
        <v>5697</v>
      </c>
      <c r="R102" t="s">
        <v>2203</v>
      </c>
      <c r="S102" t="s">
        <v>176</v>
      </c>
      <c r="T102">
        <v>202204</v>
      </c>
      <c r="U102" t="s">
        <v>179</v>
      </c>
      <c r="V102">
        <v>13549.2</v>
      </c>
    </row>
    <row r="103" spans="1:22">
      <c r="A103">
        <v>5364</v>
      </c>
      <c r="B103" t="s">
        <v>2330</v>
      </c>
      <c r="C103">
        <v>5697</v>
      </c>
      <c r="D103" t="s">
        <v>2203</v>
      </c>
      <c r="E103" t="s">
        <v>176</v>
      </c>
      <c r="F103">
        <v>202109</v>
      </c>
      <c r="G103" t="s">
        <v>2168</v>
      </c>
      <c r="H103">
        <v>8.99</v>
      </c>
      <c r="O103">
        <v>5364</v>
      </c>
      <c r="P103" t="s">
        <v>2330</v>
      </c>
      <c r="Q103">
        <v>5697</v>
      </c>
      <c r="R103" t="s">
        <v>2203</v>
      </c>
      <c r="S103" t="s">
        <v>176</v>
      </c>
      <c r="T103">
        <v>202204</v>
      </c>
      <c r="U103" t="s">
        <v>181</v>
      </c>
      <c r="V103">
        <v>8055</v>
      </c>
    </row>
    <row r="104" spans="1:22">
      <c r="A104">
        <v>5364</v>
      </c>
      <c r="B104" t="s">
        <v>2330</v>
      </c>
      <c r="C104">
        <v>5697</v>
      </c>
      <c r="D104" t="s">
        <v>2203</v>
      </c>
      <c r="E104" t="s">
        <v>176</v>
      </c>
      <c r="F104">
        <v>202109</v>
      </c>
      <c r="G104" t="s">
        <v>2169</v>
      </c>
      <c r="H104">
        <v>13.25</v>
      </c>
      <c r="O104">
        <v>5364</v>
      </c>
      <c r="P104" t="s">
        <v>2330</v>
      </c>
      <c r="Q104">
        <v>5697</v>
      </c>
      <c r="R104" t="s">
        <v>2203</v>
      </c>
      <c r="S104" t="s">
        <v>176</v>
      </c>
      <c r="T104">
        <v>202204</v>
      </c>
      <c r="U104" t="s">
        <v>183</v>
      </c>
      <c r="V104">
        <v>5608020</v>
      </c>
    </row>
    <row r="105" spans="1:22">
      <c r="A105">
        <v>5364</v>
      </c>
      <c r="B105" t="s">
        <v>2330</v>
      </c>
      <c r="C105">
        <v>5697</v>
      </c>
      <c r="D105" t="s">
        <v>2203</v>
      </c>
      <c r="E105" t="s">
        <v>176</v>
      </c>
      <c r="F105">
        <v>202109</v>
      </c>
      <c r="G105" t="s">
        <v>2170</v>
      </c>
      <c r="H105">
        <v>5.82</v>
      </c>
      <c r="O105">
        <v>5364</v>
      </c>
      <c r="P105" t="s">
        <v>2330</v>
      </c>
      <c r="Q105">
        <v>5697</v>
      </c>
      <c r="R105" t="s">
        <v>2203</v>
      </c>
      <c r="S105" t="s">
        <v>176</v>
      </c>
      <c r="T105">
        <v>202204</v>
      </c>
      <c r="U105" t="s">
        <v>185</v>
      </c>
      <c r="V105">
        <v>297473</v>
      </c>
    </row>
    <row r="106" spans="1:22">
      <c r="A106">
        <v>5364</v>
      </c>
      <c r="B106" t="s">
        <v>2330</v>
      </c>
      <c r="C106">
        <v>5697</v>
      </c>
      <c r="D106" t="s">
        <v>2203</v>
      </c>
      <c r="E106" t="s">
        <v>176</v>
      </c>
      <c r="F106">
        <v>202109</v>
      </c>
      <c r="G106" t="s">
        <v>2173</v>
      </c>
      <c r="H106">
        <v>1045218.94</v>
      </c>
      <c r="O106">
        <v>5364</v>
      </c>
      <c r="P106" t="s">
        <v>2330</v>
      </c>
      <c r="Q106">
        <v>5697</v>
      </c>
      <c r="R106" t="s">
        <v>2203</v>
      </c>
      <c r="S106" t="s">
        <v>176</v>
      </c>
      <c r="T106">
        <v>202204</v>
      </c>
      <c r="U106" t="s">
        <v>187</v>
      </c>
      <c r="V106">
        <v>0</v>
      </c>
    </row>
    <row r="107" spans="1:22">
      <c r="A107">
        <v>5364</v>
      </c>
      <c r="B107" t="s">
        <v>2330</v>
      </c>
      <c r="C107">
        <v>5697</v>
      </c>
      <c r="D107" t="s">
        <v>2203</v>
      </c>
      <c r="E107" t="s">
        <v>2038</v>
      </c>
      <c r="F107">
        <v>202109</v>
      </c>
      <c r="G107" t="s">
        <v>191</v>
      </c>
      <c r="H107">
        <v>5800381</v>
      </c>
      <c r="O107">
        <v>5364</v>
      </c>
      <c r="P107" t="s">
        <v>2330</v>
      </c>
      <c r="Q107">
        <v>5697</v>
      </c>
      <c r="R107" t="s">
        <v>2203</v>
      </c>
      <c r="S107" t="s">
        <v>2038</v>
      </c>
      <c r="T107">
        <v>202204</v>
      </c>
      <c r="U107" t="s">
        <v>191</v>
      </c>
      <c r="V107">
        <v>6044726</v>
      </c>
    </row>
    <row r="108" spans="1:22">
      <c r="A108">
        <v>5364</v>
      </c>
      <c r="B108" t="s">
        <v>2330</v>
      </c>
      <c r="C108">
        <v>5697</v>
      </c>
      <c r="D108" t="s">
        <v>2203</v>
      </c>
      <c r="E108" t="s">
        <v>2038</v>
      </c>
      <c r="F108">
        <v>202109</v>
      </c>
      <c r="G108" t="s">
        <v>192</v>
      </c>
      <c r="H108">
        <v>398885</v>
      </c>
      <c r="O108">
        <v>5364</v>
      </c>
      <c r="P108" t="s">
        <v>2330</v>
      </c>
      <c r="Q108">
        <v>5697</v>
      </c>
      <c r="R108" t="s">
        <v>2203</v>
      </c>
      <c r="S108" t="s">
        <v>2038</v>
      </c>
      <c r="T108">
        <v>202204</v>
      </c>
      <c r="U108" t="s">
        <v>192</v>
      </c>
      <c r="V108">
        <v>384118</v>
      </c>
    </row>
    <row r="109" spans="1:22">
      <c r="A109">
        <v>5364</v>
      </c>
      <c r="B109" t="s">
        <v>2330</v>
      </c>
      <c r="C109">
        <v>5697</v>
      </c>
      <c r="D109" t="s">
        <v>2203</v>
      </c>
      <c r="E109" t="s">
        <v>2038</v>
      </c>
      <c r="F109">
        <v>202109</v>
      </c>
      <c r="G109" t="s">
        <v>177</v>
      </c>
      <c r="H109">
        <v>0</v>
      </c>
      <c r="O109">
        <v>5364</v>
      </c>
      <c r="P109" t="s">
        <v>2330</v>
      </c>
      <c r="Q109">
        <v>5697</v>
      </c>
      <c r="R109" t="s">
        <v>2203</v>
      </c>
      <c r="S109" t="s">
        <v>2038</v>
      </c>
      <c r="T109">
        <v>202204</v>
      </c>
      <c r="U109" t="s">
        <v>179</v>
      </c>
      <c r="V109">
        <v>17444.259999999998</v>
      </c>
    </row>
    <row r="110" spans="1:22">
      <c r="A110">
        <v>5364</v>
      </c>
      <c r="B110" t="s">
        <v>2330</v>
      </c>
      <c r="C110">
        <v>5697</v>
      </c>
      <c r="D110" t="s">
        <v>2203</v>
      </c>
      <c r="E110" t="s">
        <v>2038</v>
      </c>
      <c r="F110">
        <v>202109</v>
      </c>
      <c r="G110" t="s">
        <v>179</v>
      </c>
      <c r="H110">
        <v>16209.2</v>
      </c>
      <c r="O110">
        <v>5364</v>
      </c>
      <c r="P110" t="s">
        <v>2330</v>
      </c>
      <c r="Q110">
        <v>5697</v>
      </c>
      <c r="R110" t="s">
        <v>2203</v>
      </c>
      <c r="S110" t="s">
        <v>2038</v>
      </c>
      <c r="T110">
        <v>202204</v>
      </c>
      <c r="U110" t="s">
        <v>181</v>
      </c>
      <c r="V110">
        <v>9610.08</v>
      </c>
    </row>
    <row r="111" spans="1:22">
      <c r="A111">
        <v>5364</v>
      </c>
      <c r="B111" t="s">
        <v>2330</v>
      </c>
      <c r="C111">
        <v>5697</v>
      </c>
      <c r="D111" t="s">
        <v>2203</v>
      </c>
      <c r="E111" t="s">
        <v>2038</v>
      </c>
      <c r="F111">
        <v>202109</v>
      </c>
      <c r="G111" t="s">
        <v>181</v>
      </c>
      <c r="H111">
        <v>9243.6299999999992</v>
      </c>
      <c r="O111">
        <v>5364</v>
      </c>
      <c r="P111" t="s">
        <v>2330</v>
      </c>
      <c r="Q111">
        <v>5697</v>
      </c>
      <c r="R111" t="s">
        <v>2203</v>
      </c>
      <c r="S111" t="s">
        <v>2038</v>
      </c>
      <c r="T111">
        <v>202204</v>
      </c>
      <c r="U111" t="s">
        <v>183</v>
      </c>
      <c r="V111">
        <v>6220398</v>
      </c>
    </row>
    <row r="112" spans="1:22">
      <c r="A112">
        <v>5364</v>
      </c>
      <c r="B112" t="s">
        <v>2330</v>
      </c>
      <c r="C112">
        <v>5697</v>
      </c>
      <c r="D112" t="s">
        <v>2203</v>
      </c>
      <c r="E112" t="s">
        <v>2038</v>
      </c>
      <c r="F112">
        <v>202109</v>
      </c>
      <c r="G112" t="s">
        <v>183</v>
      </c>
      <c r="H112">
        <v>6007115</v>
      </c>
      <c r="O112">
        <v>5364</v>
      </c>
      <c r="P112" t="s">
        <v>2330</v>
      </c>
      <c r="Q112">
        <v>5697</v>
      </c>
      <c r="R112" t="s">
        <v>2203</v>
      </c>
      <c r="S112" t="s">
        <v>2038</v>
      </c>
      <c r="T112">
        <v>202204</v>
      </c>
      <c r="U112" t="s">
        <v>185</v>
      </c>
      <c r="V112">
        <v>384118</v>
      </c>
    </row>
    <row r="113" spans="1:22">
      <c r="A113">
        <v>5364</v>
      </c>
      <c r="B113" t="s">
        <v>2330</v>
      </c>
      <c r="C113">
        <v>5697</v>
      </c>
      <c r="D113" t="s">
        <v>2203</v>
      </c>
      <c r="E113" t="s">
        <v>2038</v>
      </c>
      <c r="F113">
        <v>202109</v>
      </c>
      <c r="G113" t="s">
        <v>185</v>
      </c>
      <c r="H113">
        <v>398885</v>
      </c>
      <c r="O113">
        <v>5364</v>
      </c>
      <c r="P113" t="s">
        <v>2330</v>
      </c>
      <c r="Q113">
        <v>5697</v>
      </c>
      <c r="R113" t="s">
        <v>2203</v>
      </c>
      <c r="S113" t="s">
        <v>2038</v>
      </c>
      <c r="T113">
        <v>202204</v>
      </c>
      <c r="U113" t="s">
        <v>187</v>
      </c>
      <c r="V113">
        <v>175672</v>
      </c>
    </row>
    <row r="114" spans="1:22">
      <c r="A114">
        <v>5364</v>
      </c>
      <c r="B114" t="s">
        <v>2330</v>
      </c>
      <c r="C114">
        <v>5697</v>
      </c>
      <c r="D114" t="s">
        <v>2203</v>
      </c>
      <c r="E114" t="s">
        <v>2038</v>
      </c>
      <c r="F114">
        <v>202109</v>
      </c>
      <c r="G114" t="s">
        <v>193</v>
      </c>
      <c r="H114">
        <v>0</v>
      </c>
      <c r="O114">
        <v>5364</v>
      </c>
      <c r="P114" t="s">
        <v>2330</v>
      </c>
      <c r="Q114">
        <v>5697</v>
      </c>
      <c r="R114" t="s">
        <v>2203</v>
      </c>
      <c r="S114" t="s">
        <v>176</v>
      </c>
      <c r="T114">
        <v>202205</v>
      </c>
      <c r="U114" t="s">
        <v>191</v>
      </c>
      <c r="V114">
        <v>6030423</v>
      </c>
    </row>
    <row r="115" spans="1:22">
      <c r="A115">
        <v>5364</v>
      </c>
      <c r="B115" t="s">
        <v>2330</v>
      </c>
      <c r="C115">
        <v>5697</v>
      </c>
      <c r="D115" t="s">
        <v>2203</v>
      </c>
      <c r="E115" t="s">
        <v>2038</v>
      </c>
      <c r="F115">
        <v>202109</v>
      </c>
      <c r="G115" t="s">
        <v>2172</v>
      </c>
      <c r="H115">
        <v>33472.78</v>
      </c>
      <c r="O115">
        <v>5364</v>
      </c>
      <c r="P115" t="s">
        <v>2330</v>
      </c>
      <c r="Q115">
        <v>5697</v>
      </c>
      <c r="R115" t="s">
        <v>2203</v>
      </c>
      <c r="S115" t="s">
        <v>176</v>
      </c>
      <c r="T115">
        <v>202205</v>
      </c>
      <c r="U115" t="s">
        <v>192</v>
      </c>
      <c r="V115">
        <v>354383</v>
      </c>
    </row>
    <row r="116" spans="1:22">
      <c r="A116">
        <v>5364</v>
      </c>
      <c r="B116" t="s">
        <v>2330</v>
      </c>
      <c r="C116">
        <v>5697</v>
      </c>
      <c r="D116" t="s">
        <v>2203</v>
      </c>
      <c r="E116" t="s">
        <v>2038</v>
      </c>
      <c r="F116">
        <v>202109</v>
      </c>
      <c r="G116" t="s">
        <v>187</v>
      </c>
      <c r="H116">
        <v>206734</v>
      </c>
      <c r="O116">
        <v>5364</v>
      </c>
      <c r="P116" t="s">
        <v>2330</v>
      </c>
      <c r="Q116">
        <v>5697</v>
      </c>
      <c r="R116" t="s">
        <v>2203</v>
      </c>
      <c r="S116" t="s">
        <v>176</v>
      </c>
      <c r="T116">
        <v>202205</v>
      </c>
      <c r="U116" t="s">
        <v>179</v>
      </c>
      <c r="V116">
        <v>13696.2</v>
      </c>
    </row>
    <row r="117" spans="1:22">
      <c r="A117">
        <v>5364</v>
      </c>
      <c r="B117" t="s">
        <v>2330</v>
      </c>
      <c r="C117">
        <v>5697</v>
      </c>
      <c r="D117" t="s">
        <v>2203</v>
      </c>
      <c r="E117" t="s">
        <v>2038</v>
      </c>
      <c r="F117">
        <v>202109</v>
      </c>
      <c r="G117" t="s">
        <v>2171</v>
      </c>
      <c r="H117">
        <v>122.29</v>
      </c>
      <c r="O117">
        <v>5364</v>
      </c>
      <c r="P117" t="s">
        <v>2330</v>
      </c>
      <c r="Q117">
        <v>5697</v>
      </c>
      <c r="R117" t="s">
        <v>2203</v>
      </c>
      <c r="S117" t="s">
        <v>176</v>
      </c>
      <c r="T117">
        <v>202205</v>
      </c>
      <c r="U117" t="s">
        <v>181</v>
      </c>
      <c r="V117">
        <v>8206.2000000000007</v>
      </c>
    </row>
    <row r="118" spans="1:22">
      <c r="A118">
        <v>5364</v>
      </c>
      <c r="B118" t="s">
        <v>2330</v>
      </c>
      <c r="C118">
        <v>5697</v>
      </c>
      <c r="D118" t="s">
        <v>2203</v>
      </c>
      <c r="E118" t="s">
        <v>2038</v>
      </c>
      <c r="F118">
        <v>202109</v>
      </c>
      <c r="G118" t="s">
        <v>2168</v>
      </c>
      <c r="H118">
        <v>12.31</v>
      </c>
      <c r="O118">
        <v>5364</v>
      </c>
      <c r="P118" t="s">
        <v>2330</v>
      </c>
      <c r="Q118">
        <v>5697</v>
      </c>
      <c r="R118" t="s">
        <v>2203</v>
      </c>
      <c r="S118" t="s">
        <v>176</v>
      </c>
      <c r="T118">
        <v>202205</v>
      </c>
      <c r="U118" t="s">
        <v>183</v>
      </c>
      <c r="V118">
        <v>6030423</v>
      </c>
    </row>
    <row r="119" spans="1:22">
      <c r="A119">
        <v>5364</v>
      </c>
      <c r="B119" t="s">
        <v>2330</v>
      </c>
      <c r="C119">
        <v>5697</v>
      </c>
      <c r="D119" t="s">
        <v>2203</v>
      </c>
      <c r="E119" t="s">
        <v>2038</v>
      </c>
      <c r="F119">
        <v>202109</v>
      </c>
      <c r="G119" t="s">
        <v>2169</v>
      </c>
      <c r="H119">
        <v>23.85</v>
      </c>
      <c r="O119">
        <v>5364</v>
      </c>
      <c r="P119" t="s">
        <v>2330</v>
      </c>
      <c r="Q119">
        <v>5697</v>
      </c>
      <c r="R119" t="s">
        <v>2203</v>
      </c>
      <c r="S119" t="s">
        <v>176</v>
      </c>
      <c r="T119">
        <v>202205</v>
      </c>
      <c r="U119" t="s">
        <v>185</v>
      </c>
      <c r="V119">
        <v>354383</v>
      </c>
    </row>
    <row r="120" spans="1:22">
      <c r="A120">
        <v>5364</v>
      </c>
      <c r="B120" t="s">
        <v>2330</v>
      </c>
      <c r="C120">
        <v>5697</v>
      </c>
      <c r="D120" t="s">
        <v>2203</v>
      </c>
      <c r="E120" t="s">
        <v>2038</v>
      </c>
      <c r="F120">
        <v>202109</v>
      </c>
      <c r="G120" t="s">
        <v>2170</v>
      </c>
      <c r="H120">
        <v>10.31</v>
      </c>
      <c r="O120">
        <v>5364</v>
      </c>
      <c r="P120" t="s">
        <v>2330</v>
      </c>
      <c r="Q120">
        <v>5697</v>
      </c>
      <c r="R120" t="s">
        <v>2203</v>
      </c>
      <c r="S120" t="s">
        <v>176</v>
      </c>
      <c r="T120">
        <v>202205</v>
      </c>
      <c r="U120" t="s">
        <v>187</v>
      </c>
      <c r="V120">
        <v>0</v>
      </c>
    </row>
    <row r="121" spans="1:22">
      <c r="A121">
        <v>5364</v>
      </c>
      <c r="B121" t="s">
        <v>2330</v>
      </c>
      <c r="C121">
        <v>5697</v>
      </c>
      <c r="D121" t="s">
        <v>2203</v>
      </c>
      <c r="E121" t="s">
        <v>2038</v>
      </c>
      <c r="F121">
        <v>202109</v>
      </c>
      <c r="G121" t="s">
        <v>2173</v>
      </c>
      <c r="H121">
        <v>1277585.95</v>
      </c>
      <c r="O121">
        <v>5364</v>
      </c>
      <c r="P121" t="s">
        <v>2330</v>
      </c>
      <c r="Q121">
        <v>5697</v>
      </c>
      <c r="R121" t="s">
        <v>2203</v>
      </c>
      <c r="S121" t="s">
        <v>2038</v>
      </c>
      <c r="T121">
        <v>202205</v>
      </c>
      <c r="U121" t="s">
        <v>191</v>
      </c>
      <c r="V121">
        <v>6081649</v>
      </c>
    </row>
    <row r="122" spans="1:22">
      <c r="A122">
        <v>5364</v>
      </c>
      <c r="B122" t="s">
        <v>2330</v>
      </c>
      <c r="C122">
        <v>5697</v>
      </c>
      <c r="D122" t="s">
        <v>2203</v>
      </c>
      <c r="E122" t="s">
        <v>176</v>
      </c>
      <c r="F122">
        <v>202110</v>
      </c>
      <c r="G122" t="s">
        <v>191</v>
      </c>
      <c r="H122">
        <v>6013606</v>
      </c>
      <c r="O122">
        <v>5364</v>
      </c>
      <c r="P122" t="s">
        <v>2330</v>
      </c>
      <c r="Q122">
        <v>5697</v>
      </c>
      <c r="R122" t="s">
        <v>2203</v>
      </c>
      <c r="S122" t="s">
        <v>2038</v>
      </c>
      <c r="T122">
        <v>202205</v>
      </c>
      <c r="U122" t="s">
        <v>192</v>
      </c>
      <c r="V122">
        <v>428549</v>
      </c>
    </row>
    <row r="123" spans="1:22">
      <c r="A123">
        <v>5364</v>
      </c>
      <c r="B123" t="s">
        <v>2330</v>
      </c>
      <c r="C123">
        <v>5697</v>
      </c>
      <c r="D123" t="s">
        <v>2203</v>
      </c>
      <c r="E123" t="s">
        <v>176</v>
      </c>
      <c r="F123">
        <v>202110</v>
      </c>
      <c r="G123" t="s">
        <v>192</v>
      </c>
      <c r="H123">
        <v>384169</v>
      </c>
      <c r="O123">
        <v>5364</v>
      </c>
      <c r="P123" t="s">
        <v>2330</v>
      </c>
      <c r="Q123">
        <v>5697</v>
      </c>
      <c r="R123" t="s">
        <v>2203</v>
      </c>
      <c r="S123" t="s">
        <v>2038</v>
      </c>
      <c r="T123">
        <v>202205</v>
      </c>
      <c r="U123" t="s">
        <v>179</v>
      </c>
      <c r="V123">
        <v>16763.88</v>
      </c>
    </row>
    <row r="124" spans="1:22">
      <c r="A124">
        <v>5364</v>
      </c>
      <c r="B124" t="s">
        <v>2330</v>
      </c>
      <c r="C124">
        <v>5697</v>
      </c>
      <c r="D124" t="s">
        <v>2203</v>
      </c>
      <c r="E124" t="s">
        <v>176</v>
      </c>
      <c r="F124">
        <v>202110</v>
      </c>
      <c r="G124" t="s">
        <v>177</v>
      </c>
      <c r="H124">
        <v>0</v>
      </c>
      <c r="O124">
        <v>5364</v>
      </c>
      <c r="P124" t="s">
        <v>2330</v>
      </c>
      <c r="Q124">
        <v>5697</v>
      </c>
      <c r="R124" t="s">
        <v>2203</v>
      </c>
      <c r="S124" t="s">
        <v>2038</v>
      </c>
      <c r="T124">
        <v>202205</v>
      </c>
      <c r="U124" t="s">
        <v>181</v>
      </c>
      <c r="V124">
        <v>9924.2199999999993</v>
      </c>
    </row>
    <row r="125" spans="1:22">
      <c r="A125">
        <v>5364</v>
      </c>
      <c r="B125" t="s">
        <v>2330</v>
      </c>
      <c r="C125">
        <v>5697</v>
      </c>
      <c r="D125" t="s">
        <v>2203</v>
      </c>
      <c r="E125" t="s">
        <v>176</v>
      </c>
      <c r="F125">
        <v>202110</v>
      </c>
      <c r="G125" t="s">
        <v>179</v>
      </c>
      <c r="H125">
        <v>13570.2</v>
      </c>
      <c r="O125">
        <v>5364</v>
      </c>
      <c r="P125" t="s">
        <v>2330</v>
      </c>
      <c r="Q125">
        <v>5697</v>
      </c>
      <c r="R125" t="s">
        <v>2203</v>
      </c>
      <c r="S125" t="s">
        <v>2038</v>
      </c>
      <c r="T125">
        <v>202205</v>
      </c>
      <c r="U125" t="s">
        <v>183</v>
      </c>
      <c r="V125">
        <v>6280921</v>
      </c>
    </row>
    <row r="126" spans="1:22">
      <c r="A126">
        <v>5364</v>
      </c>
      <c r="B126" t="s">
        <v>2330</v>
      </c>
      <c r="C126">
        <v>5697</v>
      </c>
      <c r="D126" t="s">
        <v>2203</v>
      </c>
      <c r="E126" t="s">
        <v>176</v>
      </c>
      <c r="F126">
        <v>202110</v>
      </c>
      <c r="G126" t="s">
        <v>181</v>
      </c>
      <c r="H126">
        <v>8252.4</v>
      </c>
      <c r="O126">
        <v>5364</v>
      </c>
      <c r="P126" t="s">
        <v>2330</v>
      </c>
      <c r="Q126">
        <v>5697</v>
      </c>
      <c r="R126" t="s">
        <v>2203</v>
      </c>
      <c r="S126" t="s">
        <v>2038</v>
      </c>
      <c r="T126">
        <v>202205</v>
      </c>
      <c r="U126" t="s">
        <v>185</v>
      </c>
      <c r="V126">
        <v>428549</v>
      </c>
    </row>
    <row r="127" spans="1:22">
      <c r="A127">
        <v>5364</v>
      </c>
      <c r="B127" t="s">
        <v>2330</v>
      </c>
      <c r="C127">
        <v>5697</v>
      </c>
      <c r="D127" t="s">
        <v>2203</v>
      </c>
      <c r="E127" t="s">
        <v>176</v>
      </c>
      <c r="F127">
        <v>202110</v>
      </c>
      <c r="G127" t="s">
        <v>183</v>
      </c>
      <c r="H127">
        <v>6013606</v>
      </c>
      <c r="O127">
        <v>5364</v>
      </c>
      <c r="P127" t="s">
        <v>2330</v>
      </c>
      <c r="Q127">
        <v>5697</v>
      </c>
      <c r="R127" t="s">
        <v>2203</v>
      </c>
      <c r="S127" t="s">
        <v>2038</v>
      </c>
      <c r="T127">
        <v>202205</v>
      </c>
      <c r="U127" t="s">
        <v>187</v>
      </c>
      <c r="V127">
        <v>199272</v>
      </c>
    </row>
    <row r="128" spans="1:22">
      <c r="A128">
        <v>5364</v>
      </c>
      <c r="B128" t="s">
        <v>2330</v>
      </c>
      <c r="C128">
        <v>5697</v>
      </c>
      <c r="D128" t="s">
        <v>2203</v>
      </c>
      <c r="E128" t="s">
        <v>176</v>
      </c>
      <c r="F128">
        <v>202110</v>
      </c>
      <c r="G128" t="s">
        <v>185</v>
      </c>
      <c r="H128">
        <v>384169</v>
      </c>
      <c r="O128">
        <v>5364</v>
      </c>
      <c r="P128" t="s">
        <v>2330</v>
      </c>
      <c r="Q128">
        <v>5697</v>
      </c>
      <c r="R128" t="s">
        <v>2203</v>
      </c>
      <c r="S128" t="s">
        <v>176</v>
      </c>
      <c r="T128">
        <v>202206</v>
      </c>
      <c r="U128" t="s">
        <v>191</v>
      </c>
      <c r="V128">
        <v>6094305</v>
      </c>
    </row>
    <row r="129" spans="1:22">
      <c r="A129">
        <v>5364</v>
      </c>
      <c r="B129" t="s">
        <v>2330</v>
      </c>
      <c r="C129">
        <v>5697</v>
      </c>
      <c r="D129" t="s">
        <v>2203</v>
      </c>
      <c r="E129" t="s">
        <v>176</v>
      </c>
      <c r="F129">
        <v>202110</v>
      </c>
      <c r="G129" t="s">
        <v>193</v>
      </c>
      <c r="H129">
        <v>0</v>
      </c>
      <c r="O129">
        <v>5364</v>
      </c>
      <c r="P129" t="s">
        <v>2330</v>
      </c>
      <c r="Q129">
        <v>5697</v>
      </c>
      <c r="R129" t="s">
        <v>2203</v>
      </c>
      <c r="S129" t="s">
        <v>176</v>
      </c>
      <c r="T129">
        <v>202206</v>
      </c>
      <c r="U129" t="s">
        <v>192</v>
      </c>
      <c r="V129">
        <v>379272</v>
      </c>
    </row>
    <row r="130" spans="1:22">
      <c r="A130">
        <v>5364</v>
      </c>
      <c r="B130" t="s">
        <v>2330</v>
      </c>
      <c r="C130">
        <v>5697</v>
      </c>
      <c r="D130" t="s">
        <v>2203</v>
      </c>
      <c r="E130" t="s">
        <v>176</v>
      </c>
      <c r="F130">
        <v>202110</v>
      </c>
      <c r="G130" t="s">
        <v>2172</v>
      </c>
      <c r="H130">
        <v>47758.49</v>
      </c>
      <c r="O130">
        <v>5364</v>
      </c>
      <c r="P130" t="s">
        <v>2330</v>
      </c>
      <c r="Q130">
        <v>5697</v>
      </c>
      <c r="R130" t="s">
        <v>2203</v>
      </c>
      <c r="S130" t="s">
        <v>176</v>
      </c>
      <c r="T130">
        <v>202206</v>
      </c>
      <c r="U130" t="s">
        <v>179</v>
      </c>
      <c r="V130">
        <v>13805.4</v>
      </c>
    </row>
    <row r="131" spans="1:22">
      <c r="A131">
        <v>5364</v>
      </c>
      <c r="B131" t="s">
        <v>2330</v>
      </c>
      <c r="C131">
        <v>5697</v>
      </c>
      <c r="D131" t="s">
        <v>2203</v>
      </c>
      <c r="E131" t="s">
        <v>176</v>
      </c>
      <c r="F131">
        <v>202110</v>
      </c>
      <c r="G131" t="s">
        <v>187</v>
      </c>
      <c r="H131">
        <v>0</v>
      </c>
      <c r="O131">
        <v>5364</v>
      </c>
      <c r="P131" t="s">
        <v>2330</v>
      </c>
      <c r="Q131">
        <v>5697</v>
      </c>
      <c r="R131" t="s">
        <v>2203</v>
      </c>
      <c r="S131" t="s">
        <v>176</v>
      </c>
      <c r="T131">
        <v>202206</v>
      </c>
      <c r="U131" t="s">
        <v>181</v>
      </c>
      <c r="V131">
        <v>8189.4</v>
      </c>
    </row>
    <row r="132" spans="1:22">
      <c r="A132">
        <v>5364</v>
      </c>
      <c r="B132" t="s">
        <v>2330</v>
      </c>
      <c r="C132">
        <v>5697</v>
      </c>
      <c r="D132" t="s">
        <v>2203</v>
      </c>
      <c r="E132" t="s">
        <v>176</v>
      </c>
      <c r="F132">
        <v>202110</v>
      </c>
      <c r="G132" t="s">
        <v>2171</v>
      </c>
      <c r="H132">
        <v>144.21</v>
      </c>
      <c r="O132">
        <v>5364</v>
      </c>
      <c r="P132" t="s">
        <v>2330</v>
      </c>
      <c r="Q132">
        <v>5697</v>
      </c>
      <c r="R132" t="s">
        <v>2203</v>
      </c>
      <c r="S132" t="s">
        <v>176</v>
      </c>
      <c r="T132">
        <v>202206</v>
      </c>
      <c r="U132" t="s">
        <v>183</v>
      </c>
      <c r="V132">
        <v>6094305</v>
      </c>
    </row>
    <row r="133" spans="1:22">
      <c r="A133">
        <v>5364</v>
      </c>
      <c r="B133" t="s">
        <v>2330</v>
      </c>
      <c r="C133">
        <v>5697</v>
      </c>
      <c r="D133" t="s">
        <v>2203</v>
      </c>
      <c r="E133" t="s">
        <v>176</v>
      </c>
      <c r="F133">
        <v>202110</v>
      </c>
      <c r="G133" t="s">
        <v>2168</v>
      </c>
      <c r="H133">
        <v>11.26</v>
      </c>
      <c r="O133">
        <v>5364</v>
      </c>
      <c r="P133" t="s">
        <v>2330</v>
      </c>
      <c r="Q133">
        <v>5697</v>
      </c>
      <c r="R133" t="s">
        <v>2203</v>
      </c>
      <c r="S133" t="s">
        <v>176</v>
      </c>
      <c r="T133">
        <v>202206</v>
      </c>
      <c r="U133" t="s">
        <v>185</v>
      </c>
      <c r="V133">
        <v>379272</v>
      </c>
    </row>
    <row r="134" spans="1:22">
      <c r="A134">
        <v>5364</v>
      </c>
      <c r="B134" t="s">
        <v>2330</v>
      </c>
      <c r="C134">
        <v>5697</v>
      </c>
      <c r="D134" t="s">
        <v>2203</v>
      </c>
      <c r="E134" t="s">
        <v>176</v>
      </c>
      <c r="F134">
        <v>202110</v>
      </c>
      <c r="G134" t="s">
        <v>2169</v>
      </c>
      <c r="H134">
        <v>21.11</v>
      </c>
      <c r="O134">
        <v>5364</v>
      </c>
      <c r="P134" t="s">
        <v>2330</v>
      </c>
      <c r="Q134">
        <v>5697</v>
      </c>
      <c r="R134" t="s">
        <v>2203</v>
      </c>
      <c r="S134" t="s">
        <v>176</v>
      </c>
      <c r="T134">
        <v>202206</v>
      </c>
      <c r="U134" t="s">
        <v>187</v>
      </c>
      <c r="V134">
        <v>0</v>
      </c>
    </row>
    <row r="135" spans="1:22">
      <c r="A135">
        <v>5364</v>
      </c>
      <c r="B135" t="s">
        <v>2330</v>
      </c>
      <c r="C135">
        <v>5697</v>
      </c>
      <c r="D135" t="s">
        <v>2203</v>
      </c>
      <c r="E135" t="s">
        <v>176</v>
      </c>
      <c r="F135">
        <v>202110</v>
      </c>
      <c r="G135" t="s">
        <v>2170</v>
      </c>
      <c r="H135">
        <v>7.49</v>
      </c>
      <c r="O135">
        <v>5364</v>
      </c>
      <c r="P135" t="s">
        <v>2330</v>
      </c>
      <c r="Q135">
        <v>5697</v>
      </c>
      <c r="R135" t="s">
        <v>2203</v>
      </c>
      <c r="S135" t="s">
        <v>2038</v>
      </c>
      <c r="T135">
        <v>202206</v>
      </c>
      <c r="U135" t="s">
        <v>191</v>
      </c>
      <c r="V135">
        <v>5936470</v>
      </c>
    </row>
    <row r="136" spans="1:22">
      <c r="A136">
        <v>5364</v>
      </c>
      <c r="B136" t="s">
        <v>2330</v>
      </c>
      <c r="C136">
        <v>5697</v>
      </c>
      <c r="D136" t="s">
        <v>2203</v>
      </c>
      <c r="E136" t="s">
        <v>176</v>
      </c>
      <c r="F136">
        <v>202110</v>
      </c>
      <c r="G136" t="s">
        <v>2173</v>
      </c>
      <c r="H136">
        <v>1345309.57</v>
      </c>
      <c r="O136">
        <v>5364</v>
      </c>
      <c r="P136" t="s">
        <v>2330</v>
      </c>
      <c r="Q136">
        <v>5697</v>
      </c>
      <c r="R136" t="s">
        <v>2203</v>
      </c>
      <c r="S136" t="s">
        <v>2038</v>
      </c>
      <c r="T136">
        <v>202206</v>
      </c>
      <c r="U136" t="s">
        <v>192</v>
      </c>
      <c r="V136">
        <v>451180</v>
      </c>
    </row>
    <row r="137" spans="1:22">
      <c r="A137">
        <v>5364</v>
      </c>
      <c r="B137" t="s">
        <v>2330</v>
      </c>
      <c r="C137">
        <v>5697</v>
      </c>
      <c r="D137" t="s">
        <v>2203</v>
      </c>
      <c r="E137" t="s">
        <v>2038</v>
      </c>
      <c r="F137">
        <v>202110</v>
      </c>
      <c r="G137" t="s">
        <v>191</v>
      </c>
      <c r="H137">
        <v>5825010</v>
      </c>
      <c r="O137">
        <v>5364</v>
      </c>
      <c r="P137" t="s">
        <v>2330</v>
      </c>
      <c r="Q137">
        <v>5697</v>
      </c>
      <c r="R137" t="s">
        <v>2203</v>
      </c>
      <c r="S137" t="s">
        <v>2038</v>
      </c>
      <c r="T137">
        <v>202206</v>
      </c>
      <c r="U137" t="s">
        <v>179</v>
      </c>
      <c r="V137">
        <v>16948.68</v>
      </c>
    </row>
    <row r="138" spans="1:22">
      <c r="A138">
        <v>5364</v>
      </c>
      <c r="B138" t="s">
        <v>2330</v>
      </c>
      <c r="C138">
        <v>5697</v>
      </c>
      <c r="D138" t="s">
        <v>2203</v>
      </c>
      <c r="E138" t="s">
        <v>2038</v>
      </c>
      <c r="F138">
        <v>202110</v>
      </c>
      <c r="G138" t="s">
        <v>192</v>
      </c>
      <c r="H138">
        <v>382616</v>
      </c>
      <c r="O138">
        <v>5364</v>
      </c>
      <c r="P138" t="s">
        <v>2330</v>
      </c>
      <c r="Q138">
        <v>5697</v>
      </c>
      <c r="R138" t="s">
        <v>2203</v>
      </c>
      <c r="S138" t="s">
        <v>2038</v>
      </c>
      <c r="T138">
        <v>202206</v>
      </c>
      <c r="U138" t="s">
        <v>181</v>
      </c>
      <c r="V138">
        <v>10422.629999999999</v>
      </c>
    </row>
    <row r="139" spans="1:22">
      <c r="A139">
        <v>5364</v>
      </c>
      <c r="B139" t="s">
        <v>2330</v>
      </c>
      <c r="C139">
        <v>5697</v>
      </c>
      <c r="D139" t="s">
        <v>2203</v>
      </c>
      <c r="E139" t="s">
        <v>2038</v>
      </c>
      <c r="F139">
        <v>202110</v>
      </c>
      <c r="G139" t="s">
        <v>177</v>
      </c>
      <c r="H139">
        <v>0</v>
      </c>
      <c r="O139">
        <v>5364</v>
      </c>
      <c r="P139" t="s">
        <v>2330</v>
      </c>
      <c r="Q139">
        <v>5697</v>
      </c>
      <c r="R139" t="s">
        <v>2203</v>
      </c>
      <c r="S139" t="s">
        <v>2038</v>
      </c>
      <c r="T139">
        <v>202206</v>
      </c>
      <c r="U139" t="s">
        <v>183</v>
      </c>
      <c r="V139">
        <v>6135605</v>
      </c>
    </row>
    <row r="140" spans="1:22">
      <c r="A140">
        <v>5364</v>
      </c>
      <c r="B140" t="s">
        <v>2330</v>
      </c>
      <c r="C140">
        <v>5697</v>
      </c>
      <c r="D140" t="s">
        <v>2203</v>
      </c>
      <c r="E140" t="s">
        <v>2038</v>
      </c>
      <c r="F140">
        <v>202110</v>
      </c>
      <c r="G140" t="s">
        <v>179</v>
      </c>
      <c r="H140">
        <v>16787.400000000001</v>
      </c>
      <c r="O140">
        <v>5364</v>
      </c>
      <c r="P140" t="s">
        <v>2330</v>
      </c>
      <c r="Q140">
        <v>5697</v>
      </c>
      <c r="R140" t="s">
        <v>2203</v>
      </c>
      <c r="S140" t="s">
        <v>2038</v>
      </c>
      <c r="T140">
        <v>202206</v>
      </c>
      <c r="U140" t="s">
        <v>185</v>
      </c>
      <c r="V140">
        <v>451180</v>
      </c>
    </row>
    <row r="141" spans="1:22">
      <c r="A141">
        <v>5364</v>
      </c>
      <c r="B141" t="s">
        <v>2330</v>
      </c>
      <c r="C141">
        <v>5697</v>
      </c>
      <c r="D141" t="s">
        <v>2203</v>
      </c>
      <c r="E141" t="s">
        <v>2038</v>
      </c>
      <c r="F141">
        <v>202110</v>
      </c>
      <c r="G141" t="s">
        <v>181</v>
      </c>
      <c r="H141">
        <v>9334.56</v>
      </c>
      <c r="O141">
        <v>5364</v>
      </c>
      <c r="P141" t="s">
        <v>2330</v>
      </c>
      <c r="Q141">
        <v>5697</v>
      </c>
      <c r="R141" t="s">
        <v>2203</v>
      </c>
      <c r="S141" t="s">
        <v>2038</v>
      </c>
      <c r="T141">
        <v>202206</v>
      </c>
      <c r="U141" t="s">
        <v>187</v>
      </c>
      <c r="V141">
        <v>199135</v>
      </c>
    </row>
    <row r="142" spans="1:22">
      <c r="A142">
        <v>5364</v>
      </c>
      <c r="B142" t="s">
        <v>2330</v>
      </c>
      <c r="C142">
        <v>5697</v>
      </c>
      <c r="D142" t="s">
        <v>2203</v>
      </c>
      <c r="E142" t="s">
        <v>2038</v>
      </c>
      <c r="F142">
        <v>202110</v>
      </c>
      <c r="G142" t="s">
        <v>183</v>
      </c>
      <c r="H142">
        <v>6045133</v>
      </c>
      <c r="O142">
        <v>5364</v>
      </c>
      <c r="P142" t="s">
        <v>2330</v>
      </c>
      <c r="Q142">
        <v>5697</v>
      </c>
      <c r="R142" t="s">
        <v>2203</v>
      </c>
      <c r="S142" t="s">
        <v>176</v>
      </c>
      <c r="T142">
        <v>202207</v>
      </c>
      <c r="U142" t="s">
        <v>191</v>
      </c>
      <c r="V142">
        <v>5881062</v>
      </c>
    </row>
    <row r="143" spans="1:22">
      <c r="A143">
        <v>5364</v>
      </c>
      <c r="B143" t="s">
        <v>2330</v>
      </c>
      <c r="C143">
        <v>5697</v>
      </c>
      <c r="D143" t="s">
        <v>2203</v>
      </c>
      <c r="E143" t="s">
        <v>2038</v>
      </c>
      <c r="F143">
        <v>202110</v>
      </c>
      <c r="G143" t="s">
        <v>185</v>
      </c>
      <c r="H143">
        <v>382616</v>
      </c>
      <c r="O143">
        <v>5364</v>
      </c>
      <c r="P143" t="s">
        <v>2330</v>
      </c>
      <c r="Q143">
        <v>5697</v>
      </c>
      <c r="R143" t="s">
        <v>2203</v>
      </c>
      <c r="S143" t="s">
        <v>176</v>
      </c>
      <c r="T143">
        <v>202207</v>
      </c>
      <c r="U143" t="s">
        <v>192</v>
      </c>
      <c r="V143">
        <v>356227</v>
      </c>
    </row>
    <row r="144" spans="1:22">
      <c r="A144">
        <v>5364</v>
      </c>
      <c r="B144" t="s">
        <v>2330</v>
      </c>
      <c r="C144">
        <v>5697</v>
      </c>
      <c r="D144" t="s">
        <v>2203</v>
      </c>
      <c r="E144" t="s">
        <v>2038</v>
      </c>
      <c r="F144">
        <v>202110</v>
      </c>
      <c r="G144" t="s">
        <v>193</v>
      </c>
      <c r="H144">
        <v>0</v>
      </c>
      <c r="O144">
        <v>5364</v>
      </c>
      <c r="P144" t="s">
        <v>2330</v>
      </c>
      <c r="Q144">
        <v>5697</v>
      </c>
      <c r="R144" t="s">
        <v>2203</v>
      </c>
      <c r="S144" t="s">
        <v>176</v>
      </c>
      <c r="T144">
        <v>202207</v>
      </c>
      <c r="U144" t="s">
        <v>179</v>
      </c>
      <c r="V144">
        <v>13801.2</v>
      </c>
    </row>
    <row r="145" spans="1:22">
      <c r="A145">
        <v>5364</v>
      </c>
      <c r="B145" t="s">
        <v>2330</v>
      </c>
      <c r="C145">
        <v>5697</v>
      </c>
      <c r="D145" t="s">
        <v>2203</v>
      </c>
      <c r="E145" t="s">
        <v>2038</v>
      </c>
      <c r="F145">
        <v>202110</v>
      </c>
      <c r="G145" t="s">
        <v>2172</v>
      </c>
      <c r="H145">
        <v>50949.34</v>
      </c>
      <c r="O145">
        <v>5364</v>
      </c>
      <c r="P145" t="s">
        <v>2330</v>
      </c>
      <c r="Q145">
        <v>5697</v>
      </c>
      <c r="R145" t="s">
        <v>2203</v>
      </c>
      <c r="S145" t="s">
        <v>176</v>
      </c>
      <c r="T145">
        <v>202207</v>
      </c>
      <c r="U145" t="s">
        <v>181</v>
      </c>
      <c r="V145">
        <v>8193.6</v>
      </c>
    </row>
    <row r="146" spans="1:22">
      <c r="A146">
        <v>5364</v>
      </c>
      <c r="B146" t="s">
        <v>2330</v>
      </c>
      <c r="C146">
        <v>5697</v>
      </c>
      <c r="D146" t="s">
        <v>2203</v>
      </c>
      <c r="E146" t="s">
        <v>2038</v>
      </c>
      <c r="F146">
        <v>202110</v>
      </c>
      <c r="G146" t="s">
        <v>187</v>
      </c>
      <c r="H146">
        <v>220123</v>
      </c>
      <c r="O146">
        <v>5364</v>
      </c>
      <c r="P146" t="s">
        <v>2330</v>
      </c>
      <c r="Q146">
        <v>5697</v>
      </c>
      <c r="R146" t="s">
        <v>2203</v>
      </c>
      <c r="S146" t="s">
        <v>176</v>
      </c>
      <c r="T146">
        <v>202207</v>
      </c>
      <c r="U146" t="s">
        <v>183</v>
      </c>
      <c r="V146">
        <v>5881062</v>
      </c>
    </row>
    <row r="147" spans="1:22">
      <c r="A147">
        <v>5364</v>
      </c>
      <c r="B147" t="s">
        <v>2330</v>
      </c>
      <c r="C147">
        <v>5697</v>
      </c>
      <c r="D147" t="s">
        <v>2203</v>
      </c>
      <c r="E147" t="s">
        <v>2038</v>
      </c>
      <c r="F147">
        <v>202110</v>
      </c>
      <c r="G147" t="s">
        <v>2171</v>
      </c>
      <c r="H147">
        <v>144.21</v>
      </c>
      <c r="O147">
        <v>5364</v>
      </c>
      <c r="P147" t="s">
        <v>2330</v>
      </c>
      <c r="Q147">
        <v>5697</v>
      </c>
      <c r="R147" t="s">
        <v>2203</v>
      </c>
      <c r="S147" t="s">
        <v>176</v>
      </c>
      <c r="T147">
        <v>202207</v>
      </c>
      <c r="U147" t="s">
        <v>185</v>
      </c>
      <c r="V147">
        <v>356227</v>
      </c>
    </row>
    <row r="148" spans="1:22">
      <c r="A148">
        <v>5364</v>
      </c>
      <c r="B148" t="s">
        <v>2330</v>
      </c>
      <c r="C148">
        <v>5697</v>
      </c>
      <c r="D148" t="s">
        <v>2203</v>
      </c>
      <c r="E148" t="s">
        <v>2038</v>
      </c>
      <c r="F148">
        <v>202110</v>
      </c>
      <c r="G148" t="s">
        <v>2168</v>
      </c>
      <c r="H148">
        <v>11.83</v>
      </c>
      <c r="O148">
        <v>5364</v>
      </c>
      <c r="P148" t="s">
        <v>2330</v>
      </c>
      <c r="Q148">
        <v>5697</v>
      </c>
      <c r="R148" t="s">
        <v>2203</v>
      </c>
      <c r="S148" t="s">
        <v>176</v>
      </c>
      <c r="T148">
        <v>202207</v>
      </c>
      <c r="U148" t="s">
        <v>187</v>
      </c>
      <c r="V148">
        <v>0</v>
      </c>
    </row>
    <row r="149" spans="1:22">
      <c r="A149">
        <v>5364</v>
      </c>
      <c r="B149" t="s">
        <v>2330</v>
      </c>
      <c r="C149">
        <v>5697</v>
      </c>
      <c r="D149" t="s">
        <v>2203</v>
      </c>
      <c r="E149" t="s">
        <v>2038</v>
      </c>
      <c r="F149">
        <v>202110</v>
      </c>
      <c r="G149" t="s">
        <v>2169</v>
      </c>
      <c r="H149">
        <v>21.22</v>
      </c>
      <c r="O149">
        <v>5364</v>
      </c>
      <c r="P149" t="s">
        <v>2330</v>
      </c>
      <c r="Q149">
        <v>5697</v>
      </c>
      <c r="R149" t="s">
        <v>2203</v>
      </c>
      <c r="S149" t="s">
        <v>2038</v>
      </c>
      <c r="T149">
        <v>202207</v>
      </c>
      <c r="U149" t="s">
        <v>191</v>
      </c>
      <c r="V149">
        <v>5978708</v>
      </c>
    </row>
    <row r="150" spans="1:22">
      <c r="A150">
        <v>5364</v>
      </c>
      <c r="B150" t="s">
        <v>2330</v>
      </c>
      <c r="C150">
        <v>5697</v>
      </c>
      <c r="D150" t="s">
        <v>2203</v>
      </c>
      <c r="E150" t="s">
        <v>2038</v>
      </c>
      <c r="F150">
        <v>202110</v>
      </c>
      <c r="G150" t="s">
        <v>2170</v>
      </c>
      <c r="H150">
        <v>14.37</v>
      </c>
      <c r="O150">
        <v>5364</v>
      </c>
      <c r="P150" t="s">
        <v>2330</v>
      </c>
      <c r="Q150">
        <v>5697</v>
      </c>
      <c r="R150" t="s">
        <v>2203</v>
      </c>
      <c r="S150" t="s">
        <v>2038</v>
      </c>
      <c r="T150">
        <v>202207</v>
      </c>
      <c r="U150" t="s">
        <v>192</v>
      </c>
      <c r="V150">
        <v>428158</v>
      </c>
    </row>
    <row r="151" spans="1:22">
      <c r="A151">
        <v>5364</v>
      </c>
      <c r="B151" t="s">
        <v>2330</v>
      </c>
      <c r="C151">
        <v>5697</v>
      </c>
      <c r="D151" t="s">
        <v>2203</v>
      </c>
      <c r="E151" t="s">
        <v>2038</v>
      </c>
      <c r="F151">
        <v>202110</v>
      </c>
      <c r="G151" t="s">
        <v>2173</v>
      </c>
      <c r="H151">
        <v>1435192.15</v>
      </c>
      <c r="O151">
        <v>5364</v>
      </c>
      <c r="P151" t="s">
        <v>2330</v>
      </c>
      <c r="Q151">
        <v>5697</v>
      </c>
      <c r="R151" t="s">
        <v>2203</v>
      </c>
      <c r="S151" t="s">
        <v>2038</v>
      </c>
      <c r="T151">
        <v>202207</v>
      </c>
      <c r="U151" t="s">
        <v>179</v>
      </c>
      <c r="V151">
        <v>16842.82</v>
      </c>
    </row>
    <row r="152" spans="1:22">
      <c r="A152">
        <v>5364</v>
      </c>
      <c r="B152" t="s">
        <v>2330</v>
      </c>
      <c r="C152">
        <v>5697</v>
      </c>
      <c r="D152" t="s">
        <v>2203</v>
      </c>
      <c r="E152" t="s">
        <v>176</v>
      </c>
      <c r="F152">
        <v>202111</v>
      </c>
      <c r="G152" t="s">
        <v>191</v>
      </c>
      <c r="H152">
        <v>5849125</v>
      </c>
      <c r="O152">
        <v>5364</v>
      </c>
      <c r="P152" t="s">
        <v>2330</v>
      </c>
      <c r="Q152">
        <v>5697</v>
      </c>
      <c r="R152" t="s">
        <v>2203</v>
      </c>
      <c r="S152" t="s">
        <v>2038</v>
      </c>
      <c r="T152">
        <v>202207</v>
      </c>
      <c r="U152" t="s">
        <v>181</v>
      </c>
      <c r="V152">
        <v>9932.64</v>
      </c>
    </row>
    <row r="153" spans="1:22">
      <c r="A153">
        <v>5364</v>
      </c>
      <c r="B153" t="s">
        <v>2330</v>
      </c>
      <c r="C153">
        <v>5697</v>
      </c>
      <c r="D153" t="s">
        <v>2203</v>
      </c>
      <c r="E153" t="s">
        <v>176</v>
      </c>
      <c r="F153">
        <v>202111</v>
      </c>
      <c r="G153" t="s">
        <v>192</v>
      </c>
      <c r="H153">
        <v>375324</v>
      </c>
      <c r="O153">
        <v>5364</v>
      </c>
      <c r="P153" t="s">
        <v>2330</v>
      </c>
      <c r="Q153">
        <v>5697</v>
      </c>
      <c r="R153" t="s">
        <v>2203</v>
      </c>
      <c r="S153" t="s">
        <v>2038</v>
      </c>
      <c r="T153">
        <v>202207</v>
      </c>
      <c r="U153" t="s">
        <v>183</v>
      </c>
      <c r="V153">
        <v>6185035</v>
      </c>
    </row>
    <row r="154" spans="1:22">
      <c r="A154">
        <v>5364</v>
      </c>
      <c r="B154" t="s">
        <v>2330</v>
      </c>
      <c r="C154">
        <v>5697</v>
      </c>
      <c r="D154" t="s">
        <v>2203</v>
      </c>
      <c r="E154" t="s">
        <v>176</v>
      </c>
      <c r="F154">
        <v>202111</v>
      </c>
      <c r="G154" t="s">
        <v>177</v>
      </c>
      <c r="H154">
        <v>0</v>
      </c>
      <c r="O154">
        <v>5364</v>
      </c>
      <c r="P154" t="s">
        <v>2330</v>
      </c>
      <c r="Q154">
        <v>5697</v>
      </c>
      <c r="R154" t="s">
        <v>2203</v>
      </c>
      <c r="S154" t="s">
        <v>2038</v>
      </c>
      <c r="T154">
        <v>202207</v>
      </c>
      <c r="U154" t="s">
        <v>185</v>
      </c>
      <c r="V154">
        <v>428158</v>
      </c>
    </row>
    <row r="155" spans="1:22">
      <c r="A155">
        <v>5364</v>
      </c>
      <c r="B155" t="s">
        <v>2330</v>
      </c>
      <c r="C155">
        <v>5697</v>
      </c>
      <c r="D155" t="s">
        <v>2203</v>
      </c>
      <c r="E155" t="s">
        <v>176</v>
      </c>
      <c r="F155">
        <v>202111</v>
      </c>
      <c r="G155" t="s">
        <v>179</v>
      </c>
      <c r="H155">
        <v>13805.4</v>
      </c>
      <c r="O155">
        <v>5364</v>
      </c>
      <c r="P155" t="s">
        <v>2330</v>
      </c>
      <c r="Q155">
        <v>5697</v>
      </c>
      <c r="R155" t="s">
        <v>2203</v>
      </c>
      <c r="S155" t="s">
        <v>2038</v>
      </c>
      <c r="T155">
        <v>202207</v>
      </c>
      <c r="U155" t="s">
        <v>187</v>
      </c>
      <c r="V155">
        <v>206327</v>
      </c>
    </row>
    <row r="156" spans="1:22">
      <c r="A156">
        <v>5364</v>
      </c>
      <c r="B156" t="s">
        <v>2330</v>
      </c>
      <c r="C156">
        <v>5697</v>
      </c>
      <c r="D156" t="s">
        <v>2203</v>
      </c>
      <c r="E156" t="s">
        <v>176</v>
      </c>
      <c r="F156">
        <v>202111</v>
      </c>
      <c r="G156" t="s">
        <v>181</v>
      </c>
      <c r="H156">
        <v>8336.4</v>
      </c>
    </row>
    <row r="157" spans="1:22">
      <c r="A157">
        <v>5364</v>
      </c>
      <c r="B157" t="s">
        <v>2330</v>
      </c>
      <c r="C157">
        <v>5697</v>
      </c>
      <c r="D157" t="s">
        <v>2203</v>
      </c>
      <c r="E157" t="s">
        <v>176</v>
      </c>
      <c r="F157">
        <v>202111</v>
      </c>
      <c r="G157" t="s">
        <v>183</v>
      </c>
      <c r="H157">
        <v>5849125</v>
      </c>
      <c r="O157">
        <v>5364</v>
      </c>
      <c r="P157" t="s">
        <v>2330</v>
      </c>
      <c r="Q157">
        <v>5697</v>
      </c>
      <c r="R157" t="s">
        <v>2203</v>
      </c>
      <c r="S157" t="s">
        <v>176</v>
      </c>
      <c r="T157">
        <v>202207</v>
      </c>
      <c r="U157" t="s">
        <v>191</v>
      </c>
      <c r="V157">
        <v>5881062</v>
      </c>
    </row>
    <row r="158" spans="1:22">
      <c r="A158">
        <v>5364</v>
      </c>
      <c r="B158" t="s">
        <v>2330</v>
      </c>
      <c r="C158">
        <v>5697</v>
      </c>
      <c r="D158" t="s">
        <v>2203</v>
      </c>
      <c r="E158" t="s">
        <v>176</v>
      </c>
      <c r="F158">
        <v>202111</v>
      </c>
      <c r="G158" t="s">
        <v>185</v>
      </c>
      <c r="H158">
        <v>375324</v>
      </c>
      <c r="O158">
        <v>5364</v>
      </c>
      <c r="P158" t="s">
        <v>2330</v>
      </c>
      <c r="Q158">
        <v>5697</v>
      </c>
      <c r="R158" t="s">
        <v>2203</v>
      </c>
      <c r="S158" t="s">
        <v>176</v>
      </c>
      <c r="T158">
        <v>202207</v>
      </c>
      <c r="U158" t="s">
        <v>192</v>
      </c>
      <c r="V158">
        <v>356227</v>
      </c>
    </row>
    <row r="159" spans="1:22">
      <c r="A159">
        <v>5364</v>
      </c>
      <c r="B159" t="s">
        <v>2330</v>
      </c>
      <c r="C159">
        <v>5697</v>
      </c>
      <c r="D159" t="s">
        <v>2203</v>
      </c>
      <c r="E159" t="s">
        <v>176</v>
      </c>
      <c r="F159">
        <v>202111</v>
      </c>
      <c r="G159" t="s">
        <v>193</v>
      </c>
      <c r="H159">
        <v>0</v>
      </c>
      <c r="O159">
        <v>5364</v>
      </c>
      <c r="P159" t="s">
        <v>2330</v>
      </c>
      <c r="Q159">
        <v>5697</v>
      </c>
      <c r="R159" t="s">
        <v>2203</v>
      </c>
      <c r="S159" t="s">
        <v>176</v>
      </c>
      <c r="T159">
        <v>202207</v>
      </c>
      <c r="U159" t="s">
        <v>179</v>
      </c>
      <c r="V159">
        <v>13801.2</v>
      </c>
    </row>
    <row r="160" spans="1:22">
      <c r="A160">
        <v>5364</v>
      </c>
      <c r="B160" t="s">
        <v>2330</v>
      </c>
      <c r="C160">
        <v>5697</v>
      </c>
      <c r="D160" t="s">
        <v>2203</v>
      </c>
      <c r="E160" t="s">
        <v>176</v>
      </c>
      <c r="F160">
        <v>202111</v>
      </c>
      <c r="G160" t="s">
        <v>2172</v>
      </c>
      <c r="H160">
        <v>49564.1</v>
      </c>
      <c r="O160">
        <v>5364</v>
      </c>
      <c r="P160" t="s">
        <v>2330</v>
      </c>
      <c r="Q160">
        <v>5697</v>
      </c>
      <c r="R160" t="s">
        <v>2203</v>
      </c>
      <c r="S160" t="s">
        <v>176</v>
      </c>
      <c r="T160">
        <v>202207</v>
      </c>
      <c r="U160" t="s">
        <v>181</v>
      </c>
      <c r="V160">
        <v>8193.6</v>
      </c>
    </row>
    <row r="161" spans="1:22">
      <c r="A161">
        <v>5364</v>
      </c>
      <c r="B161" t="s">
        <v>2330</v>
      </c>
      <c r="C161">
        <v>5697</v>
      </c>
      <c r="D161" t="s">
        <v>2203</v>
      </c>
      <c r="E161" t="s">
        <v>176</v>
      </c>
      <c r="F161">
        <v>202111</v>
      </c>
      <c r="G161" t="s">
        <v>187</v>
      </c>
      <c r="H161">
        <v>0</v>
      </c>
      <c r="O161">
        <v>5364</v>
      </c>
      <c r="P161" t="s">
        <v>2330</v>
      </c>
      <c r="Q161">
        <v>5697</v>
      </c>
      <c r="R161" t="s">
        <v>2203</v>
      </c>
      <c r="S161" t="s">
        <v>176</v>
      </c>
      <c r="T161">
        <v>202207</v>
      </c>
      <c r="U161" t="s">
        <v>183</v>
      </c>
      <c r="V161">
        <v>5881062</v>
      </c>
    </row>
    <row r="162" spans="1:22">
      <c r="A162">
        <v>5364</v>
      </c>
      <c r="B162" t="s">
        <v>2330</v>
      </c>
      <c r="C162">
        <v>5697</v>
      </c>
      <c r="D162" t="s">
        <v>2203</v>
      </c>
      <c r="E162" t="s">
        <v>176</v>
      </c>
      <c r="F162">
        <v>202111</v>
      </c>
      <c r="G162" t="s">
        <v>2171</v>
      </c>
      <c r="H162">
        <v>144.21</v>
      </c>
      <c r="O162">
        <v>5364</v>
      </c>
      <c r="P162" t="s">
        <v>2330</v>
      </c>
      <c r="Q162">
        <v>5697</v>
      </c>
      <c r="R162" t="s">
        <v>2203</v>
      </c>
      <c r="S162" t="s">
        <v>176</v>
      </c>
      <c r="T162">
        <v>202207</v>
      </c>
      <c r="U162" t="s">
        <v>185</v>
      </c>
      <c r="V162">
        <v>356227</v>
      </c>
    </row>
    <row r="163" spans="1:22">
      <c r="A163">
        <v>5364</v>
      </c>
      <c r="B163" t="s">
        <v>2330</v>
      </c>
      <c r="C163">
        <v>5697</v>
      </c>
      <c r="D163" t="s">
        <v>2203</v>
      </c>
      <c r="E163" t="s">
        <v>176</v>
      </c>
      <c r="F163">
        <v>202111</v>
      </c>
      <c r="G163" t="s">
        <v>2168</v>
      </c>
      <c r="H163">
        <v>11.26</v>
      </c>
      <c r="O163">
        <v>5364</v>
      </c>
      <c r="P163" t="s">
        <v>2330</v>
      </c>
      <c r="Q163">
        <v>5697</v>
      </c>
      <c r="R163" t="s">
        <v>2203</v>
      </c>
      <c r="S163" t="s">
        <v>176</v>
      </c>
      <c r="T163">
        <v>202207</v>
      </c>
      <c r="U163" t="s">
        <v>187</v>
      </c>
      <c r="V163">
        <v>0</v>
      </c>
    </row>
    <row r="164" spans="1:22">
      <c r="A164">
        <v>5364</v>
      </c>
      <c r="B164" t="s">
        <v>2330</v>
      </c>
      <c r="C164">
        <v>5697</v>
      </c>
      <c r="D164" t="s">
        <v>2203</v>
      </c>
      <c r="E164" t="s">
        <v>176</v>
      </c>
      <c r="F164">
        <v>202111</v>
      </c>
      <c r="G164" t="s">
        <v>2169</v>
      </c>
      <c r="H164">
        <v>21.11</v>
      </c>
      <c r="O164">
        <v>5364</v>
      </c>
      <c r="P164" t="s">
        <v>2330</v>
      </c>
      <c r="Q164">
        <v>5697</v>
      </c>
      <c r="R164" t="s">
        <v>2203</v>
      </c>
      <c r="S164" t="s">
        <v>2038</v>
      </c>
      <c r="T164">
        <v>202207</v>
      </c>
      <c r="U164" t="s">
        <v>191</v>
      </c>
      <c r="V164">
        <v>5978708</v>
      </c>
    </row>
    <row r="165" spans="1:22">
      <c r="A165">
        <v>5364</v>
      </c>
      <c r="B165" t="s">
        <v>2330</v>
      </c>
      <c r="C165">
        <v>5697</v>
      </c>
      <c r="D165" t="s">
        <v>2203</v>
      </c>
      <c r="E165" t="s">
        <v>176</v>
      </c>
      <c r="F165">
        <v>202111</v>
      </c>
      <c r="G165" t="s">
        <v>2170</v>
      </c>
      <c r="H165">
        <v>7.49</v>
      </c>
      <c r="O165">
        <v>5364</v>
      </c>
      <c r="P165" t="s">
        <v>2330</v>
      </c>
      <c r="Q165">
        <v>5697</v>
      </c>
      <c r="R165" t="s">
        <v>2203</v>
      </c>
      <c r="S165" t="s">
        <v>2038</v>
      </c>
      <c r="T165">
        <v>202207</v>
      </c>
      <c r="U165" t="s">
        <v>192</v>
      </c>
      <c r="V165">
        <v>428158</v>
      </c>
    </row>
    <row r="166" spans="1:22">
      <c r="A166">
        <v>5364</v>
      </c>
      <c r="B166" t="s">
        <v>2330</v>
      </c>
      <c r="C166">
        <v>5697</v>
      </c>
      <c r="D166" t="s">
        <v>2203</v>
      </c>
      <c r="E166" t="s">
        <v>176</v>
      </c>
      <c r="F166">
        <v>202111</v>
      </c>
      <c r="G166" t="s">
        <v>2173</v>
      </c>
      <c r="H166">
        <v>1325243.21</v>
      </c>
      <c r="O166">
        <v>5364</v>
      </c>
      <c r="P166" t="s">
        <v>2330</v>
      </c>
      <c r="Q166">
        <v>5697</v>
      </c>
      <c r="R166" t="s">
        <v>2203</v>
      </c>
      <c r="S166" t="s">
        <v>2038</v>
      </c>
      <c r="T166">
        <v>202207</v>
      </c>
      <c r="U166" t="s">
        <v>179</v>
      </c>
      <c r="V166">
        <v>16842.82</v>
      </c>
    </row>
    <row r="167" spans="1:22">
      <c r="A167">
        <v>5364</v>
      </c>
      <c r="B167" t="s">
        <v>2330</v>
      </c>
      <c r="C167">
        <v>5697</v>
      </c>
      <c r="D167" t="s">
        <v>2203</v>
      </c>
      <c r="E167" t="s">
        <v>2038</v>
      </c>
      <c r="F167">
        <v>202111</v>
      </c>
      <c r="G167" t="s">
        <v>191</v>
      </c>
      <c r="H167">
        <v>5819815</v>
      </c>
      <c r="O167">
        <v>5364</v>
      </c>
      <c r="P167" t="s">
        <v>2330</v>
      </c>
      <c r="Q167">
        <v>5697</v>
      </c>
      <c r="R167" t="s">
        <v>2203</v>
      </c>
      <c r="S167" t="s">
        <v>2038</v>
      </c>
      <c r="T167">
        <v>202207</v>
      </c>
      <c r="U167" t="s">
        <v>181</v>
      </c>
      <c r="V167">
        <v>9932.64</v>
      </c>
    </row>
    <row r="168" spans="1:22">
      <c r="A168">
        <v>5364</v>
      </c>
      <c r="B168" t="s">
        <v>2330</v>
      </c>
      <c r="C168">
        <v>5697</v>
      </c>
      <c r="D168" t="s">
        <v>2203</v>
      </c>
      <c r="E168" t="s">
        <v>2038</v>
      </c>
      <c r="F168">
        <v>202111</v>
      </c>
      <c r="G168" t="s">
        <v>192</v>
      </c>
      <c r="H168">
        <v>388357</v>
      </c>
      <c r="O168">
        <v>5364</v>
      </c>
      <c r="P168" t="s">
        <v>2330</v>
      </c>
      <c r="Q168">
        <v>5697</v>
      </c>
      <c r="R168" t="s">
        <v>2203</v>
      </c>
      <c r="S168" t="s">
        <v>2038</v>
      </c>
      <c r="T168">
        <v>202207</v>
      </c>
      <c r="U168" t="s">
        <v>183</v>
      </c>
      <c r="V168">
        <v>6185035</v>
      </c>
    </row>
    <row r="169" spans="1:22">
      <c r="A169">
        <v>5364</v>
      </c>
      <c r="B169" t="s">
        <v>2330</v>
      </c>
      <c r="C169">
        <v>5697</v>
      </c>
      <c r="D169" t="s">
        <v>2203</v>
      </c>
      <c r="E169" t="s">
        <v>2038</v>
      </c>
      <c r="F169">
        <v>202111</v>
      </c>
      <c r="G169" t="s">
        <v>177</v>
      </c>
      <c r="H169">
        <v>0</v>
      </c>
      <c r="O169">
        <v>5364</v>
      </c>
      <c r="P169" t="s">
        <v>2330</v>
      </c>
      <c r="Q169">
        <v>5697</v>
      </c>
      <c r="R169" t="s">
        <v>2203</v>
      </c>
      <c r="S169" t="s">
        <v>2038</v>
      </c>
      <c r="T169">
        <v>202207</v>
      </c>
      <c r="U169" t="s">
        <v>185</v>
      </c>
      <c r="V169">
        <v>428158</v>
      </c>
    </row>
    <row r="170" spans="1:22">
      <c r="A170">
        <v>5364</v>
      </c>
      <c r="B170" t="s">
        <v>2330</v>
      </c>
      <c r="C170">
        <v>5697</v>
      </c>
      <c r="D170" t="s">
        <v>2203</v>
      </c>
      <c r="E170" t="s">
        <v>2038</v>
      </c>
      <c r="F170">
        <v>202111</v>
      </c>
      <c r="G170" t="s">
        <v>179</v>
      </c>
      <c r="H170">
        <v>17235.939999999999</v>
      </c>
      <c r="O170">
        <v>5364</v>
      </c>
      <c r="P170" t="s">
        <v>2330</v>
      </c>
      <c r="Q170">
        <v>5697</v>
      </c>
      <c r="R170" t="s">
        <v>2203</v>
      </c>
      <c r="S170" t="s">
        <v>2038</v>
      </c>
      <c r="T170">
        <v>202207</v>
      </c>
      <c r="U170" t="s">
        <v>187</v>
      </c>
      <c r="V170">
        <v>206327</v>
      </c>
    </row>
    <row r="171" spans="1:22">
      <c r="A171">
        <v>5364</v>
      </c>
      <c r="B171" t="s">
        <v>2330</v>
      </c>
      <c r="C171">
        <v>5697</v>
      </c>
      <c r="D171" t="s">
        <v>2203</v>
      </c>
      <c r="E171" t="s">
        <v>2038</v>
      </c>
      <c r="F171">
        <v>202111</v>
      </c>
      <c r="G171" t="s">
        <v>181</v>
      </c>
      <c r="H171">
        <v>9437.02</v>
      </c>
    </row>
    <row r="172" spans="1:22">
      <c r="A172">
        <v>5364</v>
      </c>
      <c r="B172" t="s">
        <v>2330</v>
      </c>
      <c r="C172">
        <v>5697</v>
      </c>
      <c r="D172" t="s">
        <v>2203</v>
      </c>
      <c r="E172" t="s">
        <v>2038</v>
      </c>
      <c r="F172">
        <v>202111</v>
      </c>
      <c r="G172" t="s">
        <v>183</v>
      </c>
      <c r="H172">
        <v>6039581</v>
      </c>
    </row>
    <row r="173" spans="1:22">
      <c r="A173">
        <v>5364</v>
      </c>
      <c r="B173" t="s">
        <v>2330</v>
      </c>
      <c r="C173">
        <v>5697</v>
      </c>
      <c r="D173" t="s">
        <v>2203</v>
      </c>
      <c r="E173" t="s">
        <v>2038</v>
      </c>
      <c r="F173">
        <v>202111</v>
      </c>
      <c r="G173" t="s">
        <v>185</v>
      </c>
      <c r="H173">
        <v>388357</v>
      </c>
    </row>
    <row r="174" spans="1:22">
      <c r="A174">
        <v>5364</v>
      </c>
      <c r="B174" t="s">
        <v>2330</v>
      </c>
      <c r="C174">
        <v>5697</v>
      </c>
      <c r="D174" t="s">
        <v>2203</v>
      </c>
      <c r="E174" t="s">
        <v>2038</v>
      </c>
      <c r="F174">
        <v>202111</v>
      </c>
      <c r="G174" t="s">
        <v>193</v>
      </c>
      <c r="H174">
        <v>0</v>
      </c>
    </row>
    <row r="175" spans="1:22">
      <c r="A175">
        <v>5364</v>
      </c>
      <c r="B175" t="s">
        <v>2330</v>
      </c>
      <c r="C175">
        <v>5697</v>
      </c>
      <c r="D175" t="s">
        <v>2203</v>
      </c>
      <c r="E175" t="s">
        <v>2038</v>
      </c>
      <c r="F175">
        <v>202111</v>
      </c>
      <c r="G175" t="s">
        <v>2172</v>
      </c>
      <c r="H175">
        <v>54075.94</v>
      </c>
    </row>
    <row r="176" spans="1:22">
      <c r="A176">
        <v>5364</v>
      </c>
      <c r="B176" t="s">
        <v>2330</v>
      </c>
      <c r="C176">
        <v>5697</v>
      </c>
      <c r="D176" t="s">
        <v>2203</v>
      </c>
      <c r="E176" t="s">
        <v>2038</v>
      </c>
      <c r="F176">
        <v>202111</v>
      </c>
      <c r="G176" t="s">
        <v>187</v>
      </c>
      <c r="H176">
        <v>219766</v>
      </c>
    </row>
    <row r="177" spans="1:8">
      <c r="A177">
        <v>5364</v>
      </c>
      <c r="B177" t="s">
        <v>2330</v>
      </c>
      <c r="C177">
        <v>5697</v>
      </c>
      <c r="D177" t="s">
        <v>2203</v>
      </c>
      <c r="E177" t="s">
        <v>2038</v>
      </c>
      <c r="F177">
        <v>202111</v>
      </c>
      <c r="G177" t="s">
        <v>2171</v>
      </c>
      <c r="H177">
        <v>144.21</v>
      </c>
    </row>
    <row r="178" spans="1:8">
      <c r="A178">
        <v>5364</v>
      </c>
      <c r="B178" t="s">
        <v>2330</v>
      </c>
      <c r="C178">
        <v>5697</v>
      </c>
      <c r="D178" t="s">
        <v>2203</v>
      </c>
      <c r="E178" t="s">
        <v>2038</v>
      </c>
      <c r="F178">
        <v>202111</v>
      </c>
      <c r="G178" t="s">
        <v>2168</v>
      </c>
      <c r="H178">
        <v>11.83</v>
      </c>
    </row>
    <row r="179" spans="1:8">
      <c r="A179">
        <v>5364</v>
      </c>
      <c r="B179" t="s">
        <v>2330</v>
      </c>
      <c r="C179">
        <v>5697</v>
      </c>
      <c r="D179" t="s">
        <v>2203</v>
      </c>
      <c r="E179" t="s">
        <v>2038</v>
      </c>
      <c r="F179">
        <v>202111</v>
      </c>
      <c r="G179" t="s">
        <v>2169</v>
      </c>
      <c r="H179">
        <v>21.22</v>
      </c>
    </row>
    <row r="180" spans="1:8">
      <c r="A180">
        <v>5364</v>
      </c>
      <c r="B180" t="s">
        <v>2330</v>
      </c>
      <c r="C180">
        <v>5697</v>
      </c>
      <c r="D180" t="s">
        <v>2203</v>
      </c>
      <c r="E180" t="s">
        <v>2038</v>
      </c>
      <c r="F180">
        <v>202111</v>
      </c>
      <c r="G180" t="s">
        <v>2170</v>
      </c>
      <c r="H180">
        <v>14.37</v>
      </c>
    </row>
    <row r="181" spans="1:8">
      <c r="A181">
        <v>5364</v>
      </c>
      <c r="B181" t="s">
        <v>2330</v>
      </c>
      <c r="C181">
        <v>5697</v>
      </c>
      <c r="D181" t="s">
        <v>2203</v>
      </c>
      <c r="E181" t="s">
        <v>2038</v>
      </c>
      <c r="F181">
        <v>202111</v>
      </c>
      <c r="G181" t="s">
        <v>2173</v>
      </c>
      <c r="H181">
        <v>1445880.55</v>
      </c>
    </row>
    <row r="182" spans="1:8">
      <c r="A182">
        <v>5364</v>
      </c>
      <c r="B182" t="s">
        <v>2330</v>
      </c>
      <c r="C182">
        <v>5697</v>
      </c>
      <c r="D182" t="s">
        <v>2203</v>
      </c>
      <c r="E182" t="s">
        <v>176</v>
      </c>
      <c r="F182">
        <v>202112</v>
      </c>
      <c r="G182" t="s">
        <v>191</v>
      </c>
      <c r="H182">
        <v>5553445</v>
      </c>
    </row>
    <row r="183" spans="1:8">
      <c r="A183">
        <v>5364</v>
      </c>
      <c r="B183" t="s">
        <v>2330</v>
      </c>
      <c r="C183">
        <v>5697</v>
      </c>
      <c r="D183" t="s">
        <v>2203</v>
      </c>
      <c r="E183" t="s">
        <v>176</v>
      </c>
      <c r="F183">
        <v>202112</v>
      </c>
      <c r="G183" t="s">
        <v>192</v>
      </c>
      <c r="H183">
        <v>375820</v>
      </c>
    </row>
    <row r="184" spans="1:8">
      <c r="A184">
        <v>5364</v>
      </c>
      <c r="B184" t="s">
        <v>2330</v>
      </c>
      <c r="C184">
        <v>5697</v>
      </c>
      <c r="D184" t="s">
        <v>2203</v>
      </c>
      <c r="E184" t="s">
        <v>176</v>
      </c>
      <c r="F184">
        <v>202112</v>
      </c>
      <c r="G184" t="s">
        <v>177</v>
      </c>
      <c r="H184">
        <v>0</v>
      </c>
    </row>
    <row r="185" spans="1:8">
      <c r="A185">
        <v>5364</v>
      </c>
      <c r="B185" t="s">
        <v>2330</v>
      </c>
      <c r="C185">
        <v>5697</v>
      </c>
      <c r="D185" t="s">
        <v>2203</v>
      </c>
      <c r="E185" t="s">
        <v>176</v>
      </c>
      <c r="F185">
        <v>202112</v>
      </c>
      <c r="G185" t="s">
        <v>179</v>
      </c>
      <c r="H185">
        <v>13662.6</v>
      </c>
    </row>
    <row r="186" spans="1:8">
      <c r="A186">
        <v>5364</v>
      </c>
      <c r="B186" t="s">
        <v>2330</v>
      </c>
      <c r="C186">
        <v>5697</v>
      </c>
      <c r="D186" t="s">
        <v>2203</v>
      </c>
      <c r="E186" t="s">
        <v>176</v>
      </c>
      <c r="F186">
        <v>202112</v>
      </c>
      <c r="G186" t="s">
        <v>181</v>
      </c>
      <c r="H186">
        <v>8122.2</v>
      </c>
    </row>
    <row r="187" spans="1:8">
      <c r="A187">
        <v>5364</v>
      </c>
      <c r="B187" t="s">
        <v>2330</v>
      </c>
      <c r="C187">
        <v>5697</v>
      </c>
      <c r="D187" t="s">
        <v>2203</v>
      </c>
      <c r="E187" t="s">
        <v>176</v>
      </c>
      <c r="F187">
        <v>202112</v>
      </c>
      <c r="G187" t="s">
        <v>183</v>
      </c>
      <c r="H187">
        <v>5553445</v>
      </c>
    </row>
    <row r="188" spans="1:8">
      <c r="A188">
        <v>5364</v>
      </c>
      <c r="B188" t="s">
        <v>2330</v>
      </c>
      <c r="C188">
        <v>5697</v>
      </c>
      <c r="D188" t="s">
        <v>2203</v>
      </c>
      <c r="E188" t="s">
        <v>176</v>
      </c>
      <c r="F188">
        <v>202112</v>
      </c>
      <c r="G188" t="s">
        <v>185</v>
      </c>
      <c r="H188">
        <v>375820</v>
      </c>
    </row>
    <row r="189" spans="1:8">
      <c r="A189">
        <v>5364</v>
      </c>
      <c r="B189" t="s">
        <v>2330</v>
      </c>
      <c r="C189">
        <v>5697</v>
      </c>
      <c r="D189" t="s">
        <v>2203</v>
      </c>
      <c r="E189" t="s">
        <v>176</v>
      </c>
      <c r="F189">
        <v>202112</v>
      </c>
      <c r="G189" t="s">
        <v>193</v>
      </c>
      <c r="H189">
        <v>0</v>
      </c>
    </row>
    <row r="190" spans="1:8">
      <c r="A190">
        <v>5364</v>
      </c>
      <c r="B190" t="s">
        <v>2330</v>
      </c>
      <c r="C190">
        <v>5697</v>
      </c>
      <c r="D190" t="s">
        <v>2203</v>
      </c>
      <c r="E190" t="s">
        <v>176</v>
      </c>
      <c r="F190">
        <v>202112</v>
      </c>
      <c r="G190" t="s">
        <v>2172</v>
      </c>
      <c r="H190">
        <v>47586.11</v>
      </c>
    </row>
    <row r="191" spans="1:8">
      <c r="A191">
        <v>5364</v>
      </c>
      <c r="B191" t="s">
        <v>2330</v>
      </c>
      <c r="C191">
        <v>5697</v>
      </c>
      <c r="D191" t="s">
        <v>2203</v>
      </c>
      <c r="E191" t="s">
        <v>176</v>
      </c>
      <c r="F191">
        <v>202112</v>
      </c>
      <c r="G191" t="s">
        <v>187</v>
      </c>
      <c r="H191">
        <v>0</v>
      </c>
    </row>
    <row r="192" spans="1:8">
      <c r="A192">
        <v>5364</v>
      </c>
      <c r="B192" t="s">
        <v>2330</v>
      </c>
      <c r="C192">
        <v>5697</v>
      </c>
      <c r="D192" t="s">
        <v>2203</v>
      </c>
      <c r="E192" t="s">
        <v>176</v>
      </c>
      <c r="F192">
        <v>202112</v>
      </c>
      <c r="G192" t="s">
        <v>2171</v>
      </c>
      <c r="H192">
        <v>144.21</v>
      </c>
    </row>
    <row r="193" spans="1:8">
      <c r="A193">
        <v>5364</v>
      </c>
      <c r="B193" t="s">
        <v>2330</v>
      </c>
      <c r="C193">
        <v>5697</v>
      </c>
      <c r="D193" t="s">
        <v>2203</v>
      </c>
      <c r="E193" t="s">
        <v>176</v>
      </c>
      <c r="F193">
        <v>202112</v>
      </c>
      <c r="G193" t="s">
        <v>2168</v>
      </c>
      <c r="H193">
        <v>11.26</v>
      </c>
    </row>
    <row r="194" spans="1:8">
      <c r="A194">
        <v>5364</v>
      </c>
      <c r="B194" t="s">
        <v>2330</v>
      </c>
      <c r="C194">
        <v>5697</v>
      </c>
      <c r="D194" t="s">
        <v>2203</v>
      </c>
      <c r="E194" t="s">
        <v>176</v>
      </c>
      <c r="F194">
        <v>202112</v>
      </c>
      <c r="G194" t="s">
        <v>2169</v>
      </c>
      <c r="H194">
        <v>21.11</v>
      </c>
    </row>
    <row r="195" spans="1:8">
      <c r="A195">
        <v>5364</v>
      </c>
      <c r="B195" t="s">
        <v>2330</v>
      </c>
      <c r="C195">
        <v>5697</v>
      </c>
      <c r="D195" t="s">
        <v>2203</v>
      </c>
      <c r="E195" t="s">
        <v>176</v>
      </c>
      <c r="F195">
        <v>202112</v>
      </c>
      <c r="G195" t="s">
        <v>2170</v>
      </c>
      <c r="H195">
        <v>7.49</v>
      </c>
    </row>
    <row r="196" spans="1:8">
      <c r="A196">
        <v>5364</v>
      </c>
      <c r="B196" t="s">
        <v>2330</v>
      </c>
      <c r="C196">
        <v>5697</v>
      </c>
      <c r="D196" t="s">
        <v>2203</v>
      </c>
      <c r="E196" t="s">
        <v>176</v>
      </c>
      <c r="F196">
        <v>202112</v>
      </c>
      <c r="G196" t="s">
        <v>2173</v>
      </c>
      <c r="H196">
        <v>1272356.1299999999</v>
      </c>
    </row>
    <row r="197" spans="1:8">
      <c r="A197">
        <v>5364</v>
      </c>
      <c r="B197" t="s">
        <v>2330</v>
      </c>
      <c r="C197">
        <v>5697</v>
      </c>
      <c r="D197" t="s">
        <v>2203</v>
      </c>
      <c r="E197" t="s">
        <v>2038</v>
      </c>
      <c r="F197">
        <v>202112</v>
      </c>
      <c r="G197" t="s">
        <v>191</v>
      </c>
      <c r="H197">
        <v>5534299</v>
      </c>
    </row>
    <row r="198" spans="1:8">
      <c r="A198">
        <v>5364</v>
      </c>
      <c r="B198" t="s">
        <v>2330</v>
      </c>
      <c r="C198">
        <v>5697</v>
      </c>
      <c r="D198" t="s">
        <v>2203</v>
      </c>
      <c r="E198" t="s">
        <v>2038</v>
      </c>
      <c r="F198">
        <v>202112</v>
      </c>
      <c r="G198" t="s">
        <v>192</v>
      </c>
      <c r="H198">
        <v>406526</v>
      </c>
    </row>
    <row r="199" spans="1:8">
      <c r="A199">
        <v>5364</v>
      </c>
      <c r="B199" t="s">
        <v>2330</v>
      </c>
      <c r="C199">
        <v>5697</v>
      </c>
      <c r="D199" t="s">
        <v>2203</v>
      </c>
      <c r="E199" t="s">
        <v>2038</v>
      </c>
      <c r="F199">
        <v>202112</v>
      </c>
      <c r="G199" t="s">
        <v>177</v>
      </c>
      <c r="H199">
        <v>0</v>
      </c>
    </row>
    <row r="200" spans="1:8">
      <c r="A200">
        <v>5364</v>
      </c>
      <c r="B200" t="s">
        <v>2330</v>
      </c>
      <c r="C200">
        <v>5697</v>
      </c>
      <c r="D200" t="s">
        <v>2203</v>
      </c>
      <c r="E200" t="s">
        <v>2038</v>
      </c>
      <c r="F200">
        <v>202112</v>
      </c>
      <c r="G200" t="s">
        <v>179</v>
      </c>
      <c r="H200">
        <v>17212.419999999998</v>
      </c>
    </row>
    <row r="201" spans="1:8">
      <c r="A201">
        <v>5364</v>
      </c>
      <c r="B201" t="s">
        <v>2330</v>
      </c>
      <c r="C201">
        <v>5697</v>
      </c>
      <c r="D201" t="s">
        <v>2203</v>
      </c>
      <c r="E201" t="s">
        <v>2038</v>
      </c>
      <c r="F201">
        <v>202112</v>
      </c>
      <c r="G201" t="s">
        <v>181</v>
      </c>
      <c r="H201">
        <v>9384.9599999999991</v>
      </c>
    </row>
    <row r="202" spans="1:8">
      <c r="A202">
        <v>5364</v>
      </c>
      <c r="B202" t="s">
        <v>2330</v>
      </c>
      <c r="C202">
        <v>5697</v>
      </c>
      <c r="D202" t="s">
        <v>2203</v>
      </c>
      <c r="E202" t="s">
        <v>2038</v>
      </c>
      <c r="F202">
        <v>202112</v>
      </c>
      <c r="G202" t="s">
        <v>183</v>
      </c>
      <c r="H202">
        <v>5734693</v>
      </c>
    </row>
    <row r="203" spans="1:8">
      <c r="A203">
        <v>5364</v>
      </c>
      <c r="B203" t="s">
        <v>2330</v>
      </c>
      <c r="C203">
        <v>5697</v>
      </c>
      <c r="D203" t="s">
        <v>2203</v>
      </c>
      <c r="E203" t="s">
        <v>2038</v>
      </c>
      <c r="F203">
        <v>202112</v>
      </c>
      <c r="G203" t="s">
        <v>185</v>
      </c>
      <c r="H203">
        <v>406526</v>
      </c>
    </row>
    <row r="204" spans="1:8">
      <c r="A204">
        <v>5364</v>
      </c>
      <c r="B204" t="s">
        <v>2330</v>
      </c>
      <c r="C204">
        <v>5697</v>
      </c>
      <c r="D204" t="s">
        <v>2203</v>
      </c>
      <c r="E204" t="s">
        <v>2038</v>
      </c>
      <c r="F204">
        <v>202112</v>
      </c>
      <c r="G204" t="s">
        <v>193</v>
      </c>
      <c r="H204">
        <v>0</v>
      </c>
    </row>
    <row r="205" spans="1:8">
      <c r="A205">
        <v>5364</v>
      </c>
      <c r="B205" t="s">
        <v>2330</v>
      </c>
      <c r="C205">
        <v>5697</v>
      </c>
      <c r="D205" t="s">
        <v>2203</v>
      </c>
      <c r="E205" t="s">
        <v>2038</v>
      </c>
      <c r="F205">
        <v>202112</v>
      </c>
      <c r="G205" t="s">
        <v>2172</v>
      </c>
      <c r="H205">
        <v>52364.2</v>
      </c>
    </row>
    <row r="206" spans="1:8">
      <c r="A206">
        <v>5364</v>
      </c>
      <c r="B206" t="s">
        <v>2330</v>
      </c>
      <c r="C206">
        <v>5697</v>
      </c>
      <c r="D206" t="s">
        <v>2203</v>
      </c>
      <c r="E206" t="s">
        <v>2038</v>
      </c>
      <c r="F206">
        <v>202112</v>
      </c>
      <c r="G206" t="s">
        <v>187</v>
      </c>
      <c r="H206">
        <v>200394</v>
      </c>
    </row>
    <row r="207" spans="1:8">
      <c r="A207">
        <v>5364</v>
      </c>
      <c r="B207" t="s">
        <v>2330</v>
      </c>
      <c r="C207">
        <v>5697</v>
      </c>
      <c r="D207" t="s">
        <v>2203</v>
      </c>
      <c r="E207" t="s">
        <v>2038</v>
      </c>
      <c r="F207">
        <v>202112</v>
      </c>
      <c r="G207" t="s">
        <v>2171</v>
      </c>
      <c r="H207">
        <v>144.21</v>
      </c>
    </row>
    <row r="208" spans="1:8">
      <c r="A208">
        <v>5364</v>
      </c>
      <c r="B208" t="s">
        <v>2330</v>
      </c>
      <c r="C208">
        <v>5697</v>
      </c>
      <c r="D208" t="s">
        <v>2203</v>
      </c>
      <c r="E208" t="s">
        <v>2038</v>
      </c>
      <c r="F208">
        <v>202112</v>
      </c>
      <c r="G208" t="s">
        <v>2168</v>
      </c>
      <c r="H208">
        <v>11.83</v>
      </c>
    </row>
    <row r="209" spans="1:8">
      <c r="A209">
        <v>5364</v>
      </c>
      <c r="B209" t="s">
        <v>2330</v>
      </c>
      <c r="C209">
        <v>5697</v>
      </c>
      <c r="D209" t="s">
        <v>2203</v>
      </c>
      <c r="E209" t="s">
        <v>2038</v>
      </c>
      <c r="F209">
        <v>202112</v>
      </c>
      <c r="G209" t="s">
        <v>2169</v>
      </c>
      <c r="H209">
        <v>21.22</v>
      </c>
    </row>
    <row r="210" spans="1:8">
      <c r="A210">
        <v>5364</v>
      </c>
      <c r="B210" t="s">
        <v>2330</v>
      </c>
      <c r="C210">
        <v>5697</v>
      </c>
      <c r="D210" t="s">
        <v>2203</v>
      </c>
      <c r="E210" t="s">
        <v>2038</v>
      </c>
      <c r="F210">
        <v>202112</v>
      </c>
      <c r="G210" t="s">
        <v>2170</v>
      </c>
      <c r="H210">
        <v>14.37</v>
      </c>
    </row>
    <row r="211" spans="1:8">
      <c r="A211">
        <v>5364</v>
      </c>
      <c r="B211" t="s">
        <v>2330</v>
      </c>
      <c r="C211">
        <v>5697</v>
      </c>
      <c r="D211" t="s">
        <v>2203</v>
      </c>
      <c r="E211" t="s">
        <v>2038</v>
      </c>
      <c r="F211">
        <v>202112</v>
      </c>
      <c r="G211" t="s">
        <v>2173</v>
      </c>
      <c r="H211">
        <v>1400111.62</v>
      </c>
    </row>
    <row r="212" spans="1:8">
      <c r="A212">
        <v>5364</v>
      </c>
      <c r="B212" t="s">
        <v>2330</v>
      </c>
      <c r="C212">
        <v>5697</v>
      </c>
      <c r="D212" t="s">
        <v>2203</v>
      </c>
      <c r="E212" t="s">
        <v>176</v>
      </c>
      <c r="F212">
        <v>202201</v>
      </c>
      <c r="G212" t="s">
        <v>191</v>
      </c>
      <c r="H212">
        <v>6035206</v>
      </c>
    </row>
    <row r="213" spans="1:8">
      <c r="A213">
        <v>5364</v>
      </c>
      <c r="B213" t="s">
        <v>2330</v>
      </c>
      <c r="C213">
        <v>5697</v>
      </c>
      <c r="D213" t="s">
        <v>2203</v>
      </c>
      <c r="E213" t="s">
        <v>176</v>
      </c>
      <c r="F213">
        <v>202201</v>
      </c>
      <c r="G213" t="s">
        <v>192</v>
      </c>
      <c r="H213">
        <v>337356</v>
      </c>
    </row>
    <row r="214" spans="1:8">
      <c r="A214">
        <v>5364</v>
      </c>
      <c r="B214" t="s">
        <v>2330</v>
      </c>
      <c r="C214">
        <v>5697</v>
      </c>
      <c r="D214" t="s">
        <v>2203</v>
      </c>
      <c r="E214" t="s">
        <v>176</v>
      </c>
      <c r="F214">
        <v>202201</v>
      </c>
      <c r="G214" t="s">
        <v>177</v>
      </c>
      <c r="H214">
        <v>0</v>
      </c>
    </row>
    <row r="215" spans="1:8">
      <c r="A215">
        <v>5364</v>
      </c>
      <c r="B215" t="s">
        <v>2330</v>
      </c>
      <c r="C215">
        <v>5697</v>
      </c>
      <c r="D215" t="s">
        <v>2203</v>
      </c>
      <c r="E215" t="s">
        <v>176</v>
      </c>
      <c r="F215">
        <v>202201</v>
      </c>
      <c r="G215" t="s">
        <v>179</v>
      </c>
      <c r="H215">
        <v>14498.4</v>
      </c>
    </row>
    <row r="216" spans="1:8">
      <c r="A216">
        <v>5364</v>
      </c>
      <c r="B216" t="s">
        <v>2330</v>
      </c>
      <c r="C216">
        <v>5697</v>
      </c>
      <c r="D216" t="s">
        <v>2203</v>
      </c>
      <c r="E216" t="s">
        <v>176</v>
      </c>
      <c r="F216">
        <v>202201</v>
      </c>
      <c r="G216" t="s">
        <v>181</v>
      </c>
      <c r="H216">
        <v>8109.6</v>
      </c>
    </row>
    <row r="217" spans="1:8">
      <c r="A217">
        <v>5364</v>
      </c>
      <c r="B217" t="s">
        <v>2330</v>
      </c>
      <c r="C217">
        <v>5697</v>
      </c>
      <c r="D217" t="s">
        <v>2203</v>
      </c>
      <c r="E217" t="s">
        <v>176</v>
      </c>
      <c r="F217">
        <v>202201</v>
      </c>
      <c r="G217" t="s">
        <v>183</v>
      </c>
      <c r="H217">
        <v>6035206</v>
      </c>
    </row>
    <row r="218" spans="1:8">
      <c r="A218">
        <v>5364</v>
      </c>
      <c r="B218" t="s">
        <v>2330</v>
      </c>
      <c r="C218">
        <v>5697</v>
      </c>
      <c r="D218" t="s">
        <v>2203</v>
      </c>
      <c r="E218" t="s">
        <v>176</v>
      </c>
      <c r="F218">
        <v>202201</v>
      </c>
      <c r="G218" t="s">
        <v>185</v>
      </c>
      <c r="H218">
        <v>337356</v>
      </c>
    </row>
    <row r="219" spans="1:8">
      <c r="A219">
        <v>5364</v>
      </c>
      <c r="B219" t="s">
        <v>2330</v>
      </c>
      <c r="C219">
        <v>5697</v>
      </c>
      <c r="D219" t="s">
        <v>2203</v>
      </c>
      <c r="E219" t="s">
        <v>176</v>
      </c>
      <c r="F219">
        <v>202201</v>
      </c>
      <c r="G219" t="s">
        <v>193</v>
      </c>
      <c r="H219">
        <v>0</v>
      </c>
    </row>
    <row r="220" spans="1:8">
      <c r="A220">
        <v>5364</v>
      </c>
      <c r="B220" t="s">
        <v>2330</v>
      </c>
      <c r="C220">
        <v>5697</v>
      </c>
      <c r="D220" t="s">
        <v>2203</v>
      </c>
      <c r="E220" t="s">
        <v>176</v>
      </c>
      <c r="F220">
        <v>202201</v>
      </c>
      <c r="G220" t="s">
        <v>2172</v>
      </c>
      <c r="H220">
        <v>64600.639999999999</v>
      </c>
    </row>
    <row r="221" spans="1:8">
      <c r="A221">
        <v>5364</v>
      </c>
      <c r="B221" t="s">
        <v>2330</v>
      </c>
      <c r="C221">
        <v>5697</v>
      </c>
      <c r="D221" t="s">
        <v>2203</v>
      </c>
      <c r="E221" t="s">
        <v>176</v>
      </c>
      <c r="F221">
        <v>202201</v>
      </c>
      <c r="G221" t="s">
        <v>187</v>
      </c>
      <c r="H221">
        <v>0</v>
      </c>
    </row>
    <row r="222" spans="1:8">
      <c r="A222">
        <v>5364</v>
      </c>
      <c r="B222" t="s">
        <v>2330</v>
      </c>
      <c r="C222">
        <v>5697</v>
      </c>
      <c r="D222" t="s">
        <v>2203</v>
      </c>
      <c r="E222" t="s">
        <v>176</v>
      </c>
      <c r="F222">
        <v>202201</v>
      </c>
      <c r="G222" t="s">
        <v>2171</v>
      </c>
      <c r="H222">
        <v>144.21</v>
      </c>
    </row>
    <row r="223" spans="1:8">
      <c r="A223">
        <v>5364</v>
      </c>
      <c r="B223" t="s">
        <v>2330</v>
      </c>
      <c r="C223">
        <v>5697</v>
      </c>
      <c r="D223" t="s">
        <v>2203</v>
      </c>
      <c r="E223" t="s">
        <v>176</v>
      </c>
      <c r="F223">
        <v>202201</v>
      </c>
      <c r="G223" t="s">
        <v>2168</v>
      </c>
      <c r="H223">
        <v>11.26</v>
      </c>
    </row>
    <row r="224" spans="1:8">
      <c r="A224">
        <v>5364</v>
      </c>
      <c r="B224" t="s">
        <v>2330</v>
      </c>
      <c r="C224">
        <v>5697</v>
      </c>
      <c r="D224" t="s">
        <v>2203</v>
      </c>
      <c r="E224" t="s">
        <v>176</v>
      </c>
      <c r="F224">
        <v>202201</v>
      </c>
      <c r="G224" t="s">
        <v>2169</v>
      </c>
      <c r="H224">
        <v>21.11</v>
      </c>
    </row>
    <row r="225" spans="1:8">
      <c r="A225">
        <v>5364</v>
      </c>
      <c r="B225" t="s">
        <v>2330</v>
      </c>
      <c r="C225">
        <v>5697</v>
      </c>
      <c r="D225" t="s">
        <v>2203</v>
      </c>
      <c r="E225" t="s">
        <v>176</v>
      </c>
      <c r="F225">
        <v>202201</v>
      </c>
      <c r="G225" t="s">
        <v>2170</v>
      </c>
      <c r="H225">
        <v>7.49</v>
      </c>
    </row>
    <row r="226" spans="1:8">
      <c r="A226">
        <v>5364</v>
      </c>
      <c r="B226" t="s">
        <v>2330</v>
      </c>
      <c r="C226">
        <v>5697</v>
      </c>
      <c r="D226" t="s">
        <v>2203</v>
      </c>
      <c r="E226" t="s">
        <v>176</v>
      </c>
      <c r="F226">
        <v>202201</v>
      </c>
      <c r="G226" t="s">
        <v>2173</v>
      </c>
      <c r="H226">
        <v>1365763.91</v>
      </c>
    </row>
    <row r="227" spans="1:8">
      <c r="A227">
        <v>5364</v>
      </c>
      <c r="B227" t="s">
        <v>2330</v>
      </c>
      <c r="C227">
        <v>5697</v>
      </c>
      <c r="D227" t="s">
        <v>2203</v>
      </c>
      <c r="E227" t="s">
        <v>2038</v>
      </c>
      <c r="F227">
        <v>202201</v>
      </c>
      <c r="G227" t="s">
        <v>191</v>
      </c>
      <c r="H227">
        <v>6161326</v>
      </c>
    </row>
    <row r="228" spans="1:8">
      <c r="A228">
        <v>5364</v>
      </c>
      <c r="B228" t="s">
        <v>2330</v>
      </c>
      <c r="C228">
        <v>5697</v>
      </c>
      <c r="D228" t="s">
        <v>2203</v>
      </c>
      <c r="E228" t="s">
        <v>2038</v>
      </c>
      <c r="F228">
        <v>202201</v>
      </c>
      <c r="G228" t="s">
        <v>192</v>
      </c>
      <c r="H228">
        <v>423437</v>
      </c>
    </row>
    <row r="229" spans="1:8">
      <c r="A229">
        <v>5364</v>
      </c>
      <c r="B229" t="s">
        <v>2330</v>
      </c>
      <c r="C229">
        <v>5697</v>
      </c>
      <c r="D229" t="s">
        <v>2203</v>
      </c>
      <c r="E229" t="s">
        <v>2038</v>
      </c>
      <c r="F229">
        <v>202201</v>
      </c>
      <c r="G229" t="s">
        <v>177</v>
      </c>
      <c r="H229">
        <v>0</v>
      </c>
    </row>
    <row r="230" spans="1:8">
      <c r="A230">
        <v>5364</v>
      </c>
      <c r="B230" t="s">
        <v>2330</v>
      </c>
      <c r="C230">
        <v>5697</v>
      </c>
      <c r="D230" t="s">
        <v>2203</v>
      </c>
      <c r="E230" t="s">
        <v>2038</v>
      </c>
      <c r="F230">
        <v>202201</v>
      </c>
      <c r="G230" t="s">
        <v>179</v>
      </c>
      <c r="H230">
        <v>17646.72</v>
      </c>
    </row>
    <row r="231" spans="1:8">
      <c r="A231">
        <v>5364</v>
      </c>
      <c r="B231" t="s">
        <v>2330</v>
      </c>
      <c r="C231">
        <v>5697</v>
      </c>
      <c r="D231" t="s">
        <v>2203</v>
      </c>
      <c r="E231" t="s">
        <v>2038</v>
      </c>
      <c r="F231">
        <v>202201</v>
      </c>
      <c r="G231" t="s">
        <v>181</v>
      </c>
      <c r="H231">
        <v>9658.7800000000007</v>
      </c>
    </row>
    <row r="232" spans="1:8">
      <c r="A232">
        <v>5364</v>
      </c>
      <c r="B232" t="s">
        <v>2330</v>
      </c>
      <c r="C232">
        <v>5697</v>
      </c>
      <c r="D232" t="s">
        <v>2203</v>
      </c>
      <c r="E232" t="s">
        <v>2038</v>
      </c>
      <c r="F232">
        <v>202201</v>
      </c>
      <c r="G232" t="s">
        <v>183</v>
      </c>
      <c r="H232">
        <v>6349941</v>
      </c>
    </row>
    <row r="233" spans="1:8">
      <c r="A233">
        <v>5364</v>
      </c>
      <c r="B233" t="s">
        <v>2330</v>
      </c>
      <c r="C233">
        <v>5697</v>
      </c>
      <c r="D233" t="s">
        <v>2203</v>
      </c>
      <c r="E233" t="s">
        <v>2038</v>
      </c>
      <c r="F233">
        <v>202201</v>
      </c>
      <c r="G233" t="s">
        <v>185</v>
      </c>
      <c r="H233">
        <v>423437</v>
      </c>
    </row>
    <row r="234" spans="1:8">
      <c r="A234">
        <v>5364</v>
      </c>
      <c r="B234" t="s">
        <v>2330</v>
      </c>
      <c r="C234">
        <v>5697</v>
      </c>
      <c r="D234" t="s">
        <v>2203</v>
      </c>
      <c r="E234" t="s">
        <v>2038</v>
      </c>
      <c r="F234">
        <v>202201</v>
      </c>
      <c r="G234" t="s">
        <v>193</v>
      </c>
      <c r="H234">
        <v>0</v>
      </c>
    </row>
    <row r="235" spans="1:8">
      <c r="A235">
        <v>5364</v>
      </c>
      <c r="B235" t="s">
        <v>2330</v>
      </c>
      <c r="C235">
        <v>5697</v>
      </c>
      <c r="D235" t="s">
        <v>2203</v>
      </c>
      <c r="E235" t="s">
        <v>2038</v>
      </c>
      <c r="F235">
        <v>202201</v>
      </c>
      <c r="G235" t="s">
        <v>2172</v>
      </c>
      <c r="H235">
        <v>72518.490000000005</v>
      </c>
    </row>
    <row r="236" spans="1:8">
      <c r="A236">
        <v>5364</v>
      </c>
      <c r="B236" t="s">
        <v>2330</v>
      </c>
      <c r="C236">
        <v>5697</v>
      </c>
      <c r="D236" t="s">
        <v>2203</v>
      </c>
      <c r="E236" t="s">
        <v>2038</v>
      </c>
      <c r="F236">
        <v>202201</v>
      </c>
      <c r="G236" t="s">
        <v>187</v>
      </c>
      <c r="H236">
        <v>188615</v>
      </c>
    </row>
    <row r="237" spans="1:8">
      <c r="A237">
        <v>5364</v>
      </c>
      <c r="B237" t="s">
        <v>2330</v>
      </c>
      <c r="C237">
        <v>5697</v>
      </c>
      <c r="D237" t="s">
        <v>2203</v>
      </c>
      <c r="E237" t="s">
        <v>2038</v>
      </c>
      <c r="F237">
        <v>202201</v>
      </c>
      <c r="G237" t="s">
        <v>2171</v>
      </c>
      <c r="H237">
        <v>144.21</v>
      </c>
    </row>
    <row r="238" spans="1:8">
      <c r="A238">
        <v>5364</v>
      </c>
      <c r="B238" t="s">
        <v>2330</v>
      </c>
      <c r="C238">
        <v>5697</v>
      </c>
      <c r="D238" t="s">
        <v>2203</v>
      </c>
      <c r="E238" t="s">
        <v>2038</v>
      </c>
      <c r="F238">
        <v>202201</v>
      </c>
      <c r="G238" t="s">
        <v>2168</v>
      </c>
      <c r="H238">
        <v>11.83</v>
      </c>
    </row>
    <row r="239" spans="1:8">
      <c r="A239">
        <v>5364</v>
      </c>
      <c r="B239" t="s">
        <v>2330</v>
      </c>
      <c r="C239">
        <v>5697</v>
      </c>
      <c r="D239" t="s">
        <v>2203</v>
      </c>
      <c r="E239" t="s">
        <v>2038</v>
      </c>
      <c r="F239">
        <v>202201</v>
      </c>
      <c r="G239" t="s">
        <v>2169</v>
      </c>
      <c r="H239">
        <v>21.22</v>
      </c>
    </row>
    <row r="240" spans="1:8">
      <c r="A240">
        <v>5364</v>
      </c>
      <c r="B240" t="s">
        <v>2330</v>
      </c>
      <c r="C240">
        <v>5697</v>
      </c>
      <c r="D240" t="s">
        <v>2203</v>
      </c>
      <c r="E240" t="s">
        <v>2038</v>
      </c>
      <c r="F240">
        <v>202201</v>
      </c>
      <c r="G240" t="s">
        <v>2170</v>
      </c>
      <c r="H240">
        <v>14.37</v>
      </c>
    </row>
    <row r="241" spans="1:8">
      <c r="A241">
        <v>5364</v>
      </c>
      <c r="B241" t="s">
        <v>2330</v>
      </c>
      <c r="C241">
        <v>5697</v>
      </c>
      <c r="D241" t="s">
        <v>2203</v>
      </c>
      <c r="E241" t="s">
        <v>2038</v>
      </c>
      <c r="F241">
        <v>202201</v>
      </c>
      <c r="G241" t="s">
        <v>2173</v>
      </c>
      <c r="H241">
        <v>1533160.53</v>
      </c>
    </row>
    <row r="242" spans="1:8">
      <c r="A242">
        <v>5364</v>
      </c>
      <c r="B242" t="s">
        <v>2330</v>
      </c>
      <c r="C242">
        <v>5697</v>
      </c>
      <c r="D242" t="s">
        <v>2203</v>
      </c>
      <c r="E242" t="s">
        <v>176</v>
      </c>
      <c r="F242">
        <v>202202</v>
      </c>
      <c r="G242" t="s">
        <v>191</v>
      </c>
      <c r="H242">
        <v>5519673</v>
      </c>
    </row>
    <row r="243" spans="1:8">
      <c r="A243">
        <v>5364</v>
      </c>
      <c r="B243" t="s">
        <v>2330</v>
      </c>
      <c r="C243">
        <v>5697</v>
      </c>
      <c r="D243" t="s">
        <v>2203</v>
      </c>
      <c r="E243" t="s">
        <v>176</v>
      </c>
      <c r="F243">
        <v>202202</v>
      </c>
      <c r="G243" t="s">
        <v>192</v>
      </c>
      <c r="H243">
        <v>314113</v>
      </c>
    </row>
    <row r="244" spans="1:8">
      <c r="A244">
        <v>5364</v>
      </c>
      <c r="B244" t="s">
        <v>2330</v>
      </c>
      <c r="C244">
        <v>5697</v>
      </c>
      <c r="D244" t="s">
        <v>2203</v>
      </c>
      <c r="E244" t="s">
        <v>176</v>
      </c>
      <c r="F244">
        <v>202202</v>
      </c>
      <c r="G244" t="s">
        <v>177</v>
      </c>
      <c r="H244">
        <v>0</v>
      </c>
    </row>
    <row r="245" spans="1:8">
      <c r="A245">
        <v>5364</v>
      </c>
      <c r="B245" t="s">
        <v>2330</v>
      </c>
      <c r="C245">
        <v>5697</v>
      </c>
      <c r="D245" t="s">
        <v>2203</v>
      </c>
      <c r="E245" t="s">
        <v>176</v>
      </c>
      <c r="F245">
        <v>202202</v>
      </c>
      <c r="G245" t="s">
        <v>179</v>
      </c>
      <c r="H245">
        <v>14078.4</v>
      </c>
    </row>
    <row r="246" spans="1:8">
      <c r="A246">
        <v>5364</v>
      </c>
      <c r="B246" t="s">
        <v>2330</v>
      </c>
      <c r="C246">
        <v>5697</v>
      </c>
      <c r="D246" t="s">
        <v>2203</v>
      </c>
      <c r="E246" t="s">
        <v>176</v>
      </c>
      <c r="F246">
        <v>202202</v>
      </c>
      <c r="G246" t="s">
        <v>181</v>
      </c>
      <c r="H246">
        <v>7962.6</v>
      </c>
    </row>
    <row r="247" spans="1:8">
      <c r="A247">
        <v>5364</v>
      </c>
      <c r="B247" t="s">
        <v>2330</v>
      </c>
      <c r="C247">
        <v>5697</v>
      </c>
      <c r="D247" t="s">
        <v>2203</v>
      </c>
      <c r="E247" t="s">
        <v>176</v>
      </c>
      <c r="F247">
        <v>202202</v>
      </c>
      <c r="G247" t="s">
        <v>183</v>
      </c>
      <c r="H247">
        <v>5519673</v>
      </c>
    </row>
    <row r="248" spans="1:8">
      <c r="A248">
        <v>5364</v>
      </c>
      <c r="B248" t="s">
        <v>2330</v>
      </c>
      <c r="C248">
        <v>5697</v>
      </c>
      <c r="D248" t="s">
        <v>2203</v>
      </c>
      <c r="E248" t="s">
        <v>176</v>
      </c>
      <c r="F248">
        <v>202202</v>
      </c>
      <c r="G248" t="s">
        <v>185</v>
      </c>
      <c r="H248">
        <v>314113</v>
      </c>
    </row>
    <row r="249" spans="1:8">
      <c r="A249">
        <v>5364</v>
      </c>
      <c r="B249" t="s">
        <v>2330</v>
      </c>
      <c r="C249">
        <v>5697</v>
      </c>
      <c r="D249" t="s">
        <v>2203</v>
      </c>
      <c r="E249" t="s">
        <v>176</v>
      </c>
      <c r="F249">
        <v>202202</v>
      </c>
      <c r="G249" t="s">
        <v>193</v>
      </c>
      <c r="H249">
        <v>0</v>
      </c>
    </row>
    <row r="250" spans="1:8">
      <c r="A250">
        <v>5364</v>
      </c>
      <c r="B250" t="s">
        <v>2330</v>
      </c>
      <c r="C250">
        <v>5697</v>
      </c>
      <c r="D250" t="s">
        <v>2203</v>
      </c>
      <c r="E250" t="s">
        <v>176</v>
      </c>
      <c r="F250">
        <v>202202</v>
      </c>
      <c r="G250" t="s">
        <v>2172</v>
      </c>
      <c r="H250">
        <v>35671.94</v>
      </c>
    </row>
    <row r="251" spans="1:8">
      <c r="A251">
        <v>5364</v>
      </c>
      <c r="B251" t="s">
        <v>2330</v>
      </c>
      <c r="C251">
        <v>5697</v>
      </c>
      <c r="D251" t="s">
        <v>2203</v>
      </c>
      <c r="E251" t="s">
        <v>176</v>
      </c>
      <c r="F251">
        <v>202202</v>
      </c>
      <c r="G251" t="s">
        <v>187</v>
      </c>
      <c r="H251">
        <v>0</v>
      </c>
    </row>
    <row r="252" spans="1:8">
      <c r="A252">
        <v>5364</v>
      </c>
      <c r="B252" t="s">
        <v>2330</v>
      </c>
      <c r="C252">
        <v>5697</v>
      </c>
      <c r="D252" t="s">
        <v>2203</v>
      </c>
      <c r="E252" t="s">
        <v>176</v>
      </c>
      <c r="F252">
        <v>202202</v>
      </c>
      <c r="G252" t="s">
        <v>2171</v>
      </c>
      <c r="H252">
        <v>144.21</v>
      </c>
    </row>
    <row r="253" spans="1:8">
      <c r="A253">
        <v>5364</v>
      </c>
      <c r="B253" t="s">
        <v>2330</v>
      </c>
      <c r="C253">
        <v>5697</v>
      </c>
      <c r="D253" t="s">
        <v>2203</v>
      </c>
      <c r="E253" t="s">
        <v>176</v>
      </c>
      <c r="F253">
        <v>202202</v>
      </c>
      <c r="G253" t="s">
        <v>2168</v>
      </c>
      <c r="H253">
        <v>11.26</v>
      </c>
    </row>
    <row r="254" spans="1:8">
      <c r="A254">
        <v>5364</v>
      </c>
      <c r="B254" t="s">
        <v>2330</v>
      </c>
      <c r="C254">
        <v>5697</v>
      </c>
      <c r="D254" t="s">
        <v>2203</v>
      </c>
      <c r="E254" t="s">
        <v>176</v>
      </c>
      <c r="F254">
        <v>202202</v>
      </c>
      <c r="G254" t="s">
        <v>2169</v>
      </c>
      <c r="H254">
        <v>21.11</v>
      </c>
    </row>
    <row r="255" spans="1:8">
      <c r="A255">
        <v>5364</v>
      </c>
      <c r="B255" t="s">
        <v>2330</v>
      </c>
      <c r="C255">
        <v>5697</v>
      </c>
      <c r="D255" t="s">
        <v>2203</v>
      </c>
      <c r="E255" t="s">
        <v>176</v>
      </c>
      <c r="F255">
        <v>202202</v>
      </c>
      <c r="G255" t="s">
        <v>2170</v>
      </c>
      <c r="H255">
        <v>7.49</v>
      </c>
    </row>
    <row r="256" spans="1:8">
      <c r="A256">
        <v>5364</v>
      </c>
      <c r="B256" t="s">
        <v>2330</v>
      </c>
      <c r="C256">
        <v>5697</v>
      </c>
      <c r="D256" t="s">
        <v>2203</v>
      </c>
      <c r="E256" t="s">
        <v>176</v>
      </c>
      <c r="F256">
        <v>202202</v>
      </c>
      <c r="G256" t="s">
        <v>2173</v>
      </c>
      <c r="H256">
        <v>1247270.53</v>
      </c>
    </row>
    <row r="257" spans="1:8">
      <c r="A257">
        <v>5364</v>
      </c>
      <c r="B257" t="s">
        <v>2330</v>
      </c>
      <c r="C257">
        <v>5697</v>
      </c>
      <c r="D257" t="s">
        <v>2203</v>
      </c>
      <c r="E257" t="s">
        <v>2038</v>
      </c>
      <c r="F257">
        <v>202202</v>
      </c>
      <c r="G257" t="s">
        <v>191</v>
      </c>
      <c r="H257">
        <v>6107033</v>
      </c>
    </row>
    <row r="258" spans="1:8">
      <c r="A258">
        <v>5364</v>
      </c>
      <c r="B258" t="s">
        <v>2330</v>
      </c>
      <c r="C258">
        <v>5697</v>
      </c>
      <c r="D258" t="s">
        <v>2203</v>
      </c>
      <c r="E258" t="s">
        <v>2038</v>
      </c>
      <c r="F258">
        <v>202202</v>
      </c>
      <c r="G258" t="s">
        <v>192</v>
      </c>
      <c r="H258">
        <v>403248</v>
      </c>
    </row>
    <row r="259" spans="1:8">
      <c r="A259">
        <v>5364</v>
      </c>
      <c r="B259" t="s">
        <v>2330</v>
      </c>
      <c r="C259">
        <v>5697</v>
      </c>
      <c r="D259" t="s">
        <v>2203</v>
      </c>
      <c r="E259" t="s">
        <v>2038</v>
      </c>
      <c r="F259">
        <v>202202</v>
      </c>
      <c r="G259" t="s">
        <v>177</v>
      </c>
      <c r="H259">
        <v>0</v>
      </c>
    </row>
    <row r="260" spans="1:8">
      <c r="A260">
        <v>5364</v>
      </c>
      <c r="B260" t="s">
        <v>2330</v>
      </c>
      <c r="C260">
        <v>5697</v>
      </c>
      <c r="D260" t="s">
        <v>2203</v>
      </c>
      <c r="E260" t="s">
        <v>2038</v>
      </c>
      <c r="F260">
        <v>202202</v>
      </c>
      <c r="G260" t="s">
        <v>179</v>
      </c>
      <c r="H260">
        <v>17814.63</v>
      </c>
    </row>
    <row r="261" spans="1:8">
      <c r="A261">
        <v>5364</v>
      </c>
      <c r="B261" t="s">
        <v>2330</v>
      </c>
      <c r="C261">
        <v>5697</v>
      </c>
      <c r="D261" t="s">
        <v>2203</v>
      </c>
      <c r="E261" t="s">
        <v>2038</v>
      </c>
      <c r="F261">
        <v>202202</v>
      </c>
      <c r="G261" t="s">
        <v>181</v>
      </c>
      <c r="H261">
        <v>9589.92</v>
      </c>
    </row>
    <row r="262" spans="1:8">
      <c r="A262">
        <v>5364</v>
      </c>
      <c r="B262" t="s">
        <v>2330</v>
      </c>
      <c r="C262">
        <v>5697</v>
      </c>
      <c r="D262" t="s">
        <v>2203</v>
      </c>
      <c r="E262" t="s">
        <v>2038</v>
      </c>
      <c r="F262">
        <v>202202</v>
      </c>
      <c r="G262" t="s">
        <v>183</v>
      </c>
      <c r="H262">
        <v>6275962</v>
      </c>
    </row>
    <row r="263" spans="1:8">
      <c r="A263">
        <v>5364</v>
      </c>
      <c r="B263" t="s">
        <v>2330</v>
      </c>
      <c r="C263">
        <v>5697</v>
      </c>
      <c r="D263" t="s">
        <v>2203</v>
      </c>
      <c r="E263" t="s">
        <v>2038</v>
      </c>
      <c r="F263">
        <v>202202</v>
      </c>
      <c r="G263" t="s">
        <v>185</v>
      </c>
      <c r="H263">
        <v>403248</v>
      </c>
    </row>
    <row r="264" spans="1:8">
      <c r="A264">
        <v>5364</v>
      </c>
      <c r="B264" t="s">
        <v>2330</v>
      </c>
      <c r="C264">
        <v>5697</v>
      </c>
      <c r="D264" t="s">
        <v>2203</v>
      </c>
      <c r="E264" t="s">
        <v>2038</v>
      </c>
      <c r="F264">
        <v>202202</v>
      </c>
      <c r="G264" t="s">
        <v>193</v>
      </c>
      <c r="H264">
        <v>0</v>
      </c>
    </row>
    <row r="265" spans="1:8">
      <c r="A265">
        <v>5364</v>
      </c>
      <c r="B265" t="s">
        <v>2330</v>
      </c>
      <c r="C265">
        <v>5697</v>
      </c>
      <c r="D265" t="s">
        <v>2203</v>
      </c>
      <c r="E265" t="s">
        <v>2038</v>
      </c>
      <c r="F265">
        <v>202202</v>
      </c>
      <c r="G265" t="s">
        <v>2172</v>
      </c>
      <c r="H265">
        <v>42663.68</v>
      </c>
    </row>
    <row r="266" spans="1:8">
      <c r="A266">
        <v>5364</v>
      </c>
      <c r="B266" t="s">
        <v>2330</v>
      </c>
      <c r="C266">
        <v>5697</v>
      </c>
      <c r="D266" t="s">
        <v>2203</v>
      </c>
      <c r="E266" t="s">
        <v>2038</v>
      </c>
      <c r="F266">
        <v>202202</v>
      </c>
      <c r="G266" t="s">
        <v>187</v>
      </c>
      <c r="H266">
        <v>168929</v>
      </c>
    </row>
    <row r="267" spans="1:8">
      <c r="A267">
        <v>5364</v>
      </c>
      <c r="B267" t="s">
        <v>2330</v>
      </c>
      <c r="C267">
        <v>5697</v>
      </c>
      <c r="D267" t="s">
        <v>2203</v>
      </c>
      <c r="E267" t="s">
        <v>2038</v>
      </c>
      <c r="F267">
        <v>202202</v>
      </c>
      <c r="G267" t="s">
        <v>2171</v>
      </c>
      <c r="H267">
        <v>144.21</v>
      </c>
    </row>
    <row r="268" spans="1:8">
      <c r="A268">
        <v>5364</v>
      </c>
      <c r="B268" t="s">
        <v>2330</v>
      </c>
      <c r="C268">
        <v>5697</v>
      </c>
      <c r="D268" t="s">
        <v>2203</v>
      </c>
      <c r="E268" t="s">
        <v>2038</v>
      </c>
      <c r="F268">
        <v>202202</v>
      </c>
      <c r="G268" t="s">
        <v>2168</v>
      </c>
      <c r="H268">
        <v>11.83</v>
      </c>
    </row>
    <row r="269" spans="1:8">
      <c r="A269">
        <v>5364</v>
      </c>
      <c r="B269" t="s">
        <v>2330</v>
      </c>
      <c r="C269">
        <v>5697</v>
      </c>
      <c r="D269" t="s">
        <v>2203</v>
      </c>
      <c r="E269" t="s">
        <v>2038</v>
      </c>
      <c r="F269">
        <v>202202</v>
      </c>
      <c r="G269" t="s">
        <v>2169</v>
      </c>
      <c r="H269">
        <v>21.22</v>
      </c>
    </row>
    <row r="270" spans="1:8">
      <c r="A270">
        <v>5364</v>
      </c>
      <c r="B270" t="s">
        <v>2330</v>
      </c>
      <c r="C270">
        <v>5697</v>
      </c>
      <c r="D270" t="s">
        <v>2203</v>
      </c>
      <c r="E270" t="s">
        <v>2038</v>
      </c>
      <c r="F270">
        <v>202202</v>
      </c>
      <c r="G270" t="s">
        <v>2170</v>
      </c>
      <c r="H270">
        <v>14.37</v>
      </c>
    </row>
    <row r="271" spans="1:8">
      <c r="A271">
        <v>5364</v>
      </c>
      <c r="B271" t="s">
        <v>2330</v>
      </c>
      <c r="C271">
        <v>5697</v>
      </c>
      <c r="D271" t="s">
        <v>2203</v>
      </c>
      <c r="E271" t="s">
        <v>2038</v>
      </c>
      <c r="F271">
        <v>202202</v>
      </c>
      <c r="G271" t="s">
        <v>2173</v>
      </c>
      <c r="H271">
        <v>1491736.71</v>
      </c>
    </row>
    <row r="272" spans="1:8">
      <c r="A272">
        <v>5364</v>
      </c>
      <c r="B272" t="s">
        <v>2330</v>
      </c>
      <c r="C272">
        <v>5697</v>
      </c>
      <c r="D272" t="s">
        <v>2203</v>
      </c>
      <c r="E272" t="s">
        <v>176</v>
      </c>
      <c r="F272">
        <v>202203</v>
      </c>
      <c r="G272" t="s">
        <v>191</v>
      </c>
      <c r="H272">
        <v>5833833</v>
      </c>
    </row>
    <row r="273" spans="1:8">
      <c r="A273">
        <v>5364</v>
      </c>
      <c r="B273" t="s">
        <v>2330</v>
      </c>
      <c r="C273">
        <v>5697</v>
      </c>
      <c r="D273" t="s">
        <v>2203</v>
      </c>
      <c r="E273" t="s">
        <v>176</v>
      </c>
      <c r="F273">
        <v>202203</v>
      </c>
      <c r="G273" t="s">
        <v>192</v>
      </c>
      <c r="H273">
        <v>342266</v>
      </c>
    </row>
    <row r="274" spans="1:8">
      <c r="A274">
        <v>5364</v>
      </c>
      <c r="B274" t="s">
        <v>2330</v>
      </c>
      <c r="C274">
        <v>5697</v>
      </c>
      <c r="D274" t="s">
        <v>2203</v>
      </c>
      <c r="E274" t="s">
        <v>176</v>
      </c>
      <c r="F274">
        <v>202203</v>
      </c>
      <c r="G274" t="s">
        <v>177</v>
      </c>
      <c r="H274">
        <v>0</v>
      </c>
    </row>
    <row r="275" spans="1:8">
      <c r="A275">
        <v>5364</v>
      </c>
      <c r="B275" t="s">
        <v>2330</v>
      </c>
      <c r="C275">
        <v>5697</v>
      </c>
      <c r="D275" t="s">
        <v>2203</v>
      </c>
      <c r="E275" t="s">
        <v>176</v>
      </c>
      <c r="F275">
        <v>202203</v>
      </c>
      <c r="G275" t="s">
        <v>179</v>
      </c>
      <c r="H275">
        <v>13633.2</v>
      </c>
    </row>
    <row r="276" spans="1:8">
      <c r="A276">
        <v>5364</v>
      </c>
      <c r="B276" t="s">
        <v>2330</v>
      </c>
      <c r="C276">
        <v>5697</v>
      </c>
      <c r="D276" t="s">
        <v>2203</v>
      </c>
      <c r="E276" t="s">
        <v>176</v>
      </c>
      <c r="F276">
        <v>202203</v>
      </c>
      <c r="G276" t="s">
        <v>181</v>
      </c>
      <c r="H276">
        <v>7870.2</v>
      </c>
    </row>
    <row r="277" spans="1:8">
      <c r="A277">
        <v>5364</v>
      </c>
      <c r="B277" t="s">
        <v>2330</v>
      </c>
      <c r="C277">
        <v>5697</v>
      </c>
      <c r="D277" t="s">
        <v>2203</v>
      </c>
      <c r="E277" t="s">
        <v>176</v>
      </c>
      <c r="F277">
        <v>202203</v>
      </c>
      <c r="G277" t="s">
        <v>183</v>
      </c>
      <c r="H277">
        <v>5833833</v>
      </c>
    </row>
    <row r="278" spans="1:8">
      <c r="A278">
        <v>5364</v>
      </c>
      <c r="B278" t="s">
        <v>2330</v>
      </c>
      <c r="C278">
        <v>5697</v>
      </c>
      <c r="D278" t="s">
        <v>2203</v>
      </c>
      <c r="E278" t="s">
        <v>176</v>
      </c>
      <c r="F278">
        <v>202203</v>
      </c>
      <c r="G278" t="s">
        <v>185</v>
      </c>
      <c r="H278">
        <v>342266</v>
      </c>
    </row>
    <row r="279" spans="1:8">
      <c r="A279">
        <v>5364</v>
      </c>
      <c r="B279" t="s">
        <v>2330</v>
      </c>
      <c r="C279">
        <v>5697</v>
      </c>
      <c r="D279" t="s">
        <v>2203</v>
      </c>
      <c r="E279" t="s">
        <v>176</v>
      </c>
      <c r="F279">
        <v>202203</v>
      </c>
      <c r="G279" t="s">
        <v>193</v>
      </c>
      <c r="H279">
        <v>0</v>
      </c>
    </row>
    <row r="280" spans="1:8">
      <c r="A280">
        <v>5364</v>
      </c>
      <c r="B280" t="s">
        <v>2330</v>
      </c>
      <c r="C280">
        <v>5697</v>
      </c>
      <c r="D280" t="s">
        <v>2203</v>
      </c>
      <c r="E280" t="s">
        <v>176</v>
      </c>
      <c r="F280">
        <v>202203</v>
      </c>
      <c r="G280" t="s">
        <v>2172</v>
      </c>
      <c r="H280">
        <v>42613.02</v>
      </c>
    </row>
    <row r="281" spans="1:8">
      <c r="A281">
        <v>5364</v>
      </c>
      <c r="B281" t="s">
        <v>2330</v>
      </c>
      <c r="C281">
        <v>5697</v>
      </c>
      <c r="D281" t="s">
        <v>2203</v>
      </c>
      <c r="E281" t="s">
        <v>176</v>
      </c>
      <c r="F281">
        <v>202203</v>
      </c>
      <c r="G281" t="s">
        <v>187</v>
      </c>
      <c r="H281">
        <v>0</v>
      </c>
    </row>
    <row r="282" spans="1:8">
      <c r="A282">
        <v>5364</v>
      </c>
      <c r="B282" t="s">
        <v>2330</v>
      </c>
      <c r="C282">
        <v>5697</v>
      </c>
      <c r="D282" t="s">
        <v>2203</v>
      </c>
      <c r="E282" t="s">
        <v>176</v>
      </c>
      <c r="F282">
        <v>202203</v>
      </c>
      <c r="G282" t="s">
        <v>2171</v>
      </c>
      <c r="H282">
        <v>144.21</v>
      </c>
    </row>
    <row r="283" spans="1:8">
      <c r="A283">
        <v>5364</v>
      </c>
      <c r="B283" t="s">
        <v>2330</v>
      </c>
      <c r="C283">
        <v>5697</v>
      </c>
      <c r="D283" t="s">
        <v>2203</v>
      </c>
      <c r="E283" t="s">
        <v>176</v>
      </c>
      <c r="F283">
        <v>202203</v>
      </c>
      <c r="G283" t="s">
        <v>2168</v>
      </c>
      <c r="H283">
        <v>11.26</v>
      </c>
    </row>
    <row r="284" spans="1:8">
      <c r="A284">
        <v>5364</v>
      </c>
      <c r="B284" t="s">
        <v>2330</v>
      </c>
      <c r="C284">
        <v>5697</v>
      </c>
      <c r="D284" t="s">
        <v>2203</v>
      </c>
      <c r="E284" t="s">
        <v>176</v>
      </c>
      <c r="F284">
        <v>202203</v>
      </c>
      <c r="G284" t="s">
        <v>2169</v>
      </c>
      <c r="H284">
        <v>21.11</v>
      </c>
    </row>
    <row r="285" spans="1:8">
      <c r="A285">
        <v>5364</v>
      </c>
      <c r="B285" t="s">
        <v>2330</v>
      </c>
      <c r="C285">
        <v>5697</v>
      </c>
      <c r="D285" t="s">
        <v>2203</v>
      </c>
      <c r="E285" t="s">
        <v>176</v>
      </c>
      <c r="F285">
        <v>202203</v>
      </c>
      <c r="G285" t="s">
        <v>2170</v>
      </c>
      <c r="H285">
        <v>7.49</v>
      </c>
    </row>
    <row r="286" spans="1:8">
      <c r="A286">
        <v>5364</v>
      </c>
      <c r="B286" t="s">
        <v>2330</v>
      </c>
      <c r="C286">
        <v>5697</v>
      </c>
      <c r="D286" t="s">
        <v>2203</v>
      </c>
      <c r="E286" t="s">
        <v>176</v>
      </c>
      <c r="F286">
        <v>202203</v>
      </c>
      <c r="G286" t="s">
        <v>2173</v>
      </c>
      <c r="H286">
        <v>1299176.98</v>
      </c>
    </row>
    <row r="287" spans="1:8">
      <c r="A287">
        <v>5364</v>
      </c>
      <c r="B287" t="s">
        <v>2330</v>
      </c>
      <c r="C287">
        <v>5697</v>
      </c>
      <c r="D287" t="s">
        <v>2203</v>
      </c>
      <c r="E287" t="s">
        <v>2038</v>
      </c>
      <c r="F287">
        <v>202203</v>
      </c>
      <c r="G287" t="s">
        <v>191</v>
      </c>
      <c r="H287">
        <v>6637471</v>
      </c>
    </row>
    <row r="288" spans="1:8">
      <c r="A288">
        <v>5364</v>
      </c>
      <c r="B288" t="s">
        <v>2330</v>
      </c>
      <c r="C288">
        <v>5697</v>
      </c>
      <c r="D288" t="s">
        <v>2203</v>
      </c>
      <c r="E288" t="s">
        <v>2038</v>
      </c>
      <c r="F288">
        <v>202203</v>
      </c>
      <c r="G288" t="s">
        <v>192</v>
      </c>
      <c r="H288">
        <v>450787</v>
      </c>
    </row>
    <row r="289" spans="1:8">
      <c r="A289">
        <v>5364</v>
      </c>
      <c r="B289" t="s">
        <v>2330</v>
      </c>
      <c r="C289">
        <v>5697</v>
      </c>
      <c r="D289" t="s">
        <v>2203</v>
      </c>
      <c r="E289" t="s">
        <v>2038</v>
      </c>
      <c r="F289">
        <v>202203</v>
      </c>
      <c r="G289" t="s">
        <v>177</v>
      </c>
      <c r="H289">
        <v>0</v>
      </c>
    </row>
    <row r="290" spans="1:8">
      <c r="A290">
        <v>5364</v>
      </c>
      <c r="B290" t="s">
        <v>2330</v>
      </c>
      <c r="C290">
        <v>5697</v>
      </c>
      <c r="D290" t="s">
        <v>2203</v>
      </c>
      <c r="E290" t="s">
        <v>2038</v>
      </c>
      <c r="F290">
        <v>202203</v>
      </c>
      <c r="G290" t="s">
        <v>179</v>
      </c>
      <c r="H290">
        <v>17639.91</v>
      </c>
    </row>
    <row r="291" spans="1:8">
      <c r="A291">
        <v>5364</v>
      </c>
      <c r="B291" t="s">
        <v>2330</v>
      </c>
      <c r="C291">
        <v>5697</v>
      </c>
      <c r="D291" t="s">
        <v>2203</v>
      </c>
      <c r="E291" t="s">
        <v>2038</v>
      </c>
      <c r="F291">
        <v>202203</v>
      </c>
      <c r="G291" t="s">
        <v>181</v>
      </c>
      <c r="H291">
        <v>9465.6</v>
      </c>
    </row>
    <row r="292" spans="1:8">
      <c r="A292">
        <v>5364</v>
      </c>
      <c r="B292" t="s">
        <v>2330</v>
      </c>
      <c r="C292">
        <v>5697</v>
      </c>
      <c r="D292" t="s">
        <v>2203</v>
      </c>
      <c r="E292" t="s">
        <v>2038</v>
      </c>
      <c r="F292">
        <v>202203</v>
      </c>
      <c r="G292" t="s">
        <v>183</v>
      </c>
      <c r="H292">
        <v>6820049</v>
      </c>
    </row>
    <row r="293" spans="1:8">
      <c r="A293">
        <v>5364</v>
      </c>
      <c r="B293" t="s">
        <v>2330</v>
      </c>
      <c r="C293">
        <v>5697</v>
      </c>
      <c r="D293" t="s">
        <v>2203</v>
      </c>
      <c r="E293" t="s">
        <v>2038</v>
      </c>
      <c r="F293">
        <v>202203</v>
      </c>
      <c r="G293" t="s">
        <v>185</v>
      </c>
      <c r="H293">
        <v>450787</v>
      </c>
    </row>
    <row r="294" spans="1:8">
      <c r="A294">
        <v>5364</v>
      </c>
      <c r="B294" t="s">
        <v>2330</v>
      </c>
      <c r="C294">
        <v>5697</v>
      </c>
      <c r="D294" t="s">
        <v>2203</v>
      </c>
      <c r="E294" t="s">
        <v>2038</v>
      </c>
      <c r="F294">
        <v>202203</v>
      </c>
      <c r="G294" t="s">
        <v>193</v>
      </c>
      <c r="H294">
        <v>0</v>
      </c>
    </row>
    <row r="295" spans="1:8">
      <c r="A295">
        <v>5364</v>
      </c>
      <c r="B295" t="s">
        <v>2330</v>
      </c>
      <c r="C295">
        <v>5697</v>
      </c>
      <c r="D295" t="s">
        <v>2203</v>
      </c>
      <c r="E295" t="s">
        <v>2038</v>
      </c>
      <c r="F295">
        <v>202203</v>
      </c>
      <c r="G295" t="s">
        <v>2172</v>
      </c>
      <c r="H295">
        <v>52096.800000000003</v>
      </c>
    </row>
    <row r="296" spans="1:8">
      <c r="A296">
        <v>5364</v>
      </c>
      <c r="B296" t="s">
        <v>2330</v>
      </c>
      <c r="C296">
        <v>5697</v>
      </c>
      <c r="D296" t="s">
        <v>2203</v>
      </c>
      <c r="E296" t="s">
        <v>2038</v>
      </c>
      <c r="F296">
        <v>202203</v>
      </c>
      <c r="G296" t="s">
        <v>187</v>
      </c>
      <c r="H296">
        <v>182578</v>
      </c>
    </row>
    <row r="297" spans="1:8">
      <c r="A297">
        <v>5364</v>
      </c>
      <c r="B297" t="s">
        <v>2330</v>
      </c>
      <c r="C297">
        <v>5697</v>
      </c>
      <c r="D297" t="s">
        <v>2203</v>
      </c>
      <c r="E297" t="s">
        <v>2038</v>
      </c>
      <c r="F297">
        <v>202203</v>
      </c>
      <c r="G297" t="s">
        <v>2171</v>
      </c>
      <c r="H297">
        <v>144.21</v>
      </c>
    </row>
    <row r="298" spans="1:8">
      <c r="A298">
        <v>5364</v>
      </c>
      <c r="B298" t="s">
        <v>2330</v>
      </c>
      <c r="C298">
        <v>5697</v>
      </c>
      <c r="D298" t="s">
        <v>2203</v>
      </c>
      <c r="E298" t="s">
        <v>2038</v>
      </c>
      <c r="F298">
        <v>202203</v>
      </c>
      <c r="G298" t="s">
        <v>2168</v>
      </c>
      <c r="H298">
        <v>11.83</v>
      </c>
    </row>
    <row r="299" spans="1:8">
      <c r="A299">
        <v>5364</v>
      </c>
      <c r="B299" t="s">
        <v>2330</v>
      </c>
      <c r="C299">
        <v>5697</v>
      </c>
      <c r="D299" t="s">
        <v>2203</v>
      </c>
      <c r="E299" t="s">
        <v>2038</v>
      </c>
      <c r="F299">
        <v>202203</v>
      </c>
      <c r="G299" t="s">
        <v>2169</v>
      </c>
      <c r="H299">
        <v>21.22</v>
      </c>
    </row>
    <row r="300" spans="1:8">
      <c r="A300">
        <v>5364</v>
      </c>
      <c r="B300" t="s">
        <v>2330</v>
      </c>
      <c r="C300">
        <v>5697</v>
      </c>
      <c r="D300" t="s">
        <v>2203</v>
      </c>
      <c r="E300" t="s">
        <v>2038</v>
      </c>
      <c r="F300">
        <v>202203</v>
      </c>
      <c r="G300" t="s">
        <v>2170</v>
      </c>
      <c r="H300">
        <v>14.37</v>
      </c>
    </row>
    <row r="301" spans="1:8">
      <c r="A301">
        <v>5364</v>
      </c>
      <c r="B301" t="s">
        <v>2330</v>
      </c>
      <c r="C301">
        <v>5697</v>
      </c>
      <c r="D301" t="s">
        <v>2203</v>
      </c>
      <c r="E301" t="s">
        <v>2038</v>
      </c>
      <c r="F301">
        <v>202203</v>
      </c>
      <c r="G301" t="s">
        <v>2173</v>
      </c>
      <c r="H301">
        <v>1588316.55</v>
      </c>
    </row>
    <row r="302" spans="1:8">
      <c r="A302">
        <v>5364</v>
      </c>
      <c r="B302" t="s">
        <v>2330</v>
      </c>
      <c r="C302">
        <v>5697</v>
      </c>
      <c r="D302" t="s">
        <v>2203</v>
      </c>
      <c r="E302" t="s">
        <v>176</v>
      </c>
      <c r="F302">
        <v>202204</v>
      </c>
      <c r="G302" t="s">
        <v>191</v>
      </c>
      <c r="H302">
        <v>5608020</v>
      </c>
    </row>
    <row r="303" spans="1:8">
      <c r="A303">
        <v>5364</v>
      </c>
      <c r="B303" t="s">
        <v>2330</v>
      </c>
      <c r="C303">
        <v>5697</v>
      </c>
      <c r="D303" t="s">
        <v>2203</v>
      </c>
      <c r="E303" t="s">
        <v>176</v>
      </c>
      <c r="F303">
        <v>202204</v>
      </c>
      <c r="G303" t="s">
        <v>192</v>
      </c>
      <c r="H303">
        <v>297473</v>
      </c>
    </row>
    <row r="304" spans="1:8">
      <c r="A304">
        <v>5364</v>
      </c>
      <c r="B304" t="s">
        <v>2330</v>
      </c>
      <c r="C304">
        <v>5697</v>
      </c>
      <c r="D304" t="s">
        <v>2203</v>
      </c>
      <c r="E304" t="s">
        <v>176</v>
      </c>
      <c r="F304">
        <v>202204</v>
      </c>
      <c r="G304" t="s">
        <v>177</v>
      </c>
      <c r="H304">
        <v>0</v>
      </c>
    </row>
    <row r="305" spans="1:8">
      <c r="A305">
        <v>5364</v>
      </c>
      <c r="B305" t="s">
        <v>2330</v>
      </c>
      <c r="C305">
        <v>5697</v>
      </c>
      <c r="D305" t="s">
        <v>2203</v>
      </c>
      <c r="E305" t="s">
        <v>176</v>
      </c>
      <c r="F305">
        <v>202204</v>
      </c>
      <c r="G305" t="s">
        <v>179</v>
      </c>
      <c r="H305">
        <v>13549.2</v>
      </c>
    </row>
    <row r="306" spans="1:8">
      <c r="A306">
        <v>5364</v>
      </c>
      <c r="B306" t="s">
        <v>2330</v>
      </c>
      <c r="C306">
        <v>5697</v>
      </c>
      <c r="D306" t="s">
        <v>2203</v>
      </c>
      <c r="E306" t="s">
        <v>176</v>
      </c>
      <c r="F306">
        <v>202204</v>
      </c>
      <c r="G306" t="s">
        <v>181</v>
      </c>
      <c r="H306">
        <v>8055</v>
      </c>
    </row>
    <row r="307" spans="1:8">
      <c r="A307">
        <v>5364</v>
      </c>
      <c r="B307" t="s">
        <v>2330</v>
      </c>
      <c r="C307">
        <v>5697</v>
      </c>
      <c r="D307" t="s">
        <v>2203</v>
      </c>
      <c r="E307" t="s">
        <v>176</v>
      </c>
      <c r="F307">
        <v>202204</v>
      </c>
      <c r="G307" t="s">
        <v>183</v>
      </c>
      <c r="H307">
        <v>5608020</v>
      </c>
    </row>
    <row r="308" spans="1:8">
      <c r="A308">
        <v>5364</v>
      </c>
      <c r="B308" t="s">
        <v>2330</v>
      </c>
      <c r="C308">
        <v>5697</v>
      </c>
      <c r="D308" t="s">
        <v>2203</v>
      </c>
      <c r="E308" t="s">
        <v>176</v>
      </c>
      <c r="F308">
        <v>202204</v>
      </c>
      <c r="G308" t="s">
        <v>185</v>
      </c>
      <c r="H308">
        <v>297473</v>
      </c>
    </row>
    <row r="309" spans="1:8">
      <c r="A309">
        <v>5364</v>
      </c>
      <c r="B309" t="s">
        <v>2330</v>
      </c>
      <c r="C309">
        <v>5697</v>
      </c>
      <c r="D309" t="s">
        <v>2203</v>
      </c>
      <c r="E309" t="s">
        <v>176</v>
      </c>
      <c r="F309">
        <v>202204</v>
      </c>
      <c r="G309" t="s">
        <v>193</v>
      </c>
      <c r="H309">
        <v>0</v>
      </c>
    </row>
    <row r="310" spans="1:8">
      <c r="A310">
        <v>5364</v>
      </c>
      <c r="B310" t="s">
        <v>2330</v>
      </c>
      <c r="C310">
        <v>5697</v>
      </c>
      <c r="D310" t="s">
        <v>2203</v>
      </c>
      <c r="E310" t="s">
        <v>176</v>
      </c>
      <c r="F310">
        <v>202204</v>
      </c>
      <c r="G310" t="s">
        <v>2172</v>
      </c>
      <c r="H310">
        <v>26645.47</v>
      </c>
    </row>
    <row r="311" spans="1:8">
      <c r="A311">
        <v>5364</v>
      </c>
      <c r="B311" t="s">
        <v>2330</v>
      </c>
      <c r="C311">
        <v>5697</v>
      </c>
      <c r="D311" t="s">
        <v>2203</v>
      </c>
      <c r="E311" t="s">
        <v>176</v>
      </c>
      <c r="F311">
        <v>202204</v>
      </c>
      <c r="G311" t="s">
        <v>187</v>
      </c>
      <c r="H311">
        <v>0</v>
      </c>
    </row>
    <row r="312" spans="1:8">
      <c r="A312">
        <v>5364</v>
      </c>
      <c r="B312" t="s">
        <v>2330</v>
      </c>
      <c r="C312">
        <v>5697</v>
      </c>
      <c r="D312" t="s">
        <v>2203</v>
      </c>
      <c r="E312" t="s">
        <v>176</v>
      </c>
      <c r="F312">
        <v>202204</v>
      </c>
      <c r="G312" t="s">
        <v>2171</v>
      </c>
      <c r="H312">
        <v>144.21</v>
      </c>
    </row>
    <row r="313" spans="1:8">
      <c r="A313">
        <v>5364</v>
      </c>
      <c r="B313" t="s">
        <v>2330</v>
      </c>
      <c r="C313">
        <v>5697</v>
      </c>
      <c r="D313" t="s">
        <v>2203</v>
      </c>
      <c r="E313" t="s">
        <v>176</v>
      </c>
      <c r="F313">
        <v>202204</v>
      </c>
      <c r="G313" t="s">
        <v>2168</v>
      </c>
      <c r="H313">
        <v>11.26</v>
      </c>
    </row>
    <row r="314" spans="1:8">
      <c r="A314">
        <v>5364</v>
      </c>
      <c r="B314" t="s">
        <v>2330</v>
      </c>
      <c r="C314">
        <v>5697</v>
      </c>
      <c r="D314" t="s">
        <v>2203</v>
      </c>
      <c r="E314" t="s">
        <v>176</v>
      </c>
      <c r="F314">
        <v>202204</v>
      </c>
      <c r="G314" t="s">
        <v>2169</v>
      </c>
      <c r="H314">
        <v>21.11</v>
      </c>
    </row>
    <row r="315" spans="1:8">
      <c r="A315">
        <v>5364</v>
      </c>
      <c r="B315" t="s">
        <v>2330</v>
      </c>
      <c r="C315">
        <v>5697</v>
      </c>
      <c r="D315" t="s">
        <v>2203</v>
      </c>
      <c r="E315" t="s">
        <v>176</v>
      </c>
      <c r="F315">
        <v>202204</v>
      </c>
      <c r="G315" t="s">
        <v>2170</v>
      </c>
      <c r="H315">
        <v>7.49</v>
      </c>
    </row>
    <row r="316" spans="1:8">
      <c r="A316">
        <v>5364</v>
      </c>
      <c r="B316" t="s">
        <v>2330</v>
      </c>
      <c r="C316">
        <v>5697</v>
      </c>
      <c r="D316" t="s">
        <v>2203</v>
      </c>
      <c r="E316" t="s">
        <v>176</v>
      </c>
      <c r="F316">
        <v>202204</v>
      </c>
      <c r="G316" t="s">
        <v>2173</v>
      </c>
      <c r="H316">
        <v>1245113.79</v>
      </c>
    </row>
    <row r="317" spans="1:8">
      <c r="A317">
        <v>5364</v>
      </c>
      <c r="B317" t="s">
        <v>2330</v>
      </c>
      <c r="C317">
        <v>5697</v>
      </c>
      <c r="D317" t="s">
        <v>2203</v>
      </c>
      <c r="E317" t="s">
        <v>2038</v>
      </c>
      <c r="F317">
        <v>202204</v>
      </c>
      <c r="G317" t="s">
        <v>191</v>
      </c>
      <c r="H317">
        <v>6044726</v>
      </c>
    </row>
    <row r="318" spans="1:8">
      <c r="A318">
        <v>5364</v>
      </c>
      <c r="B318" t="s">
        <v>2330</v>
      </c>
      <c r="C318">
        <v>5697</v>
      </c>
      <c r="D318" t="s">
        <v>2203</v>
      </c>
      <c r="E318" t="s">
        <v>2038</v>
      </c>
      <c r="F318">
        <v>202204</v>
      </c>
      <c r="G318" t="s">
        <v>192</v>
      </c>
      <c r="H318">
        <v>384118</v>
      </c>
    </row>
    <row r="319" spans="1:8">
      <c r="A319">
        <v>5364</v>
      </c>
      <c r="B319" t="s">
        <v>2330</v>
      </c>
      <c r="C319">
        <v>5697</v>
      </c>
      <c r="D319" t="s">
        <v>2203</v>
      </c>
      <c r="E319" t="s">
        <v>2038</v>
      </c>
      <c r="F319">
        <v>202204</v>
      </c>
      <c r="G319" t="s">
        <v>177</v>
      </c>
      <c r="H319">
        <v>0</v>
      </c>
    </row>
    <row r="320" spans="1:8">
      <c r="A320">
        <v>5364</v>
      </c>
      <c r="B320" t="s">
        <v>2330</v>
      </c>
      <c r="C320">
        <v>5697</v>
      </c>
      <c r="D320" t="s">
        <v>2203</v>
      </c>
      <c r="E320" t="s">
        <v>2038</v>
      </c>
      <c r="F320">
        <v>202204</v>
      </c>
      <c r="G320" t="s">
        <v>179</v>
      </c>
      <c r="H320">
        <v>17444.259999999998</v>
      </c>
    </row>
    <row r="321" spans="1:8">
      <c r="A321">
        <v>5364</v>
      </c>
      <c r="B321" t="s">
        <v>2330</v>
      </c>
      <c r="C321">
        <v>5697</v>
      </c>
      <c r="D321" t="s">
        <v>2203</v>
      </c>
      <c r="E321" t="s">
        <v>2038</v>
      </c>
      <c r="F321">
        <v>202204</v>
      </c>
      <c r="G321" t="s">
        <v>181</v>
      </c>
      <c r="H321">
        <v>9610.08</v>
      </c>
    </row>
    <row r="322" spans="1:8">
      <c r="A322">
        <v>5364</v>
      </c>
      <c r="B322" t="s">
        <v>2330</v>
      </c>
      <c r="C322">
        <v>5697</v>
      </c>
      <c r="D322" t="s">
        <v>2203</v>
      </c>
      <c r="E322" t="s">
        <v>2038</v>
      </c>
      <c r="F322">
        <v>202204</v>
      </c>
      <c r="G322" t="s">
        <v>183</v>
      </c>
      <c r="H322">
        <v>6220398</v>
      </c>
    </row>
    <row r="323" spans="1:8">
      <c r="A323">
        <v>5364</v>
      </c>
      <c r="B323" t="s">
        <v>2330</v>
      </c>
      <c r="C323">
        <v>5697</v>
      </c>
      <c r="D323" t="s">
        <v>2203</v>
      </c>
      <c r="E323" t="s">
        <v>2038</v>
      </c>
      <c r="F323">
        <v>202204</v>
      </c>
      <c r="G323" t="s">
        <v>185</v>
      </c>
      <c r="H323">
        <v>384118</v>
      </c>
    </row>
    <row r="324" spans="1:8">
      <c r="A324">
        <v>5364</v>
      </c>
      <c r="B324" t="s">
        <v>2330</v>
      </c>
      <c r="C324">
        <v>5697</v>
      </c>
      <c r="D324" t="s">
        <v>2203</v>
      </c>
      <c r="E324" t="s">
        <v>2038</v>
      </c>
      <c r="F324">
        <v>202204</v>
      </c>
      <c r="G324" t="s">
        <v>193</v>
      </c>
      <c r="H324">
        <v>0</v>
      </c>
    </row>
    <row r="325" spans="1:8">
      <c r="A325">
        <v>5364</v>
      </c>
      <c r="B325" t="s">
        <v>2330</v>
      </c>
      <c r="C325">
        <v>5697</v>
      </c>
      <c r="D325" t="s">
        <v>2203</v>
      </c>
      <c r="E325" t="s">
        <v>2038</v>
      </c>
      <c r="F325">
        <v>202204</v>
      </c>
      <c r="G325" t="s">
        <v>2172</v>
      </c>
      <c r="H325">
        <v>31321.58</v>
      </c>
    </row>
    <row r="326" spans="1:8">
      <c r="A326">
        <v>5364</v>
      </c>
      <c r="B326" t="s">
        <v>2330</v>
      </c>
      <c r="C326">
        <v>5697</v>
      </c>
      <c r="D326" t="s">
        <v>2203</v>
      </c>
      <c r="E326" t="s">
        <v>2038</v>
      </c>
      <c r="F326">
        <v>202204</v>
      </c>
      <c r="G326" t="s">
        <v>187</v>
      </c>
      <c r="H326">
        <v>175672</v>
      </c>
    </row>
    <row r="327" spans="1:8">
      <c r="A327">
        <v>5364</v>
      </c>
      <c r="B327" t="s">
        <v>2330</v>
      </c>
      <c r="C327">
        <v>5697</v>
      </c>
      <c r="D327" t="s">
        <v>2203</v>
      </c>
      <c r="E327" t="s">
        <v>2038</v>
      </c>
      <c r="F327">
        <v>202204</v>
      </c>
      <c r="G327" t="s">
        <v>2171</v>
      </c>
      <c r="H327">
        <v>144.21</v>
      </c>
    </row>
    <row r="328" spans="1:8">
      <c r="A328">
        <v>5364</v>
      </c>
      <c r="B328" t="s">
        <v>2330</v>
      </c>
      <c r="C328">
        <v>5697</v>
      </c>
      <c r="D328" t="s">
        <v>2203</v>
      </c>
      <c r="E328" t="s">
        <v>2038</v>
      </c>
      <c r="F328">
        <v>202204</v>
      </c>
      <c r="G328" t="s">
        <v>2168</v>
      </c>
      <c r="H328">
        <v>11.83</v>
      </c>
    </row>
    <row r="329" spans="1:8">
      <c r="A329">
        <v>5364</v>
      </c>
      <c r="B329" t="s">
        <v>2330</v>
      </c>
      <c r="C329">
        <v>5697</v>
      </c>
      <c r="D329" t="s">
        <v>2203</v>
      </c>
      <c r="E329" t="s">
        <v>2038</v>
      </c>
      <c r="F329">
        <v>202204</v>
      </c>
      <c r="G329" t="s">
        <v>2169</v>
      </c>
      <c r="H329">
        <v>21.22</v>
      </c>
    </row>
    <row r="330" spans="1:8">
      <c r="A330">
        <v>5364</v>
      </c>
      <c r="B330" t="s">
        <v>2330</v>
      </c>
      <c r="C330">
        <v>5697</v>
      </c>
      <c r="D330" t="s">
        <v>2203</v>
      </c>
      <c r="E330" t="s">
        <v>2038</v>
      </c>
      <c r="F330">
        <v>202204</v>
      </c>
      <c r="G330" t="s">
        <v>2170</v>
      </c>
      <c r="H330">
        <v>14.37</v>
      </c>
    </row>
    <row r="331" spans="1:8">
      <c r="A331">
        <v>5364</v>
      </c>
      <c r="B331" t="s">
        <v>2330</v>
      </c>
      <c r="C331">
        <v>5697</v>
      </c>
      <c r="D331" t="s">
        <v>2203</v>
      </c>
      <c r="E331" t="s">
        <v>2038</v>
      </c>
      <c r="F331">
        <v>202204</v>
      </c>
      <c r="G331" t="s">
        <v>2173</v>
      </c>
      <c r="H331">
        <v>1463623.51</v>
      </c>
    </row>
    <row r="332" spans="1:8">
      <c r="A332">
        <v>5364</v>
      </c>
      <c r="B332" t="s">
        <v>2330</v>
      </c>
      <c r="C332">
        <v>5697</v>
      </c>
      <c r="D332" t="s">
        <v>2203</v>
      </c>
      <c r="E332" t="s">
        <v>176</v>
      </c>
      <c r="F332">
        <v>202205</v>
      </c>
      <c r="G332" t="s">
        <v>191</v>
      </c>
      <c r="H332">
        <v>6030423</v>
      </c>
    </row>
    <row r="333" spans="1:8">
      <c r="A333">
        <v>5364</v>
      </c>
      <c r="B333" t="s">
        <v>2330</v>
      </c>
      <c r="C333">
        <v>5697</v>
      </c>
      <c r="D333" t="s">
        <v>2203</v>
      </c>
      <c r="E333" t="s">
        <v>176</v>
      </c>
      <c r="F333">
        <v>202205</v>
      </c>
      <c r="G333" t="s">
        <v>192</v>
      </c>
      <c r="H333">
        <v>354383</v>
      </c>
    </row>
    <row r="334" spans="1:8">
      <c r="A334">
        <v>5364</v>
      </c>
      <c r="B334" t="s">
        <v>2330</v>
      </c>
      <c r="C334">
        <v>5697</v>
      </c>
      <c r="D334" t="s">
        <v>2203</v>
      </c>
      <c r="E334" t="s">
        <v>176</v>
      </c>
      <c r="F334">
        <v>202205</v>
      </c>
      <c r="G334" t="s">
        <v>177</v>
      </c>
      <c r="H334">
        <v>0</v>
      </c>
    </row>
    <row r="335" spans="1:8">
      <c r="A335">
        <v>5364</v>
      </c>
      <c r="B335" t="s">
        <v>2330</v>
      </c>
      <c r="C335">
        <v>5697</v>
      </c>
      <c r="D335" t="s">
        <v>2203</v>
      </c>
      <c r="E335" t="s">
        <v>176</v>
      </c>
      <c r="F335">
        <v>202205</v>
      </c>
      <c r="G335" t="s">
        <v>179</v>
      </c>
      <c r="H335">
        <v>13696.2</v>
      </c>
    </row>
    <row r="336" spans="1:8">
      <c r="A336">
        <v>5364</v>
      </c>
      <c r="B336" t="s">
        <v>2330</v>
      </c>
      <c r="C336">
        <v>5697</v>
      </c>
      <c r="D336" t="s">
        <v>2203</v>
      </c>
      <c r="E336" t="s">
        <v>176</v>
      </c>
      <c r="F336">
        <v>202205</v>
      </c>
      <c r="G336" t="s">
        <v>181</v>
      </c>
      <c r="H336">
        <v>8206.2000000000007</v>
      </c>
    </row>
    <row r="337" spans="1:8">
      <c r="A337">
        <v>5364</v>
      </c>
      <c r="B337" t="s">
        <v>2330</v>
      </c>
      <c r="C337">
        <v>5697</v>
      </c>
      <c r="D337" t="s">
        <v>2203</v>
      </c>
      <c r="E337" t="s">
        <v>176</v>
      </c>
      <c r="F337">
        <v>202205</v>
      </c>
      <c r="G337" t="s">
        <v>183</v>
      </c>
      <c r="H337">
        <v>6030423</v>
      </c>
    </row>
    <row r="338" spans="1:8">
      <c r="A338">
        <v>5364</v>
      </c>
      <c r="B338" t="s">
        <v>2330</v>
      </c>
      <c r="C338">
        <v>5697</v>
      </c>
      <c r="D338" t="s">
        <v>2203</v>
      </c>
      <c r="E338" t="s">
        <v>176</v>
      </c>
      <c r="F338">
        <v>202205</v>
      </c>
      <c r="G338" t="s">
        <v>185</v>
      </c>
      <c r="H338">
        <v>354383</v>
      </c>
    </row>
    <row r="339" spans="1:8">
      <c r="A339">
        <v>5364</v>
      </c>
      <c r="B339" t="s">
        <v>2330</v>
      </c>
      <c r="C339">
        <v>5697</v>
      </c>
      <c r="D339" t="s">
        <v>2203</v>
      </c>
      <c r="E339" t="s">
        <v>176</v>
      </c>
      <c r="F339">
        <v>202205</v>
      </c>
      <c r="G339" t="s">
        <v>193</v>
      </c>
      <c r="H339">
        <v>0</v>
      </c>
    </row>
    <row r="340" spans="1:8">
      <c r="A340">
        <v>5364</v>
      </c>
      <c r="B340" t="s">
        <v>2330</v>
      </c>
      <c r="C340">
        <v>5697</v>
      </c>
      <c r="D340" t="s">
        <v>2203</v>
      </c>
      <c r="E340" t="s">
        <v>176</v>
      </c>
      <c r="F340">
        <v>202205</v>
      </c>
      <c r="G340" t="s">
        <v>2172</v>
      </c>
      <c r="H340">
        <v>42152.69</v>
      </c>
    </row>
    <row r="341" spans="1:8">
      <c r="A341">
        <v>5364</v>
      </c>
      <c r="B341" t="s">
        <v>2330</v>
      </c>
      <c r="C341">
        <v>5697</v>
      </c>
      <c r="D341" t="s">
        <v>2203</v>
      </c>
      <c r="E341" t="s">
        <v>176</v>
      </c>
      <c r="F341">
        <v>202205</v>
      </c>
      <c r="G341" t="s">
        <v>187</v>
      </c>
      <c r="H341">
        <v>0</v>
      </c>
    </row>
    <row r="342" spans="1:8">
      <c r="A342">
        <v>5364</v>
      </c>
      <c r="B342" t="s">
        <v>2330</v>
      </c>
      <c r="C342">
        <v>5697</v>
      </c>
      <c r="D342" t="s">
        <v>2203</v>
      </c>
      <c r="E342" t="s">
        <v>176</v>
      </c>
      <c r="F342">
        <v>202205</v>
      </c>
      <c r="G342" t="s">
        <v>2171</v>
      </c>
      <c r="H342">
        <v>144.21</v>
      </c>
    </row>
    <row r="343" spans="1:8">
      <c r="A343">
        <v>5364</v>
      </c>
      <c r="B343" t="s">
        <v>2330</v>
      </c>
      <c r="C343">
        <v>5697</v>
      </c>
      <c r="D343" t="s">
        <v>2203</v>
      </c>
      <c r="E343" t="s">
        <v>176</v>
      </c>
      <c r="F343">
        <v>202205</v>
      </c>
      <c r="G343" t="s">
        <v>2168</v>
      </c>
      <c r="H343">
        <v>11.26</v>
      </c>
    </row>
    <row r="344" spans="1:8">
      <c r="A344">
        <v>5364</v>
      </c>
      <c r="B344" t="s">
        <v>2330</v>
      </c>
      <c r="C344">
        <v>5697</v>
      </c>
      <c r="D344" t="s">
        <v>2203</v>
      </c>
      <c r="E344" t="s">
        <v>176</v>
      </c>
      <c r="F344">
        <v>202205</v>
      </c>
      <c r="G344" t="s">
        <v>2169</v>
      </c>
      <c r="H344">
        <v>21.11</v>
      </c>
    </row>
    <row r="345" spans="1:8">
      <c r="A345">
        <v>5364</v>
      </c>
      <c r="B345" t="s">
        <v>2330</v>
      </c>
      <c r="C345">
        <v>5697</v>
      </c>
      <c r="D345" t="s">
        <v>2203</v>
      </c>
      <c r="E345" t="s">
        <v>176</v>
      </c>
      <c r="F345">
        <v>202205</v>
      </c>
      <c r="G345" t="s">
        <v>2170</v>
      </c>
      <c r="H345">
        <v>7.49</v>
      </c>
    </row>
    <row r="346" spans="1:8">
      <c r="A346">
        <v>5364</v>
      </c>
      <c r="B346" t="s">
        <v>2330</v>
      </c>
      <c r="C346">
        <v>5697</v>
      </c>
      <c r="D346" t="s">
        <v>2203</v>
      </c>
      <c r="E346" t="s">
        <v>176</v>
      </c>
      <c r="F346">
        <v>202205</v>
      </c>
      <c r="G346" t="s">
        <v>2173</v>
      </c>
      <c r="H346">
        <v>1338179.8500000001</v>
      </c>
    </row>
    <row r="347" spans="1:8">
      <c r="A347">
        <v>5364</v>
      </c>
      <c r="B347" t="s">
        <v>2330</v>
      </c>
      <c r="C347">
        <v>5697</v>
      </c>
      <c r="D347" t="s">
        <v>2203</v>
      </c>
      <c r="E347" t="s">
        <v>2038</v>
      </c>
      <c r="F347">
        <v>202205</v>
      </c>
      <c r="G347" t="s">
        <v>191</v>
      </c>
      <c r="H347">
        <v>6081649</v>
      </c>
    </row>
    <row r="348" spans="1:8">
      <c r="A348">
        <v>5364</v>
      </c>
      <c r="B348" t="s">
        <v>2330</v>
      </c>
      <c r="C348">
        <v>5697</v>
      </c>
      <c r="D348" t="s">
        <v>2203</v>
      </c>
      <c r="E348" t="s">
        <v>2038</v>
      </c>
      <c r="F348">
        <v>202205</v>
      </c>
      <c r="G348" t="s">
        <v>192</v>
      </c>
      <c r="H348">
        <v>428549</v>
      </c>
    </row>
    <row r="349" spans="1:8">
      <c r="A349">
        <v>5364</v>
      </c>
      <c r="B349" t="s">
        <v>2330</v>
      </c>
      <c r="C349">
        <v>5697</v>
      </c>
      <c r="D349" t="s">
        <v>2203</v>
      </c>
      <c r="E349" t="s">
        <v>2038</v>
      </c>
      <c r="F349">
        <v>202205</v>
      </c>
      <c r="G349" t="s">
        <v>177</v>
      </c>
      <c r="H349">
        <v>0</v>
      </c>
    </row>
    <row r="350" spans="1:8">
      <c r="A350">
        <v>5364</v>
      </c>
      <c r="B350" t="s">
        <v>2330</v>
      </c>
      <c r="C350">
        <v>5697</v>
      </c>
      <c r="D350" t="s">
        <v>2203</v>
      </c>
      <c r="E350" t="s">
        <v>2038</v>
      </c>
      <c r="F350">
        <v>202205</v>
      </c>
      <c r="G350" t="s">
        <v>179</v>
      </c>
      <c r="H350">
        <v>16763.88</v>
      </c>
    </row>
    <row r="351" spans="1:8">
      <c r="A351">
        <v>5364</v>
      </c>
      <c r="B351" t="s">
        <v>2330</v>
      </c>
      <c r="C351">
        <v>5697</v>
      </c>
      <c r="D351" t="s">
        <v>2203</v>
      </c>
      <c r="E351" t="s">
        <v>2038</v>
      </c>
      <c r="F351">
        <v>202205</v>
      </c>
      <c r="G351" t="s">
        <v>181</v>
      </c>
      <c r="H351">
        <v>9924.2199999999993</v>
      </c>
    </row>
    <row r="352" spans="1:8">
      <c r="A352">
        <v>5364</v>
      </c>
      <c r="B352" t="s">
        <v>2330</v>
      </c>
      <c r="C352">
        <v>5697</v>
      </c>
      <c r="D352" t="s">
        <v>2203</v>
      </c>
      <c r="E352" t="s">
        <v>2038</v>
      </c>
      <c r="F352">
        <v>202205</v>
      </c>
      <c r="G352" t="s">
        <v>183</v>
      </c>
      <c r="H352">
        <v>6280921</v>
      </c>
    </row>
    <row r="353" spans="1:8">
      <c r="A353">
        <v>5364</v>
      </c>
      <c r="B353" t="s">
        <v>2330</v>
      </c>
      <c r="C353">
        <v>5697</v>
      </c>
      <c r="D353" t="s">
        <v>2203</v>
      </c>
      <c r="E353" t="s">
        <v>2038</v>
      </c>
      <c r="F353">
        <v>202205</v>
      </c>
      <c r="G353" t="s">
        <v>185</v>
      </c>
      <c r="H353">
        <v>428549</v>
      </c>
    </row>
    <row r="354" spans="1:8">
      <c r="A354">
        <v>5364</v>
      </c>
      <c r="B354" t="s">
        <v>2330</v>
      </c>
      <c r="C354">
        <v>5697</v>
      </c>
      <c r="D354" t="s">
        <v>2203</v>
      </c>
      <c r="E354" t="s">
        <v>2038</v>
      </c>
      <c r="F354">
        <v>202205</v>
      </c>
      <c r="G354" t="s">
        <v>193</v>
      </c>
      <c r="H354">
        <v>0</v>
      </c>
    </row>
    <row r="355" spans="1:8">
      <c r="A355">
        <v>5364</v>
      </c>
      <c r="B355" t="s">
        <v>2330</v>
      </c>
      <c r="C355">
        <v>5697</v>
      </c>
      <c r="D355" t="s">
        <v>2203</v>
      </c>
      <c r="E355" t="s">
        <v>2038</v>
      </c>
      <c r="F355">
        <v>202205</v>
      </c>
      <c r="G355" t="s">
        <v>2172</v>
      </c>
      <c r="H355">
        <v>46970.61</v>
      </c>
    </row>
    <row r="356" spans="1:8">
      <c r="A356">
        <v>5364</v>
      </c>
      <c r="B356" t="s">
        <v>2330</v>
      </c>
      <c r="C356">
        <v>5697</v>
      </c>
      <c r="D356" t="s">
        <v>2203</v>
      </c>
      <c r="E356" t="s">
        <v>2038</v>
      </c>
      <c r="F356">
        <v>202205</v>
      </c>
      <c r="G356" t="s">
        <v>187</v>
      </c>
      <c r="H356">
        <v>199272</v>
      </c>
    </row>
    <row r="357" spans="1:8">
      <c r="A357">
        <v>5364</v>
      </c>
      <c r="B357" t="s">
        <v>2330</v>
      </c>
      <c r="C357">
        <v>5697</v>
      </c>
      <c r="D357" t="s">
        <v>2203</v>
      </c>
      <c r="E357" t="s">
        <v>2038</v>
      </c>
      <c r="F357">
        <v>202205</v>
      </c>
      <c r="G357" t="s">
        <v>2171</v>
      </c>
      <c r="H357">
        <v>144.21</v>
      </c>
    </row>
    <row r="358" spans="1:8">
      <c r="A358">
        <v>5364</v>
      </c>
      <c r="B358" t="s">
        <v>2330</v>
      </c>
      <c r="C358">
        <v>5697</v>
      </c>
      <c r="D358" t="s">
        <v>2203</v>
      </c>
      <c r="E358" t="s">
        <v>2038</v>
      </c>
      <c r="F358">
        <v>202205</v>
      </c>
      <c r="G358" t="s">
        <v>2168</v>
      </c>
      <c r="H358">
        <v>11.83</v>
      </c>
    </row>
    <row r="359" spans="1:8">
      <c r="A359">
        <v>5364</v>
      </c>
      <c r="B359" t="s">
        <v>2330</v>
      </c>
      <c r="C359">
        <v>5697</v>
      </c>
      <c r="D359" t="s">
        <v>2203</v>
      </c>
      <c r="E359" t="s">
        <v>2038</v>
      </c>
      <c r="F359">
        <v>202205</v>
      </c>
      <c r="G359" t="s">
        <v>2169</v>
      </c>
      <c r="H359">
        <v>21.22</v>
      </c>
    </row>
    <row r="360" spans="1:8">
      <c r="A360">
        <v>5364</v>
      </c>
      <c r="B360" t="s">
        <v>2330</v>
      </c>
      <c r="C360">
        <v>5697</v>
      </c>
      <c r="D360" t="s">
        <v>2203</v>
      </c>
      <c r="E360" t="s">
        <v>2038</v>
      </c>
      <c r="F360">
        <v>202205</v>
      </c>
      <c r="G360" t="s">
        <v>2170</v>
      </c>
      <c r="H360">
        <v>14.37</v>
      </c>
    </row>
    <row r="361" spans="1:8">
      <c r="A361">
        <v>5364</v>
      </c>
      <c r="B361" t="s">
        <v>2330</v>
      </c>
      <c r="C361">
        <v>5697</v>
      </c>
      <c r="D361" t="s">
        <v>2203</v>
      </c>
      <c r="E361" t="s">
        <v>2038</v>
      </c>
      <c r="F361">
        <v>202205</v>
      </c>
      <c r="G361" t="s">
        <v>2173</v>
      </c>
      <c r="H361">
        <v>1491129.94</v>
      </c>
    </row>
    <row r="362" spans="1:8">
      <c r="A362">
        <v>5364</v>
      </c>
      <c r="B362" t="s">
        <v>2330</v>
      </c>
      <c r="C362">
        <v>5697</v>
      </c>
      <c r="D362" t="s">
        <v>2203</v>
      </c>
      <c r="E362" t="s">
        <v>176</v>
      </c>
      <c r="F362">
        <v>202206</v>
      </c>
      <c r="G362" t="s">
        <v>191</v>
      </c>
      <c r="H362">
        <v>6094305</v>
      </c>
    </row>
    <row r="363" spans="1:8">
      <c r="A363">
        <v>5364</v>
      </c>
      <c r="B363" t="s">
        <v>2330</v>
      </c>
      <c r="C363">
        <v>5697</v>
      </c>
      <c r="D363" t="s">
        <v>2203</v>
      </c>
      <c r="E363" t="s">
        <v>176</v>
      </c>
      <c r="F363">
        <v>202206</v>
      </c>
      <c r="G363" t="s">
        <v>192</v>
      </c>
      <c r="H363">
        <v>379272</v>
      </c>
    </row>
    <row r="364" spans="1:8">
      <c r="A364">
        <v>5364</v>
      </c>
      <c r="B364" t="s">
        <v>2330</v>
      </c>
      <c r="C364">
        <v>5697</v>
      </c>
      <c r="D364" t="s">
        <v>2203</v>
      </c>
      <c r="E364" t="s">
        <v>176</v>
      </c>
      <c r="F364">
        <v>202206</v>
      </c>
      <c r="G364" t="s">
        <v>177</v>
      </c>
      <c r="H364">
        <v>0</v>
      </c>
    </row>
    <row r="365" spans="1:8">
      <c r="A365">
        <v>5364</v>
      </c>
      <c r="B365" t="s">
        <v>2330</v>
      </c>
      <c r="C365">
        <v>5697</v>
      </c>
      <c r="D365" t="s">
        <v>2203</v>
      </c>
      <c r="E365" t="s">
        <v>176</v>
      </c>
      <c r="F365">
        <v>202206</v>
      </c>
      <c r="G365" t="s">
        <v>179</v>
      </c>
      <c r="H365">
        <v>13805.4</v>
      </c>
    </row>
    <row r="366" spans="1:8">
      <c r="A366">
        <v>5364</v>
      </c>
      <c r="B366" t="s">
        <v>2330</v>
      </c>
      <c r="C366">
        <v>5697</v>
      </c>
      <c r="D366" t="s">
        <v>2203</v>
      </c>
      <c r="E366" t="s">
        <v>176</v>
      </c>
      <c r="F366">
        <v>202206</v>
      </c>
      <c r="G366" t="s">
        <v>181</v>
      </c>
      <c r="H366">
        <v>8189.4</v>
      </c>
    </row>
    <row r="367" spans="1:8">
      <c r="A367">
        <v>5364</v>
      </c>
      <c r="B367" t="s">
        <v>2330</v>
      </c>
      <c r="C367">
        <v>5697</v>
      </c>
      <c r="D367" t="s">
        <v>2203</v>
      </c>
      <c r="E367" t="s">
        <v>176</v>
      </c>
      <c r="F367">
        <v>202206</v>
      </c>
      <c r="G367" t="s">
        <v>183</v>
      </c>
      <c r="H367">
        <v>6094305</v>
      </c>
    </row>
    <row r="368" spans="1:8">
      <c r="A368">
        <v>5364</v>
      </c>
      <c r="B368" t="s">
        <v>2330</v>
      </c>
      <c r="C368">
        <v>5697</v>
      </c>
      <c r="D368" t="s">
        <v>2203</v>
      </c>
      <c r="E368" t="s">
        <v>176</v>
      </c>
      <c r="F368">
        <v>202206</v>
      </c>
      <c r="G368" t="s">
        <v>185</v>
      </c>
      <c r="H368">
        <v>379272</v>
      </c>
    </row>
    <row r="369" spans="1:8">
      <c r="A369">
        <v>5364</v>
      </c>
      <c r="B369" t="s">
        <v>2330</v>
      </c>
      <c r="C369">
        <v>5697</v>
      </c>
      <c r="D369" t="s">
        <v>2203</v>
      </c>
      <c r="E369" t="s">
        <v>176</v>
      </c>
      <c r="F369">
        <v>202206</v>
      </c>
      <c r="G369" t="s">
        <v>193</v>
      </c>
      <c r="H369">
        <v>0</v>
      </c>
    </row>
    <row r="370" spans="1:8">
      <c r="A370">
        <v>5364</v>
      </c>
      <c r="B370" t="s">
        <v>2330</v>
      </c>
      <c r="C370">
        <v>5697</v>
      </c>
      <c r="D370" t="s">
        <v>2203</v>
      </c>
      <c r="E370" t="s">
        <v>176</v>
      </c>
      <c r="F370">
        <v>202206</v>
      </c>
      <c r="G370" t="s">
        <v>2172</v>
      </c>
      <c r="H370">
        <v>53888.160000000003</v>
      </c>
    </row>
    <row r="371" spans="1:8">
      <c r="A371">
        <v>5364</v>
      </c>
      <c r="B371" t="s">
        <v>2330</v>
      </c>
      <c r="C371">
        <v>5697</v>
      </c>
      <c r="D371" t="s">
        <v>2203</v>
      </c>
      <c r="E371" t="s">
        <v>176</v>
      </c>
      <c r="F371">
        <v>202206</v>
      </c>
      <c r="G371" t="s">
        <v>187</v>
      </c>
      <c r="H371">
        <v>0</v>
      </c>
    </row>
    <row r="372" spans="1:8">
      <c r="A372">
        <v>5364</v>
      </c>
      <c r="B372" t="s">
        <v>2330</v>
      </c>
      <c r="C372">
        <v>5697</v>
      </c>
      <c r="D372" t="s">
        <v>2203</v>
      </c>
      <c r="E372" t="s">
        <v>176</v>
      </c>
      <c r="F372">
        <v>202206</v>
      </c>
      <c r="G372" t="s">
        <v>2171</v>
      </c>
      <c r="H372">
        <v>144.21</v>
      </c>
    </row>
    <row r="373" spans="1:8">
      <c r="A373">
        <v>5364</v>
      </c>
      <c r="B373" t="s">
        <v>2330</v>
      </c>
      <c r="C373">
        <v>5697</v>
      </c>
      <c r="D373" t="s">
        <v>2203</v>
      </c>
      <c r="E373" t="s">
        <v>176</v>
      </c>
      <c r="F373">
        <v>202206</v>
      </c>
      <c r="G373" t="s">
        <v>2168</v>
      </c>
      <c r="H373">
        <v>11.26</v>
      </c>
    </row>
    <row r="374" spans="1:8">
      <c r="A374">
        <v>5364</v>
      </c>
      <c r="B374" t="s">
        <v>2330</v>
      </c>
      <c r="C374">
        <v>5697</v>
      </c>
      <c r="D374" t="s">
        <v>2203</v>
      </c>
      <c r="E374" t="s">
        <v>176</v>
      </c>
      <c r="F374">
        <v>202206</v>
      </c>
      <c r="G374" t="s">
        <v>2169</v>
      </c>
      <c r="H374">
        <v>21.11</v>
      </c>
    </row>
    <row r="375" spans="1:8">
      <c r="A375">
        <v>5364</v>
      </c>
      <c r="B375" t="s">
        <v>2330</v>
      </c>
      <c r="C375">
        <v>5697</v>
      </c>
      <c r="D375" t="s">
        <v>2203</v>
      </c>
      <c r="E375" t="s">
        <v>176</v>
      </c>
      <c r="F375">
        <v>202206</v>
      </c>
      <c r="G375" t="s">
        <v>2170</v>
      </c>
      <c r="H375">
        <v>7.49</v>
      </c>
    </row>
    <row r="376" spans="1:8">
      <c r="A376">
        <v>5364</v>
      </c>
      <c r="B376" t="s">
        <v>2330</v>
      </c>
      <c r="C376">
        <v>5697</v>
      </c>
      <c r="D376" t="s">
        <v>2203</v>
      </c>
      <c r="E376" t="s">
        <v>176</v>
      </c>
      <c r="F376">
        <v>202206</v>
      </c>
      <c r="G376" t="s">
        <v>2173</v>
      </c>
      <c r="H376">
        <v>1364256.82</v>
      </c>
    </row>
    <row r="377" spans="1:8">
      <c r="A377">
        <v>5364</v>
      </c>
      <c r="B377" t="s">
        <v>2330</v>
      </c>
      <c r="C377">
        <v>5697</v>
      </c>
      <c r="D377" t="s">
        <v>2203</v>
      </c>
      <c r="E377" t="s">
        <v>2038</v>
      </c>
      <c r="F377">
        <v>202206</v>
      </c>
      <c r="G377" t="s">
        <v>191</v>
      </c>
      <c r="H377">
        <v>5936470</v>
      </c>
    </row>
    <row r="378" spans="1:8">
      <c r="A378">
        <v>5364</v>
      </c>
      <c r="B378" t="s">
        <v>2330</v>
      </c>
      <c r="C378">
        <v>5697</v>
      </c>
      <c r="D378" t="s">
        <v>2203</v>
      </c>
      <c r="E378" t="s">
        <v>2038</v>
      </c>
      <c r="F378">
        <v>202206</v>
      </c>
      <c r="G378" t="s">
        <v>192</v>
      </c>
      <c r="H378">
        <v>451180</v>
      </c>
    </row>
    <row r="379" spans="1:8">
      <c r="A379">
        <v>5364</v>
      </c>
      <c r="B379" t="s">
        <v>2330</v>
      </c>
      <c r="C379">
        <v>5697</v>
      </c>
      <c r="D379" t="s">
        <v>2203</v>
      </c>
      <c r="E379" t="s">
        <v>2038</v>
      </c>
      <c r="F379">
        <v>202206</v>
      </c>
      <c r="G379" t="s">
        <v>177</v>
      </c>
      <c r="H379">
        <v>0</v>
      </c>
    </row>
    <row r="380" spans="1:8">
      <c r="A380">
        <v>5364</v>
      </c>
      <c r="B380" t="s">
        <v>2330</v>
      </c>
      <c r="C380">
        <v>5697</v>
      </c>
      <c r="D380" t="s">
        <v>2203</v>
      </c>
      <c r="E380" t="s">
        <v>2038</v>
      </c>
      <c r="F380">
        <v>202206</v>
      </c>
      <c r="G380" t="s">
        <v>179</v>
      </c>
      <c r="H380">
        <v>16948.68</v>
      </c>
    </row>
    <row r="381" spans="1:8">
      <c r="A381">
        <v>5364</v>
      </c>
      <c r="B381" t="s">
        <v>2330</v>
      </c>
      <c r="C381">
        <v>5697</v>
      </c>
      <c r="D381" t="s">
        <v>2203</v>
      </c>
      <c r="E381" t="s">
        <v>2038</v>
      </c>
      <c r="F381">
        <v>202206</v>
      </c>
      <c r="G381" t="s">
        <v>181</v>
      </c>
      <c r="H381">
        <v>10422.629999999999</v>
      </c>
    </row>
    <row r="382" spans="1:8">
      <c r="A382">
        <v>5364</v>
      </c>
      <c r="B382" t="s">
        <v>2330</v>
      </c>
      <c r="C382">
        <v>5697</v>
      </c>
      <c r="D382" t="s">
        <v>2203</v>
      </c>
      <c r="E382" t="s">
        <v>2038</v>
      </c>
      <c r="F382">
        <v>202206</v>
      </c>
      <c r="G382" t="s">
        <v>183</v>
      </c>
      <c r="H382">
        <v>6135605</v>
      </c>
    </row>
    <row r="383" spans="1:8">
      <c r="A383">
        <v>5364</v>
      </c>
      <c r="B383" t="s">
        <v>2330</v>
      </c>
      <c r="C383">
        <v>5697</v>
      </c>
      <c r="D383" t="s">
        <v>2203</v>
      </c>
      <c r="E383" t="s">
        <v>2038</v>
      </c>
      <c r="F383">
        <v>202206</v>
      </c>
      <c r="G383" t="s">
        <v>185</v>
      </c>
      <c r="H383">
        <v>451180</v>
      </c>
    </row>
    <row r="384" spans="1:8">
      <c r="A384">
        <v>5364</v>
      </c>
      <c r="B384" t="s">
        <v>2330</v>
      </c>
      <c r="C384">
        <v>5697</v>
      </c>
      <c r="D384" t="s">
        <v>2203</v>
      </c>
      <c r="E384" t="s">
        <v>2038</v>
      </c>
      <c r="F384">
        <v>202206</v>
      </c>
      <c r="G384" t="s">
        <v>193</v>
      </c>
      <c r="H384">
        <v>0</v>
      </c>
    </row>
    <row r="385" spans="1:8">
      <c r="A385">
        <v>5364</v>
      </c>
      <c r="B385" t="s">
        <v>2330</v>
      </c>
      <c r="C385">
        <v>5697</v>
      </c>
      <c r="D385" t="s">
        <v>2203</v>
      </c>
      <c r="E385" t="s">
        <v>2038</v>
      </c>
      <c r="F385">
        <v>202206</v>
      </c>
      <c r="G385" t="s">
        <v>2172</v>
      </c>
      <c r="H385">
        <v>59115.78</v>
      </c>
    </row>
    <row r="386" spans="1:8">
      <c r="A386">
        <v>5364</v>
      </c>
      <c r="B386" t="s">
        <v>2330</v>
      </c>
      <c r="C386">
        <v>5697</v>
      </c>
      <c r="D386" t="s">
        <v>2203</v>
      </c>
      <c r="E386" t="s">
        <v>2038</v>
      </c>
      <c r="F386">
        <v>202206</v>
      </c>
      <c r="G386" t="s">
        <v>187</v>
      </c>
      <c r="H386">
        <v>199135</v>
      </c>
    </row>
    <row r="387" spans="1:8">
      <c r="A387">
        <v>5364</v>
      </c>
      <c r="B387" t="s">
        <v>2330</v>
      </c>
      <c r="C387">
        <v>5697</v>
      </c>
      <c r="D387" t="s">
        <v>2203</v>
      </c>
      <c r="E387" t="s">
        <v>2038</v>
      </c>
      <c r="F387">
        <v>202206</v>
      </c>
      <c r="G387" t="s">
        <v>2171</v>
      </c>
      <c r="H387">
        <v>144.21</v>
      </c>
    </row>
    <row r="388" spans="1:8">
      <c r="A388">
        <v>5364</v>
      </c>
      <c r="B388" t="s">
        <v>2330</v>
      </c>
      <c r="C388">
        <v>5697</v>
      </c>
      <c r="D388" t="s">
        <v>2203</v>
      </c>
      <c r="E388" t="s">
        <v>2038</v>
      </c>
      <c r="F388">
        <v>202206</v>
      </c>
      <c r="G388" t="s">
        <v>2168</v>
      </c>
      <c r="H388">
        <v>11.83</v>
      </c>
    </row>
    <row r="389" spans="1:8">
      <c r="A389">
        <v>5364</v>
      </c>
      <c r="B389" t="s">
        <v>2330</v>
      </c>
      <c r="C389">
        <v>5697</v>
      </c>
      <c r="D389" t="s">
        <v>2203</v>
      </c>
      <c r="E389" t="s">
        <v>2038</v>
      </c>
      <c r="F389">
        <v>202206</v>
      </c>
      <c r="G389" t="s">
        <v>2169</v>
      </c>
      <c r="H389">
        <v>21.22</v>
      </c>
    </row>
    <row r="390" spans="1:8">
      <c r="A390">
        <v>5364</v>
      </c>
      <c r="B390" t="s">
        <v>2330</v>
      </c>
      <c r="C390">
        <v>5697</v>
      </c>
      <c r="D390" t="s">
        <v>2203</v>
      </c>
      <c r="E390" t="s">
        <v>2038</v>
      </c>
      <c r="F390">
        <v>202206</v>
      </c>
      <c r="G390" t="s">
        <v>2170</v>
      </c>
      <c r="H390">
        <v>14.37</v>
      </c>
    </row>
    <row r="391" spans="1:8">
      <c r="A391">
        <v>5364</v>
      </c>
      <c r="B391" t="s">
        <v>2330</v>
      </c>
      <c r="C391">
        <v>5697</v>
      </c>
      <c r="D391" t="s">
        <v>2203</v>
      </c>
      <c r="E391" t="s">
        <v>2038</v>
      </c>
      <c r="F391">
        <v>202206</v>
      </c>
      <c r="G391" t="s">
        <v>2173</v>
      </c>
      <c r="H391">
        <v>1496601.95</v>
      </c>
    </row>
    <row r="392" spans="1:8">
      <c r="A392">
        <v>5364</v>
      </c>
      <c r="B392" t="s">
        <v>2330</v>
      </c>
      <c r="C392">
        <v>5697</v>
      </c>
      <c r="D392" t="s">
        <v>2203</v>
      </c>
      <c r="E392" t="s">
        <v>176</v>
      </c>
      <c r="F392">
        <v>202207</v>
      </c>
      <c r="G392" t="s">
        <v>191</v>
      </c>
      <c r="H392">
        <v>5881062</v>
      </c>
    </row>
    <row r="393" spans="1:8">
      <c r="A393">
        <v>5364</v>
      </c>
      <c r="B393" t="s">
        <v>2330</v>
      </c>
      <c r="C393">
        <v>5697</v>
      </c>
      <c r="D393" t="s">
        <v>2203</v>
      </c>
      <c r="E393" t="s">
        <v>176</v>
      </c>
      <c r="F393">
        <v>202207</v>
      </c>
      <c r="G393" t="s">
        <v>192</v>
      </c>
      <c r="H393">
        <v>356227</v>
      </c>
    </row>
    <row r="394" spans="1:8">
      <c r="A394">
        <v>5364</v>
      </c>
      <c r="B394" t="s">
        <v>2330</v>
      </c>
      <c r="C394">
        <v>5697</v>
      </c>
      <c r="D394" t="s">
        <v>2203</v>
      </c>
      <c r="E394" t="s">
        <v>176</v>
      </c>
      <c r="F394">
        <v>202207</v>
      </c>
      <c r="G394" t="s">
        <v>177</v>
      </c>
      <c r="H394">
        <v>0</v>
      </c>
    </row>
    <row r="395" spans="1:8">
      <c r="A395">
        <v>5364</v>
      </c>
      <c r="B395" t="s">
        <v>2330</v>
      </c>
      <c r="C395">
        <v>5697</v>
      </c>
      <c r="D395" t="s">
        <v>2203</v>
      </c>
      <c r="E395" t="s">
        <v>176</v>
      </c>
      <c r="F395">
        <v>202207</v>
      </c>
      <c r="G395" t="s">
        <v>179</v>
      </c>
      <c r="H395">
        <v>13801.2</v>
      </c>
    </row>
    <row r="396" spans="1:8">
      <c r="A396">
        <v>5364</v>
      </c>
      <c r="B396" t="s">
        <v>2330</v>
      </c>
      <c r="C396">
        <v>5697</v>
      </c>
      <c r="D396" t="s">
        <v>2203</v>
      </c>
      <c r="E396" t="s">
        <v>176</v>
      </c>
      <c r="F396">
        <v>202207</v>
      </c>
      <c r="G396" t="s">
        <v>181</v>
      </c>
      <c r="H396">
        <v>8193.6</v>
      </c>
    </row>
    <row r="397" spans="1:8">
      <c r="A397">
        <v>5364</v>
      </c>
      <c r="B397" t="s">
        <v>2330</v>
      </c>
      <c r="C397">
        <v>5697</v>
      </c>
      <c r="D397" t="s">
        <v>2203</v>
      </c>
      <c r="E397" t="s">
        <v>176</v>
      </c>
      <c r="F397">
        <v>202207</v>
      </c>
      <c r="G397" t="s">
        <v>183</v>
      </c>
      <c r="H397">
        <v>5881062</v>
      </c>
    </row>
    <row r="398" spans="1:8">
      <c r="A398">
        <v>5364</v>
      </c>
      <c r="B398" t="s">
        <v>2330</v>
      </c>
      <c r="C398">
        <v>5697</v>
      </c>
      <c r="D398" t="s">
        <v>2203</v>
      </c>
      <c r="E398" t="s">
        <v>176</v>
      </c>
      <c r="F398">
        <v>202207</v>
      </c>
      <c r="G398" t="s">
        <v>185</v>
      </c>
      <c r="H398">
        <v>356227</v>
      </c>
    </row>
    <row r="399" spans="1:8">
      <c r="A399">
        <v>5364</v>
      </c>
      <c r="B399" t="s">
        <v>2330</v>
      </c>
      <c r="C399">
        <v>5697</v>
      </c>
      <c r="D399" t="s">
        <v>2203</v>
      </c>
      <c r="E399" t="s">
        <v>176</v>
      </c>
      <c r="F399">
        <v>202207</v>
      </c>
      <c r="G399" t="s">
        <v>193</v>
      </c>
      <c r="H399">
        <v>0</v>
      </c>
    </row>
    <row r="400" spans="1:8">
      <c r="A400">
        <v>5364</v>
      </c>
      <c r="B400" t="s">
        <v>2330</v>
      </c>
      <c r="C400">
        <v>5697</v>
      </c>
      <c r="D400" t="s">
        <v>2203</v>
      </c>
      <c r="E400" t="s">
        <v>176</v>
      </c>
      <c r="F400">
        <v>202207</v>
      </c>
      <c r="G400" t="s">
        <v>2172</v>
      </c>
      <c r="H400">
        <v>67223.62</v>
      </c>
    </row>
    <row r="401" spans="1:8">
      <c r="A401">
        <v>5364</v>
      </c>
      <c r="B401" t="s">
        <v>2330</v>
      </c>
      <c r="C401">
        <v>5697</v>
      </c>
      <c r="D401" t="s">
        <v>2203</v>
      </c>
      <c r="E401" t="s">
        <v>176</v>
      </c>
      <c r="F401">
        <v>202207</v>
      </c>
      <c r="G401" t="s">
        <v>187</v>
      </c>
      <c r="H401">
        <v>0</v>
      </c>
    </row>
    <row r="402" spans="1:8">
      <c r="A402">
        <v>5364</v>
      </c>
      <c r="B402" t="s">
        <v>2330</v>
      </c>
      <c r="C402">
        <v>5697</v>
      </c>
      <c r="D402" t="s">
        <v>2203</v>
      </c>
      <c r="E402" t="s">
        <v>176</v>
      </c>
      <c r="F402">
        <v>202207</v>
      </c>
      <c r="G402" t="s">
        <v>2171</v>
      </c>
      <c r="H402">
        <v>144.21</v>
      </c>
    </row>
    <row r="403" spans="1:8">
      <c r="A403">
        <v>5364</v>
      </c>
      <c r="B403" t="s">
        <v>2330</v>
      </c>
      <c r="C403">
        <v>5697</v>
      </c>
      <c r="D403" t="s">
        <v>2203</v>
      </c>
      <c r="E403" t="s">
        <v>176</v>
      </c>
      <c r="F403">
        <v>202207</v>
      </c>
      <c r="G403" t="s">
        <v>2168</v>
      </c>
      <c r="H403">
        <v>11.26</v>
      </c>
    </row>
    <row r="404" spans="1:8">
      <c r="A404">
        <v>5364</v>
      </c>
      <c r="B404" t="s">
        <v>2330</v>
      </c>
      <c r="C404">
        <v>5697</v>
      </c>
      <c r="D404" t="s">
        <v>2203</v>
      </c>
      <c r="E404" t="s">
        <v>176</v>
      </c>
      <c r="F404">
        <v>202207</v>
      </c>
      <c r="G404" t="s">
        <v>2169</v>
      </c>
      <c r="H404">
        <v>21.11</v>
      </c>
    </row>
    <row r="405" spans="1:8">
      <c r="A405">
        <v>5364</v>
      </c>
      <c r="B405" t="s">
        <v>2330</v>
      </c>
      <c r="C405">
        <v>5697</v>
      </c>
      <c r="D405" t="s">
        <v>2203</v>
      </c>
      <c r="E405" t="s">
        <v>176</v>
      </c>
      <c r="F405">
        <v>202207</v>
      </c>
      <c r="G405" t="s">
        <v>2170</v>
      </c>
      <c r="H405">
        <v>7.49</v>
      </c>
    </row>
    <row r="406" spans="1:8">
      <c r="A406">
        <v>5364</v>
      </c>
      <c r="B406" t="s">
        <v>2330</v>
      </c>
      <c r="C406">
        <v>5697</v>
      </c>
      <c r="D406" t="s">
        <v>2203</v>
      </c>
      <c r="E406" t="s">
        <v>176</v>
      </c>
      <c r="F406">
        <v>202207</v>
      </c>
      <c r="G406" t="s">
        <v>2173</v>
      </c>
      <c r="H406">
        <v>1341788.77</v>
      </c>
    </row>
    <row r="407" spans="1:8">
      <c r="A407">
        <v>5364</v>
      </c>
      <c r="B407" t="s">
        <v>2330</v>
      </c>
      <c r="C407">
        <v>5697</v>
      </c>
      <c r="D407" t="s">
        <v>2203</v>
      </c>
      <c r="E407" t="s">
        <v>2038</v>
      </c>
      <c r="F407">
        <v>202207</v>
      </c>
      <c r="G407" t="s">
        <v>191</v>
      </c>
      <c r="H407">
        <v>5978708</v>
      </c>
    </row>
    <row r="408" spans="1:8">
      <c r="A408">
        <v>5364</v>
      </c>
      <c r="B408" t="s">
        <v>2330</v>
      </c>
      <c r="C408">
        <v>5697</v>
      </c>
      <c r="D408" t="s">
        <v>2203</v>
      </c>
      <c r="E408" t="s">
        <v>2038</v>
      </c>
      <c r="F408">
        <v>202207</v>
      </c>
      <c r="G408" t="s">
        <v>192</v>
      </c>
      <c r="H408">
        <v>428158</v>
      </c>
    </row>
    <row r="409" spans="1:8">
      <c r="A409">
        <v>5364</v>
      </c>
      <c r="B409" t="s">
        <v>2330</v>
      </c>
      <c r="C409">
        <v>5697</v>
      </c>
      <c r="D409" t="s">
        <v>2203</v>
      </c>
      <c r="E409" t="s">
        <v>2038</v>
      </c>
      <c r="F409">
        <v>202207</v>
      </c>
      <c r="G409" t="s">
        <v>177</v>
      </c>
      <c r="H409">
        <v>0</v>
      </c>
    </row>
    <row r="410" spans="1:8">
      <c r="A410">
        <v>5364</v>
      </c>
      <c r="B410" t="s">
        <v>2330</v>
      </c>
      <c r="C410">
        <v>5697</v>
      </c>
      <c r="D410" t="s">
        <v>2203</v>
      </c>
      <c r="E410" t="s">
        <v>2038</v>
      </c>
      <c r="F410">
        <v>202207</v>
      </c>
      <c r="G410" t="s">
        <v>179</v>
      </c>
      <c r="H410">
        <v>16842.82</v>
      </c>
    </row>
    <row r="411" spans="1:8">
      <c r="A411">
        <v>5364</v>
      </c>
      <c r="B411" t="s">
        <v>2330</v>
      </c>
      <c r="C411">
        <v>5697</v>
      </c>
      <c r="D411" t="s">
        <v>2203</v>
      </c>
      <c r="E411" t="s">
        <v>2038</v>
      </c>
      <c r="F411">
        <v>202207</v>
      </c>
      <c r="G411" t="s">
        <v>181</v>
      </c>
      <c r="H411">
        <v>9932.64</v>
      </c>
    </row>
    <row r="412" spans="1:8">
      <c r="A412">
        <v>5364</v>
      </c>
      <c r="B412" t="s">
        <v>2330</v>
      </c>
      <c r="C412">
        <v>5697</v>
      </c>
      <c r="D412" t="s">
        <v>2203</v>
      </c>
      <c r="E412" t="s">
        <v>2038</v>
      </c>
      <c r="F412">
        <v>202207</v>
      </c>
      <c r="G412" t="s">
        <v>183</v>
      </c>
      <c r="H412">
        <v>6185035</v>
      </c>
    </row>
    <row r="413" spans="1:8">
      <c r="A413">
        <v>5364</v>
      </c>
      <c r="B413" t="s">
        <v>2330</v>
      </c>
      <c r="C413">
        <v>5697</v>
      </c>
      <c r="D413" t="s">
        <v>2203</v>
      </c>
      <c r="E413" t="s">
        <v>2038</v>
      </c>
      <c r="F413">
        <v>202207</v>
      </c>
      <c r="G413" t="s">
        <v>185</v>
      </c>
      <c r="H413">
        <v>428158</v>
      </c>
    </row>
    <row r="414" spans="1:8">
      <c r="A414">
        <v>5364</v>
      </c>
      <c r="B414" t="s">
        <v>2330</v>
      </c>
      <c r="C414">
        <v>5697</v>
      </c>
      <c r="D414" t="s">
        <v>2203</v>
      </c>
      <c r="E414" t="s">
        <v>2038</v>
      </c>
      <c r="F414">
        <v>202207</v>
      </c>
      <c r="G414" t="s">
        <v>193</v>
      </c>
      <c r="H414">
        <v>0</v>
      </c>
    </row>
    <row r="415" spans="1:8">
      <c r="A415">
        <v>5364</v>
      </c>
      <c r="B415" t="s">
        <v>2330</v>
      </c>
      <c r="C415">
        <v>5697</v>
      </c>
      <c r="D415" t="s">
        <v>2203</v>
      </c>
      <c r="E415" t="s">
        <v>2038</v>
      </c>
      <c r="F415">
        <v>202207</v>
      </c>
      <c r="G415" t="s">
        <v>2172</v>
      </c>
      <c r="H415">
        <v>75368.2</v>
      </c>
    </row>
    <row r="416" spans="1:8">
      <c r="A416">
        <v>5364</v>
      </c>
      <c r="B416" t="s">
        <v>2330</v>
      </c>
      <c r="C416">
        <v>5697</v>
      </c>
      <c r="D416" t="s">
        <v>2203</v>
      </c>
      <c r="E416" t="s">
        <v>2038</v>
      </c>
      <c r="F416">
        <v>202207</v>
      </c>
      <c r="G416" t="s">
        <v>187</v>
      </c>
      <c r="H416">
        <v>206327</v>
      </c>
    </row>
    <row r="417" spans="1:8">
      <c r="A417">
        <v>5364</v>
      </c>
      <c r="B417" t="s">
        <v>2330</v>
      </c>
      <c r="C417">
        <v>5697</v>
      </c>
      <c r="D417" t="s">
        <v>2203</v>
      </c>
      <c r="E417" t="s">
        <v>2038</v>
      </c>
      <c r="F417">
        <v>202207</v>
      </c>
      <c r="G417" t="s">
        <v>2171</v>
      </c>
      <c r="H417">
        <v>144.21</v>
      </c>
    </row>
    <row r="418" spans="1:8">
      <c r="A418">
        <v>5364</v>
      </c>
      <c r="B418" t="s">
        <v>2330</v>
      </c>
      <c r="C418">
        <v>5697</v>
      </c>
      <c r="D418" t="s">
        <v>2203</v>
      </c>
      <c r="E418" t="s">
        <v>2038</v>
      </c>
      <c r="F418">
        <v>202207</v>
      </c>
      <c r="G418" t="s">
        <v>2168</v>
      </c>
      <c r="H418">
        <v>11.83</v>
      </c>
    </row>
    <row r="419" spans="1:8">
      <c r="A419">
        <v>5364</v>
      </c>
      <c r="B419" t="s">
        <v>2330</v>
      </c>
      <c r="C419">
        <v>5697</v>
      </c>
      <c r="D419" t="s">
        <v>2203</v>
      </c>
      <c r="E419" t="s">
        <v>2038</v>
      </c>
      <c r="F419">
        <v>202207</v>
      </c>
      <c r="G419" t="s">
        <v>2169</v>
      </c>
      <c r="H419">
        <v>21.22</v>
      </c>
    </row>
    <row r="420" spans="1:8">
      <c r="A420">
        <v>5364</v>
      </c>
      <c r="B420" t="s">
        <v>2330</v>
      </c>
      <c r="C420">
        <v>5697</v>
      </c>
      <c r="D420" t="s">
        <v>2203</v>
      </c>
      <c r="E420" t="s">
        <v>2038</v>
      </c>
      <c r="F420">
        <v>202207</v>
      </c>
      <c r="G420" t="s">
        <v>2170</v>
      </c>
      <c r="H420">
        <v>14.37</v>
      </c>
    </row>
    <row r="421" spans="1:8">
      <c r="A421">
        <v>5364</v>
      </c>
      <c r="B421" t="s">
        <v>2330</v>
      </c>
      <c r="C421">
        <v>5697</v>
      </c>
      <c r="D421" t="s">
        <v>2203</v>
      </c>
      <c r="E421" t="s">
        <v>2038</v>
      </c>
      <c r="F421">
        <v>202207</v>
      </c>
      <c r="G421" t="s">
        <v>2173</v>
      </c>
      <c r="H421">
        <v>1504355.09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194</v>
      </c>
    </row>
    <row r="2" spans="1:50">
      <c r="A2" s="63" t="s">
        <v>195</v>
      </c>
      <c r="AI2" t="s">
        <v>2024</v>
      </c>
    </row>
    <row r="3" spans="1:50">
      <c r="A3" s="63" t="s">
        <v>196</v>
      </c>
      <c r="AI3" t="s">
        <v>2025</v>
      </c>
    </row>
    <row r="4" spans="1:50">
      <c r="A4" s="63" t="s">
        <v>197</v>
      </c>
    </row>
    <row r="7" spans="1:50">
      <c r="A7" s="626" t="s">
        <v>198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199</v>
      </c>
      <c r="B9" s="501" t="s">
        <v>200</v>
      </c>
      <c r="C9" s="501" t="s">
        <v>201</v>
      </c>
      <c r="D9" s="501" t="s">
        <v>202</v>
      </c>
      <c r="E9" s="501" t="s">
        <v>203</v>
      </c>
      <c r="F9" s="501" t="s">
        <v>204</v>
      </c>
      <c r="G9" s="501" t="s">
        <v>211</v>
      </c>
      <c r="H9" s="502" t="s">
        <v>212</v>
      </c>
      <c r="I9" s="1738" t="s">
        <v>2288</v>
      </c>
      <c r="J9" s="501" t="s">
        <v>205</v>
      </c>
      <c r="K9" s="501" t="s">
        <v>206</v>
      </c>
      <c r="L9" s="501" t="s">
        <v>207</v>
      </c>
      <c r="M9" s="501" t="s">
        <v>208</v>
      </c>
      <c r="N9" s="501" t="s">
        <v>209</v>
      </c>
      <c r="O9" s="501" t="s">
        <v>213</v>
      </c>
      <c r="P9" s="502" t="s">
        <v>216</v>
      </c>
      <c r="Q9" s="502" t="s">
        <v>217</v>
      </c>
      <c r="R9" s="502" t="s">
        <v>218</v>
      </c>
      <c r="S9" s="502" t="s">
        <v>219</v>
      </c>
      <c r="T9" s="502" t="s">
        <v>2287</v>
      </c>
      <c r="X9" s="775" t="s">
        <v>199</v>
      </c>
      <c r="Y9" s="776" t="s">
        <v>220</v>
      </c>
      <c r="AB9" t="s">
        <v>199</v>
      </c>
      <c r="AC9" t="s">
        <v>2289</v>
      </c>
      <c r="AD9" s="232"/>
      <c r="AS9"/>
      <c r="AX9"/>
    </row>
    <row r="10" spans="1:50" s="9" customFormat="1" ht="31.5">
      <c r="A10" s="613" t="s">
        <v>221</v>
      </c>
      <c r="B10" s="613" t="s">
        <v>222</v>
      </c>
      <c r="C10" s="613">
        <v>5381</v>
      </c>
      <c r="D10" s="613" t="s">
        <v>223</v>
      </c>
      <c r="E10" s="613" t="s">
        <v>224</v>
      </c>
      <c r="F10" s="613" t="s">
        <v>225</v>
      </c>
      <c r="G10" s="613" t="s">
        <v>227</v>
      </c>
      <c r="H10" s="708" t="s">
        <v>228</v>
      </c>
      <c r="I10" s="1739">
        <v>44895</v>
      </c>
      <c r="J10" s="613">
        <v>8.1942000000000001E-2</v>
      </c>
      <c r="K10" s="613" t="s">
        <v>226</v>
      </c>
      <c r="L10" s="613">
        <v>104</v>
      </c>
      <c r="M10" s="613" t="s">
        <v>136</v>
      </c>
      <c r="N10" s="613">
        <v>145</v>
      </c>
      <c r="O10" s="613">
        <v>2024</v>
      </c>
      <c r="P10" s="1455">
        <v>0</v>
      </c>
      <c r="Q10" s="613"/>
      <c r="R10" s="708">
        <v>42613</v>
      </c>
      <c r="S10" s="708" t="s">
        <v>230</v>
      </c>
      <c r="T10" s="708"/>
      <c r="U10" s="233"/>
      <c r="V10" s="17"/>
      <c r="X10" s="779" t="s">
        <v>231</v>
      </c>
      <c r="Y10" s="233"/>
      <c r="Z10" s="233"/>
      <c r="AB10" s="9" t="s">
        <v>221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232</v>
      </c>
      <c r="C11" s="613">
        <v>5366</v>
      </c>
      <c r="D11" s="613" t="s">
        <v>233</v>
      </c>
      <c r="E11" s="613" t="s">
        <v>234</v>
      </c>
      <c r="F11" s="613" t="s">
        <v>225</v>
      </c>
      <c r="G11" s="613" t="s">
        <v>235</v>
      </c>
      <c r="H11" s="708" t="s">
        <v>236</v>
      </c>
      <c r="I11" s="1739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5">
        <v>0</v>
      </c>
      <c r="Q11" s="613"/>
      <c r="R11" s="708">
        <v>42613</v>
      </c>
      <c r="S11" s="708" t="s">
        <v>230</v>
      </c>
      <c r="T11" s="708"/>
      <c r="U11" s="233"/>
      <c r="V11" s="17"/>
      <c r="X11" s="779" t="s">
        <v>221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237</v>
      </c>
      <c r="B12" s="613" t="s">
        <v>238</v>
      </c>
      <c r="C12" s="613">
        <v>5386</v>
      </c>
      <c r="D12" s="613" t="s">
        <v>239</v>
      </c>
      <c r="E12" s="613" t="s">
        <v>240</v>
      </c>
      <c r="F12" s="613" t="s">
        <v>225</v>
      </c>
      <c r="G12" s="613" t="s">
        <v>241</v>
      </c>
      <c r="H12" s="708" t="s">
        <v>236</v>
      </c>
      <c r="I12" s="1739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5">
        <v>0</v>
      </c>
      <c r="Q12" s="613"/>
      <c r="R12" s="708">
        <v>42673</v>
      </c>
      <c r="S12" s="708" t="s">
        <v>230</v>
      </c>
      <c r="T12" s="708"/>
      <c r="U12" s="233"/>
      <c r="V12" s="17"/>
      <c r="X12" s="779" t="s">
        <v>153</v>
      </c>
      <c r="Y12" s="233"/>
      <c r="Z12" s="233"/>
      <c r="AB12" s="9" t="s">
        <v>253</v>
      </c>
      <c r="AC12" s="17">
        <v>44834</v>
      </c>
      <c r="AD12" s="233"/>
    </row>
    <row r="13" spans="1:50" s="9" customFormat="1" ht="31.5">
      <c r="A13" s="613" t="s">
        <v>242</v>
      </c>
      <c r="B13" s="613" t="s">
        <v>243</v>
      </c>
      <c r="C13" s="613">
        <v>5378</v>
      </c>
      <c r="D13" s="613" t="s">
        <v>244</v>
      </c>
      <c r="E13" s="613" t="s">
        <v>245</v>
      </c>
      <c r="F13" s="613" t="s">
        <v>225</v>
      </c>
      <c r="G13" s="613" t="s">
        <v>246</v>
      </c>
      <c r="H13" s="708" t="s">
        <v>236</v>
      </c>
      <c r="I13" s="1739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5">
        <v>0</v>
      </c>
      <c r="Q13" s="613"/>
      <c r="R13" s="708">
        <v>42410</v>
      </c>
      <c r="S13" s="708" t="s">
        <v>230</v>
      </c>
      <c r="T13" s="708"/>
      <c r="U13" s="233"/>
      <c r="V13" s="17"/>
      <c r="X13" s="779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247</v>
      </c>
      <c r="B14" s="613" t="s">
        <v>248</v>
      </c>
      <c r="C14" s="613">
        <v>5382</v>
      </c>
      <c r="D14" s="613" t="s">
        <v>249</v>
      </c>
      <c r="E14" s="613" t="s">
        <v>250</v>
      </c>
      <c r="F14" s="613" t="s">
        <v>225</v>
      </c>
      <c r="G14" s="613" t="s">
        <v>252</v>
      </c>
      <c r="H14" s="708" t="s">
        <v>236</v>
      </c>
      <c r="I14" s="1739">
        <v>44772</v>
      </c>
      <c r="J14" s="613">
        <v>8.1942000000000001E-2</v>
      </c>
      <c r="K14" s="613" t="s">
        <v>251</v>
      </c>
      <c r="L14" s="613">
        <v>148</v>
      </c>
      <c r="M14" s="613"/>
      <c r="N14" s="613"/>
      <c r="O14" s="613">
        <v>2024</v>
      </c>
      <c r="P14" s="1455">
        <v>0</v>
      </c>
      <c r="Q14" s="613"/>
      <c r="R14" s="708">
        <v>42562</v>
      </c>
      <c r="S14" s="708" t="s">
        <v>230</v>
      </c>
      <c r="T14" s="708"/>
      <c r="U14" s="233"/>
      <c r="V14" s="17"/>
      <c r="X14" s="779" t="s">
        <v>253</v>
      </c>
      <c r="Y14" s="233"/>
      <c r="Z14" s="233"/>
      <c r="AB14" s="9" t="s">
        <v>277</v>
      </c>
      <c r="AC14" s="17">
        <v>44834</v>
      </c>
      <c r="AD14" s="233"/>
    </row>
    <row r="15" spans="1:50" s="9" customFormat="1" ht="31.5">
      <c r="A15" s="613" t="s">
        <v>254</v>
      </c>
      <c r="B15" s="613" t="s">
        <v>255</v>
      </c>
      <c r="C15" s="613">
        <v>6610</v>
      </c>
      <c r="D15" s="613" t="s">
        <v>256</v>
      </c>
      <c r="E15" s="613" t="s">
        <v>257</v>
      </c>
      <c r="F15" s="613" t="s">
        <v>225</v>
      </c>
      <c r="G15" s="613" t="s">
        <v>258</v>
      </c>
      <c r="H15" s="708" t="s">
        <v>228</v>
      </c>
      <c r="I15" s="1739">
        <v>44895</v>
      </c>
      <c r="J15" s="613">
        <v>8.1942000000000001E-2</v>
      </c>
      <c r="K15" s="613" t="s">
        <v>226</v>
      </c>
      <c r="L15" s="613">
        <v>104</v>
      </c>
      <c r="M15" s="613"/>
      <c r="N15" s="613"/>
      <c r="O15" s="613">
        <v>2024</v>
      </c>
      <c r="P15" s="1455">
        <v>0</v>
      </c>
      <c r="Q15" s="613"/>
      <c r="R15" s="708">
        <v>42673</v>
      </c>
      <c r="S15" s="708" t="s">
        <v>230</v>
      </c>
      <c r="T15" s="708"/>
      <c r="U15" s="233"/>
      <c r="V15" s="17"/>
      <c r="X15" s="779" t="s">
        <v>259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260</v>
      </c>
      <c r="B16" s="613" t="s">
        <v>261</v>
      </c>
      <c r="C16" s="613">
        <v>6609</v>
      </c>
      <c r="D16" s="613" t="s">
        <v>262</v>
      </c>
      <c r="E16" s="613" t="s">
        <v>263</v>
      </c>
      <c r="F16" s="613" t="s">
        <v>225</v>
      </c>
      <c r="G16" s="613" t="s">
        <v>264</v>
      </c>
      <c r="H16" s="708" t="s">
        <v>265</v>
      </c>
      <c r="I16" s="1739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5">
        <v>0</v>
      </c>
      <c r="Q16" s="613"/>
      <c r="R16" s="708">
        <v>42507</v>
      </c>
      <c r="S16" s="708" t="s">
        <v>230</v>
      </c>
      <c r="T16" s="708"/>
      <c r="U16" s="233"/>
      <c r="V16" s="17"/>
      <c r="X16" s="779" t="s">
        <v>266</v>
      </c>
      <c r="Y16" s="233"/>
      <c r="Z16" s="233"/>
      <c r="AB16" s="9" t="s">
        <v>295</v>
      </c>
      <c r="AC16" s="17">
        <v>44772</v>
      </c>
      <c r="AD16" s="233"/>
    </row>
    <row r="17" spans="1:30" s="9" customFormat="1" ht="31.5">
      <c r="A17" s="613" t="s">
        <v>267</v>
      </c>
      <c r="B17" s="613" t="s">
        <v>268</v>
      </c>
      <c r="C17" s="613">
        <v>5384</v>
      </c>
      <c r="D17" s="613" t="s">
        <v>269</v>
      </c>
      <c r="E17" s="613" t="s">
        <v>270</v>
      </c>
      <c r="F17" s="613" t="s">
        <v>225</v>
      </c>
      <c r="G17" s="613" t="s">
        <v>271</v>
      </c>
      <c r="H17" s="708" t="s">
        <v>236</v>
      </c>
      <c r="I17" s="1739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5">
        <v>0</v>
      </c>
      <c r="Q17" s="613"/>
      <c r="R17" s="708">
        <v>42475</v>
      </c>
      <c r="S17" s="708" t="s">
        <v>230</v>
      </c>
      <c r="T17" s="708"/>
      <c r="U17" s="233"/>
      <c r="V17" s="17"/>
      <c r="X17" s="779" t="s">
        <v>9</v>
      </c>
      <c r="Y17" s="233"/>
      <c r="Z17" s="233"/>
      <c r="AB17" s="9" t="s">
        <v>300</v>
      </c>
      <c r="AC17" s="17">
        <v>44834</v>
      </c>
      <c r="AD17" s="233"/>
    </row>
    <row r="18" spans="1:30" s="9" customFormat="1" ht="31.5">
      <c r="A18" s="613" t="s">
        <v>272</v>
      </c>
      <c r="B18" s="613" t="s">
        <v>273</v>
      </c>
      <c r="C18" s="613">
        <v>5385</v>
      </c>
      <c r="D18" s="613" t="s">
        <v>274</v>
      </c>
      <c r="E18" s="613" t="s">
        <v>275</v>
      </c>
      <c r="F18" s="613" t="s">
        <v>225</v>
      </c>
      <c r="G18" s="613" t="s">
        <v>276</v>
      </c>
      <c r="H18" s="708" t="s">
        <v>265</v>
      </c>
      <c r="I18" s="1739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5">
        <v>0</v>
      </c>
      <c r="Q18" s="613"/>
      <c r="R18" s="708">
        <v>42475</v>
      </c>
      <c r="S18" s="708" t="s">
        <v>230</v>
      </c>
      <c r="T18" s="708"/>
      <c r="U18" s="233"/>
      <c r="V18" s="17"/>
      <c r="X18" s="779" t="s">
        <v>277</v>
      </c>
      <c r="Y18" s="233"/>
      <c r="Z18" s="233"/>
      <c r="AB18" s="9" t="s">
        <v>310</v>
      </c>
      <c r="AC18" s="17">
        <v>44710</v>
      </c>
      <c r="AD18" s="233"/>
    </row>
    <row r="19" spans="1:30" s="9" customFormat="1" ht="31.5">
      <c r="A19" s="613" t="s">
        <v>278</v>
      </c>
      <c r="B19" s="613" t="s">
        <v>279</v>
      </c>
      <c r="C19" s="613">
        <v>5379</v>
      </c>
      <c r="D19" s="613" t="s">
        <v>280</v>
      </c>
      <c r="E19" s="613" t="s">
        <v>281</v>
      </c>
      <c r="F19" s="613" t="s">
        <v>225</v>
      </c>
      <c r="G19" s="613" t="s">
        <v>282</v>
      </c>
      <c r="H19" s="708" t="s">
        <v>236</v>
      </c>
      <c r="I19" s="1739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5">
        <v>0</v>
      </c>
      <c r="Q19" s="613"/>
      <c r="R19" s="708">
        <v>42673</v>
      </c>
      <c r="S19" s="708" t="s">
        <v>230</v>
      </c>
      <c r="T19" s="708"/>
      <c r="U19" s="233"/>
      <c r="V19" s="17"/>
      <c r="X19" s="779" t="s">
        <v>150</v>
      </c>
      <c r="Y19" s="233"/>
      <c r="Z19" s="233"/>
      <c r="AB19" s="9" t="s">
        <v>311</v>
      </c>
      <c r="AC19" s="17">
        <v>44834</v>
      </c>
      <c r="AD19" s="233"/>
    </row>
    <row r="20" spans="1:30" s="9" customFormat="1" ht="31.5">
      <c r="A20" s="613" t="s">
        <v>253</v>
      </c>
      <c r="B20" s="613" t="s">
        <v>283</v>
      </c>
      <c r="C20" s="613">
        <v>5372</v>
      </c>
      <c r="D20" s="613" t="s">
        <v>284</v>
      </c>
      <c r="E20" s="613" t="s">
        <v>285</v>
      </c>
      <c r="F20" s="613" t="s">
        <v>286</v>
      </c>
      <c r="G20" s="613" t="s">
        <v>287</v>
      </c>
      <c r="H20" s="708" t="s">
        <v>288</v>
      </c>
      <c r="I20" s="1739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5">
        <v>0</v>
      </c>
      <c r="Q20" s="613"/>
      <c r="R20" s="708">
        <v>42641</v>
      </c>
      <c r="S20" s="708" t="s">
        <v>230</v>
      </c>
      <c r="T20" s="708"/>
      <c r="U20" s="233"/>
      <c r="V20" s="17"/>
      <c r="X20" s="779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289</v>
      </c>
      <c r="C21" s="613">
        <v>5367</v>
      </c>
      <c r="D21" s="613" t="s">
        <v>290</v>
      </c>
      <c r="E21" s="613" t="s">
        <v>291</v>
      </c>
      <c r="F21" s="613" t="s">
        <v>286</v>
      </c>
      <c r="G21" s="613" t="s">
        <v>293</v>
      </c>
      <c r="H21" s="708" t="s">
        <v>294</v>
      </c>
      <c r="I21" s="1739">
        <v>44917</v>
      </c>
      <c r="J21" s="613">
        <v>8.1942000000000001E-2</v>
      </c>
      <c r="K21" s="613" t="s">
        <v>155</v>
      </c>
      <c r="L21" s="613">
        <v>111</v>
      </c>
      <c r="M21" s="613" t="s">
        <v>292</v>
      </c>
      <c r="N21" s="613">
        <v>110</v>
      </c>
      <c r="O21" s="613">
        <v>2025</v>
      </c>
      <c r="P21" s="1455">
        <v>0</v>
      </c>
      <c r="Q21" s="613"/>
      <c r="R21" s="708">
        <v>42641</v>
      </c>
      <c r="S21" s="708" t="s">
        <v>230</v>
      </c>
      <c r="T21" s="708"/>
      <c r="U21" s="233"/>
      <c r="V21" s="17"/>
      <c r="X21" s="779" t="s">
        <v>295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277</v>
      </c>
      <c r="B22" s="613" t="s">
        <v>296</v>
      </c>
      <c r="C22" s="613">
        <v>6897</v>
      </c>
      <c r="D22" s="613" t="s">
        <v>297</v>
      </c>
      <c r="E22" s="613" t="s">
        <v>298</v>
      </c>
      <c r="F22" s="613" t="s">
        <v>286</v>
      </c>
      <c r="G22" s="613" t="s">
        <v>299</v>
      </c>
      <c r="H22" s="708" t="s">
        <v>288</v>
      </c>
      <c r="I22" s="1739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5">
        <v>0</v>
      </c>
      <c r="Q22" s="613"/>
      <c r="R22" s="708">
        <v>42641</v>
      </c>
      <c r="S22" s="708" t="s">
        <v>230</v>
      </c>
      <c r="T22" s="708"/>
      <c r="U22" s="233"/>
      <c r="V22" s="17"/>
      <c r="X22" s="779" t="s">
        <v>300</v>
      </c>
      <c r="Y22" s="233"/>
      <c r="Z22" s="233"/>
      <c r="AB22" s="9" t="s">
        <v>322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301</v>
      </c>
      <c r="C23" s="613">
        <v>5351</v>
      </c>
      <c r="D23" s="613" t="s">
        <v>302</v>
      </c>
      <c r="E23" s="613" t="s">
        <v>303</v>
      </c>
      <c r="F23" s="613" t="s">
        <v>286</v>
      </c>
      <c r="G23" s="613" t="s">
        <v>304</v>
      </c>
      <c r="H23" s="708" t="s">
        <v>288</v>
      </c>
      <c r="I23" s="1739">
        <v>44895</v>
      </c>
      <c r="J23" s="613">
        <v>8.1942000000000001E-2</v>
      </c>
      <c r="K23" s="613" t="s">
        <v>300</v>
      </c>
      <c r="L23" s="613">
        <v>220</v>
      </c>
      <c r="M23" s="613"/>
      <c r="N23" s="613"/>
      <c r="O23" s="613">
        <v>2024</v>
      </c>
      <c r="P23" s="1455">
        <v>0</v>
      </c>
      <c r="Q23" s="613"/>
      <c r="R23" s="708">
        <v>42641</v>
      </c>
      <c r="S23" s="708" t="s">
        <v>230</v>
      </c>
      <c r="T23" s="708"/>
      <c r="U23" s="233"/>
      <c r="V23" s="17"/>
      <c r="X23" s="779" t="s">
        <v>305</v>
      </c>
      <c r="Y23" s="233"/>
      <c r="Z23" s="233"/>
      <c r="AB23" s="9" t="s">
        <v>329</v>
      </c>
      <c r="AC23" s="17">
        <v>44834</v>
      </c>
      <c r="AD23" s="233"/>
    </row>
    <row r="24" spans="1:30" s="9" customFormat="1" ht="31.5">
      <c r="A24" s="613" t="s">
        <v>300</v>
      </c>
      <c r="B24" s="613" t="s">
        <v>306</v>
      </c>
      <c r="C24" s="613">
        <v>6898</v>
      </c>
      <c r="D24" s="613" t="s">
        <v>307</v>
      </c>
      <c r="E24" s="613" t="s">
        <v>308</v>
      </c>
      <c r="F24" s="613" t="s">
        <v>286</v>
      </c>
      <c r="G24" s="613" t="s">
        <v>309</v>
      </c>
      <c r="H24" s="708" t="s">
        <v>288</v>
      </c>
      <c r="I24" s="1739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5">
        <v>0</v>
      </c>
      <c r="Q24" s="613"/>
      <c r="R24" s="708">
        <v>42641</v>
      </c>
      <c r="S24" s="708" t="s">
        <v>230</v>
      </c>
      <c r="T24" s="708"/>
      <c r="U24" s="233"/>
      <c r="V24" s="17"/>
      <c r="X24" s="779" t="s">
        <v>310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311</v>
      </c>
      <c r="B25" s="613" t="s">
        <v>312</v>
      </c>
      <c r="C25" s="613">
        <v>5352</v>
      </c>
      <c r="D25" s="613" t="s">
        <v>313</v>
      </c>
      <c r="E25" s="613" t="s">
        <v>314</v>
      </c>
      <c r="F25" s="613" t="s">
        <v>286</v>
      </c>
      <c r="G25" s="613" t="s">
        <v>315</v>
      </c>
      <c r="H25" s="708" t="s">
        <v>316</v>
      </c>
      <c r="I25" s="1739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5">
        <v>0</v>
      </c>
      <c r="Q25" s="613"/>
      <c r="R25" s="708">
        <v>42641</v>
      </c>
      <c r="S25" s="708" t="s">
        <v>230</v>
      </c>
      <c r="T25" s="708"/>
      <c r="U25" s="233"/>
      <c r="V25" s="17"/>
      <c r="X25" s="779" t="s">
        <v>311</v>
      </c>
      <c r="Y25" s="233"/>
      <c r="Z25" s="233"/>
      <c r="AB25" s="9" t="s">
        <v>237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317</v>
      </c>
      <c r="C26" s="613">
        <v>5353</v>
      </c>
      <c r="D26" s="613" t="s">
        <v>318</v>
      </c>
      <c r="E26" s="613" t="s">
        <v>319</v>
      </c>
      <c r="F26" s="613" t="s">
        <v>286</v>
      </c>
      <c r="G26" s="613" t="s">
        <v>320</v>
      </c>
      <c r="H26" s="708" t="s">
        <v>321</v>
      </c>
      <c r="I26" s="1739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5">
        <v>0</v>
      </c>
      <c r="Q26" s="613"/>
      <c r="R26" s="708">
        <v>42641</v>
      </c>
      <c r="S26" s="708" t="s">
        <v>230</v>
      </c>
      <c r="T26" s="708"/>
      <c r="U26" s="233"/>
      <c r="V26" s="17"/>
      <c r="X26" s="779" t="s">
        <v>149</v>
      </c>
      <c r="Y26" s="233"/>
      <c r="Z26" s="233"/>
      <c r="AB26" s="9" t="s">
        <v>242</v>
      </c>
      <c r="AC26" s="17">
        <v>44680</v>
      </c>
      <c r="AD26" s="233"/>
    </row>
    <row r="27" spans="1:30" s="9" customFormat="1" ht="31.5">
      <c r="A27" s="613" t="s">
        <v>322</v>
      </c>
      <c r="B27" s="613" t="s">
        <v>323</v>
      </c>
      <c r="C27" s="613">
        <v>5355</v>
      </c>
      <c r="D27" s="613" t="s">
        <v>324</v>
      </c>
      <c r="E27" s="613" t="s">
        <v>325</v>
      </c>
      <c r="F27" s="613" t="s">
        <v>286</v>
      </c>
      <c r="G27" s="613" t="s">
        <v>326</v>
      </c>
      <c r="H27" s="708" t="s">
        <v>327</v>
      </c>
      <c r="I27" s="1739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5">
        <v>0</v>
      </c>
      <c r="Q27" s="613"/>
      <c r="R27" s="708">
        <v>42641</v>
      </c>
      <c r="S27" s="708" t="s">
        <v>230</v>
      </c>
      <c r="T27" s="708"/>
      <c r="U27" s="233"/>
      <c r="V27" s="17"/>
      <c r="X27" s="779" t="s">
        <v>328</v>
      </c>
      <c r="Y27" s="233"/>
      <c r="Z27" s="233"/>
      <c r="AB27" s="9" t="s">
        <v>247</v>
      </c>
      <c r="AC27" s="17">
        <v>44772</v>
      </c>
      <c r="AD27" s="233"/>
    </row>
    <row r="28" spans="1:30" s="9" customFormat="1" ht="31.5">
      <c r="A28" s="613" t="s">
        <v>329</v>
      </c>
      <c r="B28" s="613" t="s">
        <v>330</v>
      </c>
      <c r="C28" s="613">
        <v>5363</v>
      </c>
      <c r="D28" s="613" t="s">
        <v>331</v>
      </c>
      <c r="E28" s="613" t="s">
        <v>332</v>
      </c>
      <c r="F28" s="613" t="s">
        <v>286</v>
      </c>
      <c r="G28" s="613" t="s">
        <v>333</v>
      </c>
      <c r="H28" s="708" t="s">
        <v>288</v>
      </c>
      <c r="I28" s="1739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5">
        <v>0</v>
      </c>
      <c r="Q28" s="613"/>
      <c r="R28" s="708">
        <v>42641</v>
      </c>
      <c r="S28" s="708" t="s">
        <v>230</v>
      </c>
      <c r="T28" s="708"/>
      <c r="U28" s="233"/>
      <c r="V28" s="17"/>
      <c r="X28" s="779" t="s">
        <v>151</v>
      </c>
      <c r="Y28" s="233"/>
      <c r="Z28" s="233"/>
      <c r="AB28" s="9" t="s">
        <v>254</v>
      </c>
      <c r="AC28" s="17">
        <v>44895</v>
      </c>
      <c r="AD28" s="233"/>
    </row>
    <row r="29" spans="1:30" s="9" customFormat="1" ht="31.5">
      <c r="A29" s="613" t="s">
        <v>334</v>
      </c>
      <c r="B29" s="613" t="s">
        <v>335</v>
      </c>
      <c r="C29" s="613">
        <v>5364</v>
      </c>
      <c r="D29" s="613" t="s">
        <v>336</v>
      </c>
      <c r="E29" s="613" t="s">
        <v>337</v>
      </c>
      <c r="F29" s="613" t="s">
        <v>286</v>
      </c>
      <c r="G29" s="613" t="s">
        <v>338</v>
      </c>
      <c r="H29" s="708" t="s">
        <v>339</v>
      </c>
      <c r="I29" s="1739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5">
        <v>0</v>
      </c>
      <c r="Q29" s="613"/>
      <c r="R29" s="708">
        <v>42641</v>
      </c>
      <c r="S29" s="708" t="s">
        <v>230</v>
      </c>
      <c r="T29" s="708"/>
      <c r="U29" s="233"/>
      <c r="V29" s="17"/>
      <c r="X29" s="779" t="s">
        <v>322</v>
      </c>
      <c r="Y29" s="233"/>
      <c r="Z29" s="233"/>
      <c r="AB29" s="9" t="s">
        <v>376</v>
      </c>
      <c r="AC29" s="17">
        <v>44772</v>
      </c>
      <c r="AD29" s="233"/>
    </row>
    <row r="30" spans="1:30" s="9" customFormat="1" ht="31.5">
      <c r="A30" s="613" t="s">
        <v>340</v>
      </c>
      <c r="B30" s="613" t="s">
        <v>341</v>
      </c>
      <c r="C30" s="613">
        <v>5365</v>
      </c>
      <c r="D30" s="613" t="s">
        <v>342</v>
      </c>
      <c r="E30" s="613" t="s">
        <v>343</v>
      </c>
      <c r="F30" s="613" t="s">
        <v>286</v>
      </c>
      <c r="G30" s="613" t="s">
        <v>344</v>
      </c>
      <c r="H30" s="708" t="s">
        <v>288</v>
      </c>
      <c r="I30" s="1739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5">
        <v>0</v>
      </c>
      <c r="Q30" s="613"/>
      <c r="R30" s="708">
        <v>42641</v>
      </c>
      <c r="S30" s="708" t="s">
        <v>230</v>
      </c>
      <c r="T30" s="708"/>
      <c r="U30" s="233"/>
      <c r="V30" s="17"/>
      <c r="X30" s="779" t="s">
        <v>329</v>
      </c>
      <c r="Y30" s="233"/>
      <c r="Z30" s="233"/>
      <c r="AB30" s="9" t="s">
        <v>334</v>
      </c>
      <c r="AC30" s="17">
        <v>44834</v>
      </c>
      <c r="AD30" s="233"/>
    </row>
    <row r="31" spans="1:30" s="9" customFormat="1" ht="31.5">
      <c r="A31" s="613" t="s">
        <v>345</v>
      </c>
      <c r="B31" s="613" t="s">
        <v>346</v>
      </c>
      <c r="C31" s="613">
        <v>5368</v>
      </c>
      <c r="D31" s="613" t="s">
        <v>347</v>
      </c>
      <c r="E31" s="613" t="s">
        <v>348</v>
      </c>
      <c r="F31" s="613" t="s">
        <v>286</v>
      </c>
      <c r="G31" s="613" t="s">
        <v>349</v>
      </c>
      <c r="H31" s="708" t="s">
        <v>288</v>
      </c>
      <c r="I31" s="1739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5">
        <v>0</v>
      </c>
      <c r="Q31" s="613"/>
      <c r="R31" s="708">
        <v>42641</v>
      </c>
      <c r="S31" s="708" t="s">
        <v>230</v>
      </c>
      <c r="T31" s="708"/>
      <c r="U31" s="233"/>
      <c r="V31" s="17"/>
      <c r="X31" s="779" t="s">
        <v>144</v>
      </c>
      <c r="Y31" s="233"/>
      <c r="Z31" s="233"/>
      <c r="AB31" s="9" t="s">
        <v>260</v>
      </c>
      <c r="AC31" s="17">
        <v>44772</v>
      </c>
      <c r="AD31" s="233"/>
    </row>
    <row r="32" spans="1:30" s="9" customFormat="1" ht="31.5">
      <c r="A32" s="613" t="s">
        <v>350</v>
      </c>
      <c r="B32" s="613" t="s">
        <v>351</v>
      </c>
      <c r="C32" s="613">
        <v>5369</v>
      </c>
      <c r="D32" s="613" t="s">
        <v>352</v>
      </c>
      <c r="E32" s="613" t="s">
        <v>353</v>
      </c>
      <c r="F32" s="613" t="s">
        <v>286</v>
      </c>
      <c r="G32" s="613" t="s">
        <v>354</v>
      </c>
      <c r="H32" s="708" t="s">
        <v>327</v>
      </c>
      <c r="I32" s="1739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5">
        <v>0</v>
      </c>
      <c r="Q32" s="613"/>
      <c r="R32" s="708">
        <v>42641</v>
      </c>
      <c r="S32" s="708" t="s">
        <v>230</v>
      </c>
      <c r="T32" s="708"/>
      <c r="U32" s="233"/>
      <c r="V32" s="17"/>
      <c r="X32" s="779" t="s">
        <v>237</v>
      </c>
      <c r="Y32" s="233"/>
      <c r="Z32" s="233"/>
      <c r="AB32" s="9" t="s">
        <v>340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355</v>
      </c>
      <c r="C33" s="613">
        <v>5370</v>
      </c>
      <c r="D33" s="613" t="s">
        <v>356</v>
      </c>
      <c r="E33" s="613" t="s">
        <v>357</v>
      </c>
      <c r="F33" s="613" t="s">
        <v>286</v>
      </c>
      <c r="G33" s="613" t="s">
        <v>358</v>
      </c>
      <c r="H33" s="708" t="s">
        <v>288</v>
      </c>
      <c r="I33" s="1739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5">
        <v>0</v>
      </c>
      <c r="Q33" s="613"/>
      <c r="R33" s="708">
        <v>42641</v>
      </c>
      <c r="S33" s="708" t="s">
        <v>230</v>
      </c>
      <c r="T33" s="708"/>
      <c r="U33" s="233"/>
      <c r="V33" s="17"/>
      <c r="X33" s="779" t="s">
        <v>242</v>
      </c>
      <c r="Y33" s="233"/>
      <c r="Z33" s="233"/>
      <c r="AB33" s="9" t="s">
        <v>267</v>
      </c>
      <c r="AC33" s="17">
        <v>44710</v>
      </c>
      <c r="AD33" s="233"/>
    </row>
    <row r="34" spans="1:30" s="9" customFormat="1" ht="31.5">
      <c r="A34" s="613" t="s">
        <v>359</v>
      </c>
      <c r="B34" s="613" t="s">
        <v>360</v>
      </c>
      <c r="C34" s="613">
        <v>5371</v>
      </c>
      <c r="D34" s="613" t="s">
        <v>361</v>
      </c>
      <c r="E34" s="613" t="s">
        <v>362</v>
      </c>
      <c r="F34" s="613" t="s">
        <v>286</v>
      </c>
      <c r="G34" s="613" t="s">
        <v>364</v>
      </c>
      <c r="H34" s="708" t="s">
        <v>365</v>
      </c>
      <c r="I34" s="1739">
        <v>44834</v>
      </c>
      <c r="J34" s="613">
        <v>8.1942000000000001E-2</v>
      </c>
      <c r="K34" s="613" t="s">
        <v>155</v>
      </c>
      <c r="L34" s="613">
        <v>111</v>
      </c>
      <c r="M34" s="613" t="s">
        <v>363</v>
      </c>
      <c r="N34" s="613">
        <v>144</v>
      </c>
      <c r="O34" s="613">
        <v>2022</v>
      </c>
      <c r="P34" s="1455">
        <v>0</v>
      </c>
      <c r="Q34" s="613"/>
      <c r="R34" s="708">
        <v>42641</v>
      </c>
      <c r="S34" s="708" t="s">
        <v>230</v>
      </c>
      <c r="T34" s="708"/>
      <c r="U34" s="233"/>
      <c r="V34" s="17"/>
      <c r="X34" s="779" t="s">
        <v>247</v>
      </c>
      <c r="Y34" s="233"/>
      <c r="Z34" s="233"/>
      <c r="AB34" s="9" t="s">
        <v>272</v>
      </c>
      <c r="AC34" s="17">
        <v>44710</v>
      </c>
      <c r="AD34" s="233"/>
    </row>
    <row r="35" spans="1:30" s="9" customFormat="1" ht="31.5">
      <c r="A35" s="613" t="s">
        <v>366</v>
      </c>
      <c r="B35" s="613" t="s">
        <v>367</v>
      </c>
      <c r="C35" s="613">
        <v>5373</v>
      </c>
      <c r="D35" s="613" t="s">
        <v>368</v>
      </c>
      <c r="E35" s="613" t="s">
        <v>369</v>
      </c>
      <c r="F35" s="613" t="s">
        <v>286</v>
      </c>
      <c r="G35" s="613" t="s">
        <v>370</v>
      </c>
      <c r="H35" s="708" t="s">
        <v>321</v>
      </c>
      <c r="I35" s="1739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5">
        <v>0</v>
      </c>
      <c r="Q35" s="613"/>
      <c r="R35" s="708">
        <v>42641</v>
      </c>
      <c r="S35" s="708" t="s">
        <v>230</v>
      </c>
      <c r="T35" s="708"/>
      <c r="U35" s="233"/>
      <c r="V35" s="17"/>
      <c r="X35" s="779" t="s">
        <v>254</v>
      </c>
      <c r="Y35" s="233"/>
      <c r="Z35" s="233"/>
      <c r="AB35" s="9" t="s">
        <v>345</v>
      </c>
      <c r="AC35" s="17">
        <v>44834</v>
      </c>
      <c r="AD35" s="233"/>
    </row>
    <row r="36" spans="1:30" s="9" customFormat="1" ht="31.5">
      <c r="A36" s="613" t="s">
        <v>371</v>
      </c>
      <c r="B36" s="613" t="s">
        <v>372</v>
      </c>
      <c r="C36" s="613">
        <v>7016</v>
      </c>
      <c r="D36" s="613" t="s">
        <v>373</v>
      </c>
      <c r="E36" s="613" t="s">
        <v>374</v>
      </c>
      <c r="F36" s="613" t="s">
        <v>286</v>
      </c>
      <c r="G36" s="613" t="s">
        <v>375</v>
      </c>
      <c r="H36" s="708" t="s">
        <v>288</v>
      </c>
      <c r="I36" s="1739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5">
        <v>0</v>
      </c>
      <c r="Q36" s="613"/>
      <c r="R36" s="708">
        <v>42641</v>
      </c>
      <c r="S36" s="708" t="s">
        <v>230</v>
      </c>
      <c r="T36" s="708"/>
      <c r="U36" s="233"/>
      <c r="V36" s="17"/>
      <c r="X36" s="779" t="s">
        <v>376</v>
      </c>
      <c r="Y36" s="233"/>
      <c r="Z36" s="233"/>
      <c r="AB36" s="9" t="s">
        <v>388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377</v>
      </c>
      <c r="C37" s="613">
        <v>2763</v>
      </c>
      <c r="D37" s="613" t="s">
        <v>378</v>
      </c>
      <c r="E37" s="613" t="s">
        <v>379</v>
      </c>
      <c r="F37" s="613" t="s">
        <v>380</v>
      </c>
      <c r="G37" s="613" t="s">
        <v>381</v>
      </c>
      <c r="H37" s="708" t="s">
        <v>382</v>
      </c>
      <c r="I37" s="1739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5">
        <v>0</v>
      </c>
      <c r="Q37" s="613"/>
      <c r="R37" s="708">
        <v>42551</v>
      </c>
      <c r="S37" s="708" t="s">
        <v>230</v>
      </c>
      <c r="T37" s="708"/>
      <c r="U37" s="233"/>
      <c r="V37" s="17"/>
      <c r="X37" s="779" t="s">
        <v>334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376</v>
      </c>
      <c r="B38" s="613" t="s">
        <v>383</v>
      </c>
      <c r="C38" s="613">
        <v>2381</v>
      </c>
      <c r="D38" s="613" t="s">
        <v>384</v>
      </c>
      <c r="E38" s="613" t="s">
        <v>385</v>
      </c>
      <c r="F38" s="613" t="s">
        <v>380</v>
      </c>
      <c r="G38" s="613" t="s">
        <v>386</v>
      </c>
      <c r="H38" s="708" t="s">
        <v>387</v>
      </c>
      <c r="I38" s="1739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5">
        <v>69.23</v>
      </c>
      <c r="Q38" s="708">
        <v>42917</v>
      </c>
      <c r="R38" s="708">
        <v>42551</v>
      </c>
      <c r="S38" s="708" t="s">
        <v>230</v>
      </c>
      <c r="T38" s="708"/>
      <c r="U38" s="233"/>
      <c r="V38" s="17"/>
      <c r="X38" s="779" t="s">
        <v>260</v>
      </c>
      <c r="Y38" s="233"/>
      <c r="Z38" s="233"/>
      <c r="AB38" s="9" t="s">
        <v>350</v>
      </c>
      <c r="AC38" s="17">
        <v>44834</v>
      </c>
      <c r="AD38" s="233"/>
    </row>
    <row r="39" spans="1:30" s="9" customFormat="1" ht="31.5">
      <c r="A39" s="613" t="s">
        <v>388</v>
      </c>
      <c r="B39" s="613" t="s">
        <v>389</v>
      </c>
      <c r="C39" s="613">
        <v>3223</v>
      </c>
      <c r="D39" s="613" t="s">
        <v>390</v>
      </c>
      <c r="E39" s="613" t="s">
        <v>391</v>
      </c>
      <c r="F39" s="613" t="s">
        <v>380</v>
      </c>
      <c r="G39" s="613" t="s">
        <v>392</v>
      </c>
      <c r="H39" s="708" t="s">
        <v>393</v>
      </c>
      <c r="I39" s="1739">
        <v>44772</v>
      </c>
      <c r="J39" s="613">
        <v>8.1942000000000001E-2</v>
      </c>
      <c r="K39" s="613" t="s">
        <v>167</v>
      </c>
      <c r="L39" s="613">
        <v>167</v>
      </c>
      <c r="M39" s="613" t="s">
        <v>292</v>
      </c>
      <c r="N39" s="613">
        <v>110</v>
      </c>
      <c r="O39" s="613">
        <v>2025</v>
      </c>
      <c r="P39" s="1455">
        <v>0</v>
      </c>
      <c r="Q39" s="613"/>
      <c r="R39" s="708">
        <v>42486</v>
      </c>
      <c r="S39" s="708" t="s">
        <v>230</v>
      </c>
      <c r="T39" s="708"/>
      <c r="U39" s="233"/>
      <c r="V39" s="17"/>
      <c r="X39" s="779" t="s">
        <v>340</v>
      </c>
      <c r="Y39" s="233"/>
      <c r="Z39" s="233"/>
      <c r="AB39" s="9" t="s">
        <v>278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394</v>
      </c>
      <c r="C40" s="613">
        <v>7371</v>
      </c>
      <c r="D40" s="613" t="s">
        <v>395</v>
      </c>
      <c r="E40" s="613" t="s">
        <v>396</v>
      </c>
      <c r="F40" s="613" t="s">
        <v>380</v>
      </c>
      <c r="G40" s="613" t="s">
        <v>397</v>
      </c>
      <c r="H40" s="708" t="s">
        <v>398</v>
      </c>
      <c r="I40" s="1739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5">
        <v>0</v>
      </c>
      <c r="Q40" s="613"/>
      <c r="R40" s="708">
        <v>42547</v>
      </c>
      <c r="S40" s="708" t="s">
        <v>230</v>
      </c>
      <c r="T40" s="708"/>
      <c r="U40" s="233"/>
      <c r="V40" s="17"/>
      <c r="X40" s="779" t="s">
        <v>267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399</v>
      </c>
      <c r="B41" s="613" t="s">
        <v>400</v>
      </c>
      <c r="C41" s="613">
        <v>3627</v>
      </c>
      <c r="D41" s="613" t="s">
        <v>401</v>
      </c>
      <c r="E41" s="613" t="s">
        <v>402</v>
      </c>
      <c r="F41" s="613" t="s">
        <v>380</v>
      </c>
      <c r="G41" s="613" t="s">
        <v>403</v>
      </c>
      <c r="H41" s="708" t="s">
        <v>398</v>
      </c>
      <c r="I41" s="1739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5">
        <v>0</v>
      </c>
      <c r="Q41" s="613"/>
      <c r="R41" s="708">
        <v>42551</v>
      </c>
      <c r="S41" s="708" t="s">
        <v>230</v>
      </c>
      <c r="T41" s="708"/>
      <c r="U41" s="233"/>
      <c r="V41" s="17"/>
      <c r="X41" s="779" t="s">
        <v>272</v>
      </c>
      <c r="Y41" s="233"/>
      <c r="Z41" s="233"/>
      <c r="AB41" s="9" t="s">
        <v>359</v>
      </c>
      <c r="AC41" s="17">
        <v>44834</v>
      </c>
      <c r="AD41" s="233"/>
    </row>
    <row r="42" spans="1:30" s="9" customFormat="1" ht="31.5">
      <c r="A42" s="613" t="s">
        <v>404</v>
      </c>
      <c r="B42" s="613" t="s">
        <v>405</v>
      </c>
      <c r="C42" s="613">
        <v>2351</v>
      </c>
      <c r="D42" s="613" t="s">
        <v>406</v>
      </c>
      <c r="E42" s="613" t="s">
        <v>407</v>
      </c>
      <c r="F42" s="613" t="s">
        <v>380</v>
      </c>
      <c r="G42" s="613" t="s">
        <v>408</v>
      </c>
      <c r="H42" s="708" t="s">
        <v>409</v>
      </c>
      <c r="I42" s="1739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5">
        <v>0</v>
      </c>
      <c r="Q42" s="613"/>
      <c r="R42" s="708">
        <v>42551</v>
      </c>
      <c r="S42" s="708" t="s">
        <v>230</v>
      </c>
      <c r="T42" s="708"/>
      <c r="U42" s="233"/>
      <c r="V42" s="17"/>
      <c r="X42" s="779" t="s">
        <v>410</v>
      </c>
      <c r="Y42" s="233"/>
      <c r="Z42" s="233"/>
      <c r="AB42" s="9" t="s">
        <v>399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411</v>
      </c>
      <c r="C43" s="613">
        <v>598</v>
      </c>
      <c r="D43" s="613" t="s">
        <v>412</v>
      </c>
      <c r="E43" s="613" t="s">
        <v>413</v>
      </c>
      <c r="F43" s="613" t="s">
        <v>380</v>
      </c>
      <c r="G43" s="613" t="s">
        <v>414</v>
      </c>
      <c r="H43" s="708" t="s">
        <v>398</v>
      </c>
      <c r="I43" s="1739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5">
        <v>0</v>
      </c>
      <c r="Q43" s="613"/>
      <c r="R43" s="708">
        <v>42551</v>
      </c>
      <c r="S43" s="708" t="s">
        <v>230</v>
      </c>
      <c r="T43" s="708"/>
      <c r="U43" s="233"/>
      <c r="V43" s="17"/>
      <c r="X43" s="779" t="s">
        <v>345</v>
      </c>
      <c r="Y43" s="233"/>
      <c r="Z43" s="233"/>
      <c r="AB43" s="9" t="s">
        <v>366</v>
      </c>
      <c r="AC43" s="17">
        <v>44834</v>
      </c>
      <c r="AD43" s="233"/>
    </row>
    <row r="44" spans="1:30" s="9" customFormat="1" ht="31.5">
      <c r="A44" s="613" t="s">
        <v>415</v>
      </c>
      <c r="B44" s="613" t="s">
        <v>416</v>
      </c>
      <c r="C44" s="613">
        <v>2783</v>
      </c>
      <c r="D44" s="613" t="s">
        <v>417</v>
      </c>
      <c r="E44" s="613" t="s">
        <v>418</v>
      </c>
      <c r="F44" s="613" t="s">
        <v>380</v>
      </c>
      <c r="G44" s="613" t="s">
        <v>419</v>
      </c>
      <c r="H44" s="708" t="s">
        <v>398</v>
      </c>
      <c r="I44" s="1739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5">
        <v>0</v>
      </c>
      <c r="Q44" s="613"/>
      <c r="R44" s="708">
        <v>42551</v>
      </c>
      <c r="S44" s="708" t="s">
        <v>230</v>
      </c>
      <c r="T44" s="708"/>
      <c r="U44" s="233"/>
      <c r="V44" s="17"/>
      <c r="X44" s="779" t="s">
        <v>388</v>
      </c>
      <c r="Y44" s="233"/>
      <c r="Z44" s="233"/>
      <c r="AB44" s="9" t="s">
        <v>371</v>
      </c>
      <c r="AC44" s="17">
        <v>44834</v>
      </c>
      <c r="AD44" s="233"/>
    </row>
    <row r="45" spans="1:30" s="9" customFormat="1" ht="31.5">
      <c r="A45" s="613" t="s">
        <v>295</v>
      </c>
      <c r="B45" s="613" t="s">
        <v>420</v>
      </c>
      <c r="C45" s="613">
        <v>4248</v>
      </c>
      <c r="D45" s="613" t="s">
        <v>421</v>
      </c>
      <c r="E45" s="613" t="s">
        <v>422</v>
      </c>
      <c r="F45" s="613" t="s">
        <v>423</v>
      </c>
      <c r="G45" s="613" t="s">
        <v>425</v>
      </c>
      <c r="H45" s="708" t="s">
        <v>288</v>
      </c>
      <c r="I45" s="1739">
        <v>44772</v>
      </c>
      <c r="J45" s="613">
        <v>8.1942000000000001E-2</v>
      </c>
      <c r="K45" s="613" t="s">
        <v>424</v>
      </c>
      <c r="L45" s="613">
        <v>132</v>
      </c>
      <c r="M45" s="613"/>
      <c r="N45" s="613"/>
      <c r="O45" s="613">
        <v>2024</v>
      </c>
      <c r="P45" s="1455">
        <v>0</v>
      </c>
      <c r="Q45" s="613"/>
      <c r="R45" s="708">
        <v>42551</v>
      </c>
      <c r="S45" s="708" t="s">
        <v>230</v>
      </c>
      <c r="T45" s="708"/>
      <c r="U45" s="233"/>
      <c r="V45" s="17"/>
      <c r="X45" s="779" t="s">
        <v>165</v>
      </c>
      <c r="Y45" s="233"/>
      <c r="Z45" s="233"/>
      <c r="AB45" s="9" t="s">
        <v>404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426</v>
      </c>
      <c r="C46" s="613">
        <v>5274</v>
      </c>
      <c r="D46" s="613" t="s">
        <v>427</v>
      </c>
      <c r="E46" s="613" t="s">
        <v>428</v>
      </c>
      <c r="F46" s="613" t="s">
        <v>429</v>
      </c>
      <c r="G46" s="613" t="s">
        <v>431</v>
      </c>
      <c r="H46" s="708" t="s">
        <v>228</v>
      </c>
      <c r="I46" s="1739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5">
        <v>0</v>
      </c>
      <c r="Q46" s="613"/>
      <c r="R46" s="708">
        <v>42451</v>
      </c>
      <c r="S46" s="708" t="s">
        <v>230</v>
      </c>
      <c r="T46" s="708"/>
      <c r="U46" s="233"/>
      <c r="V46" s="17"/>
      <c r="X46" s="779" t="s">
        <v>432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310</v>
      </c>
      <c r="B47" s="613" t="s">
        <v>433</v>
      </c>
      <c r="C47" s="613">
        <v>5377</v>
      </c>
      <c r="D47" s="613" t="s">
        <v>434</v>
      </c>
      <c r="E47" s="613" t="s">
        <v>435</v>
      </c>
      <c r="F47" s="613" t="s">
        <v>436</v>
      </c>
      <c r="G47" s="613" t="s">
        <v>438</v>
      </c>
      <c r="H47" s="708" t="s">
        <v>439</v>
      </c>
      <c r="I47" s="1739">
        <v>44710</v>
      </c>
      <c r="J47" s="613">
        <v>8.1942000000000001E-2</v>
      </c>
      <c r="K47" s="613" t="s">
        <v>437</v>
      </c>
      <c r="L47" s="613">
        <v>155</v>
      </c>
      <c r="M47" s="613"/>
      <c r="N47" s="613"/>
      <c r="O47" s="613">
        <v>2024</v>
      </c>
      <c r="P47" s="1455">
        <v>0</v>
      </c>
      <c r="Q47" s="613"/>
      <c r="R47" s="708">
        <v>42489</v>
      </c>
      <c r="S47" s="708" t="s">
        <v>230</v>
      </c>
      <c r="T47" s="708"/>
      <c r="U47" s="233"/>
      <c r="V47" s="17"/>
      <c r="X47" s="779" t="s">
        <v>350</v>
      </c>
      <c r="Y47" s="233"/>
      <c r="Z47" s="233"/>
      <c r="AB47" s="9" t="s">
        <v>415</v>
      </c>
      <c r="AC47" s="17">
        <v>44772</v>
      </c>
      <c r="AD47" s="233"/>
    </row>
    <row r="48" spans="1:30" s="9" customFormat="1" ht="31.5">
      <c r="A48" s="613" t="s">
        <v>305</v>
      </c>
      <c r="B48" s="613" t="s">
        <v>440</v>
      </c>
      <c r="C48" s="613">
        <v>5279</v>
      </c>
      <c r="D48" s="613" t="s">
        <v>441</v>
      </c>
      <c r="E48" s="613" t="s">
        <v>442</v>
      </c>
      <c r="F48" s="613" t="s">
        <v>429</v>
      </c>
      <c r="G48" s="1456" t="s">
        <v>443</v>
      </c>
      <c r="H48" s="708" t="s">
        <v>444</v>
      </c>
      <c r="I48" s="1739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8" t="s">
        <v>445</v>
      </c>
      <c r="Q48" s="613"/>
      <c r="R48" s="708"/>
      <c r="S48" s="708" t="s">
        <v>446</v>
      </c>
      <c r="T48" s="708">
        <v>43374</v>
      </c>
      <c r="U48" s="233"/>
      <c r="V48" s="17"/>
      <c r="X48" s="779" t="s">
        <v>447</v>
      </c>
      <c r="Y48" s="233"/>
      <c r="Z48" s="233"/>
      <c r="AB48" s="9" t="s">
        <v>305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448</v>
      </c>
      <c r="C49" s="613">
        <v>6603</v>
      </c>
      <c r="D49" s="613" t="s">
        <v>449</v>
      </c>
      <c r="E49" s="613" t="s">
        <v>450</v>
      </c>
      <c r="F49" s="613" t="s">
        <v>429</v>
      </c>
      <c r="G49" s="1456" t="s">
        <v>451</v>
      </c>
      <c r="H49" s="708" t="s">
        <v>452</v>
      </c>
      <c r="I49" s="1739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8" t="s">
        <v>445</v>
      </c>
      <c r="Q49" s="613"/>
      <c r="R49" s="708"/>
      <c r="S49" s="708" t="s">
        <v>446</v>
      </c>
      <c r="T49" s="708">
        <v>43405</v>
      </c>
      <c r="U49" s="233"/>
      <c r="V49" s="17"/>
      <c r="X49" s="779" t="s">
        <v>278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328</v>
      </c>
      <c r="B50" s="613" t="s">
        <v>453</v>
      </c>
      <c r="C50" s="613">
        <v>504</v>
      </c>
      <c r="D50" s="613" t="s">
        <v>454</v>
      </c>
      <c r="E50" s="613" t="s">
        <v>455</v>
      </c>
      <c r="F50" s="613" t="s">
        <v>380</v>
      </c>
      <c r="G50" s="1456" t="s">
        <v>456</v>
      </c>
      <c r="H50" s="708" t="s">
        <v>457</v>
      </c>
      <c r="I50" s="1739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8" t="s">
        <v>445</v>
      </c>
      <c r="Q50" s="613"/>
      <c r="R50" s="708"/>
      <c r="S50" s="708" t="s">
        <v>446</v>
      </c>
      <c r="T50" s="708">
        <v>43405</v>
      </c>
      <c r="U50" s="233"/>
      <c r="V50" s="17"/>
      <c r="X50" s="779" t="s">
        <v>458</v>
      </c>
      <c r="Y50" s="233"/>
      <c r="Z50" s="233"/>
      <c r="AB50" s="9" t="s">
        <v>328</v>
      </c>
      <c r="AC50" s="17">
        <v>44772</v>
      </c>
      <c r="AD50" s="233"/>
    </row>
    <row r="51" spans="1:50" s="9" customFormat="1" ht="31.5">
      <c r="A51" s="613" t="s">
        <v>432</v>
      </c>
      <c r="B51" s="613" t="s">
        <v>459</v>
      </c>
      <c r="C51" s="613">
        <v>527</v>
      </c>
      <c r="D51" s="613" t="s">
        <v>460</v>
      </c>
      <c r="E51" s="613" t="s">
        <v>461</v>
      </c>
      <c r="F51" s="613" t="s">
        <v>380</v>
      </c>
      <c r="G51" s="1456" t="s">
        <v>462</v>
      </c>
      <c r="H51" s="708" t="s">
        <v>463</v>
      </c>
      <c r="I51" s="1739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8" t="s">
        <v>445</v>
      </c>
      <c r="Q51" s="613"/>
      <c r="R51" s="708"/>
      <c r="S51" s="708" t="s">
        <v>446</v>
      </c>
      <c r="T51" s="708">
        <v>43405</v>
      </c>
      <c r="U51" s="233"/>
      <c r="V51" s="17"/>
      <c r="X51" s="779" t="s">
        <v>154</v>
      </c>
      <c r="Y51" s="233"/>
      <c r="Z51" s="233"/>
      <c r="AB51" s="9" t="s">
        <v>432</v>
      </c>
      <c r="AC51" s="17">
        <v>44772</v>
      </c>
      <c r="AD51" s="233"/>
    </row>
    <row r="52" spans="1:50" s="9" customFormat="1" ht="31.5">
      <c r="A52" s="613" t="s">
        <v>231</v>
      </c>
      <c r="B52" s="613" t="s">
        <v>464</v>
      </c>
      <c r="C52" s="613">
        <v>11825</v>
      </c>
      <c r="D52" s="613" t="s">
        <v>465</v>
      </c>
      <c r="E52" s="613" t="s">
        <v>466</v>
      </c>
      <c r="F52" s="613" t="s">
        <v>423</v>
      </c>
      <c r="G52" s="1456" t="s">
        <v>468</v>
      </c>
      <c r="H52" s="708" t="s">
        <v>469</v>
      </c>
      <c r="I52" s="1739">
        <v>44772</v>
      </c>
      <c r="J52" s="613">
        <v>8.1942000000000001E-2</v>
      </c>
      <c r="K52" s="613" t="s">
        <v>467</v>
      </c>
      <c r="L52" s="613">
        <v>132</v>
      </c>
      <c r="M52" s="613"/>
      <c r="N52" s="613"/>
      <c r="O52" s="613">
        <v>2022</v>
      </c>
      <c r="P52" s="708" t="s">
        <v>445</v>
      </c>
      <c r="Q52" s="613"/>
      <c r="R52" s="708"/>
      <c r="S52" s="708" t="s">
        <v>446</v>
      </c>
      <c r="T52" s="708">
        <v>43405</v>
      </c>
      <c r="U52" s="233"/>
      <c r="V52" s="17"/>
      <c r="X52" s="779" t="s">
        <v>359</v>
      </c>
      <c r="Y52" s="233"/>
      <c r="Z52" s="233"/>
      <c r="AB52" s="9" t="s">
        <v>231</v>
      </c>
      <c r="AC52" s="17">
        <v>44772</v>
      </c>
      <c r="AD52" s="233"/>
    </row>
    <row r="53" spans="1:50" s="9" customFormat="1" ht="31.5">
      <c r="A53" s="613" t="s">
        <v>447</v>
      </c>
      <c r="B53" s="613" t="s">
        <v>470</v>
      </c>
      <c r="C53" s="613">
        <v>5375</v>
      </c>
      <c r="D53" s="613" t="s">
        <v>471</v>
      </c>
      <c r="E53" s="613" t="s">
        <v>472</v>
      </c>
      <c r="F53" s="613" t="s">
        <v>225</v>
      </c>
      <c r="G53" s="1456" t="s">
        <v>475</v>
      </c>
      <c r="H53" s="708" t="s">
        <v>476</v>
      </c>
      <c r="I53" s="1739">
        <v>44834</v>
      </c>
      <c r="J53" s="613">
        <v>8.1942000000000001E-2</v>
      </c>
      <c r="K53" s="613" t="s">
        <v>473</v>
      </c>
      <c r="L53" s="613">
        <v>145</v>
      </c>
      <c r="M53" s="613" t="s">
        <v>474</v>
      </c>
      <c r="N53" s="613">
        <v>136</v>
      </c>
      <c r="O53" s="613">
        <v>2022</v>
      </c>
      <c r="P53" s="708" t="s">
        <v>445</v>
      </c>
      <c r="Q53" s="613"/>
      <c r="R53" s="708"/>
      <c r="S53" s="708" t="s">
        <v>446</v>
      </c>
      <c r="T53" s="708">
        <v>43466</v>
      </c>
      <c r="U53" s="233"/>
      <c r="V53" s="17"/>
      <c r="X53" s="779" t="s">
        <v>399</v>
      </c>
      <c r="Y53" s="233"/>
      <c r="Z53" s="233"/>
      <c r="AB53" s="9" t="s">
        <v>447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477</v>
      </c>
      <c r="C54" s="613">
        <v>5356</v>
      </c>
      <c r="D54" s="613" t="s">
        <v>478</v>
      </c>
      <c r="E54" s="613" t="s">
        <v>479</v>
      </c>
      <c r="F54" s="613" t="s">
        <v>286</v>
      </c>
      <c r="G54" s="1456" t="s">
        <v>481</v>
      </c>
      <c r="H54" s="708" t="s">
        <v>482</v>
      </c>
      <c r="I54" s="1739">
        <v>44834</v>
      </c>
      <c r="J54" s="613">
        <v>8.1942000000000001E-2</v>
      </c>
      <c r="K54" s="613" t="s">
        <v>480</v>
      </c>
      <c r="L54" s="613">
        <v>111</v>
      </c>
      <c r="M54" s="613"/>
      <c r="N54" s="613"/>
      <c r="O54" s="613">
        <v>2022</v>
      </c>
      <c r="P54" s="708" t="s">
        <v>445</v>
      </c>
      <c r="Q54" s="613"/>
      <c r="R54" s="708"/>
      <c r="S54" s="708" t="s">
        <v>446</v>
      </c>
      <c r="T54" s="708">
        <v>43435</v>
      </c>
      <c r="U54" s="233"/>
      <c r="V54" s="17"/>
      <c r="X54" s="779" t="s">
        <v>366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410</v>
      </c>
      <c r="B55" s="613" t="s">
        <v>483</v>
      </c>
      <c r="C55" s="613">
        <v>7883</v>
      </c>
      <c r="D55" s="613" t="s">
        <v>484</v>
      </c>
      <c r="E55" s="613" t="s">
        <v>485</v>
      </c>
      <c r="F55" s="613" t="s">
        <v>286</v>
      </c>
      <c r="G55" s="1456" t="s">
        <v>486</v>
      </c>
      <c r="H55" s="708" t="s">
        <v>487</v>
      </c>
      <c r="I55" s="1739">
        <v>44834</v>
      </c>
      <c r="J55" s="613">
        <v>8.1942000000000001E-2</v>
      </c>
      <c r="K55" s="613" t="s">
        <v>480</v>
      </c>
      <c r="L55" s="613">
        <v>111</v>
      </c>
      <c r="M55" s="613"/>
      <c r="N55" s="613"/>
      <c r="O55" s="613">
        <v>2022</v>
      </c>
      <c r="P55" s="708" t="s">
        <v>445</v>
      </c>
      <c r="Q55" s="613"/>
      <c r="R55" s="708"/>
      <c r="S55" s="708" t="s">
        <v>446</v>
      </c>
      <c r="T55" s="708">
        <v>43435</v>
      </c>
      <c r="U55" s="233"/>
      <c r="V55" s="17"/>
      <c r="X55" s="779" t="s">
        <v>11</v>
      </c>
      <c r="Y55" s="233"/>
      <c r="Z55" s="233"/>
      <c r="AB55" s="9" t="s">
        <v>410</v>
      </c>
      <c r="AC55" s="17">
        <v>44834</v>
      </c>
      <c r="AD55" s="233"/>
    </row>
    <row r="56" spans="1:50" s="9" customFormat="1" ht="31.5">
      <c r="A56" s="613" t="s">
        <v>458</v>
      </c>
      <c r="B56" s="613" t="s">
        <v>488</v>
      </c>
      <c r="C56" s="613">
        <v>11763</v>
      </c>
      <c r="D56" s="613" t="s">
        <v>489</v>
      </c>
      <c r="E56" s="613" t="s">
        <v>490</v>
      </c>
      <c r="F56" s="613" t="s">
        <v>286</v>
      </c>
      <c r="G56" s="1456" t="s">
        <v>491</v>
      </c>
      <c r="H56" s="708" t="s">
        <v>492</v>
      </c>
      <c r="I56" s="1739">
        <v>44834</v>
      </c>
      <c r="J56" s="613">
        <v>8.1942000000000001E-2</v>
      </c>
      <c r="K56" s="613" t="s">
        <v>480</v>
      </c>
      <c r="L56" s="613">
        <v>111</v>
      </c>
      <c r="M56" s="613"/>
      <c r="N56" s="613"/>
      <c r="O56" s="613">
        <v>2022</v>
      </c>
      <c r="P56" s="708" t="s">
        <v>445</v>
      </c>
      <c r="Q56" s="613"/>
      <c r="R56" s="708"/>
      <c r="S56" s="708" t="s">
        <v>446</v>
      </c>
      <c r="T56" s="708">
        <v>43466</v>
      </c>
      <c r="U56" s="233"/>
      <c r="V56" s="17"/>
      <c r="X56" s="613" t="s">
        <v>10</v>
      </c>
      <c r="Y56" s="233"/>
      <c r="Z56" s="233"/>
      <c r="AB56" s="9" t="s">
        <v>458</v>
      </c>
      <c r="AC56" s="17">
        <v>44834</v>
      </c>
      <c r="AD56" s="233"/>
    </row>
    <row r="57" spans="1:50" s="9" customFormat="1" ht="31.5">
      <c r="A57" s="613" t="s">
        <v>493</v>
      </c>
      <c r="B57" s="613" t="s">
        <v>494</v>
      </c>
      <c r="C57" s="613">
        <v>5374</v>
      </c>
      <c r="D57" s="613" t="s">
        <v>495</v>
      </c>
      <c r="E57" s="613" t="s">
        <v>496</v>
      </c>
      <c r="F57" s="613" t="s">
        <v>286</v>
      </c>
      <c r="G57" s="1456" t="s">
        <v>497</v>
      </c>
      <c r="H57" s="708" t="s">
        <v>498</v>
      </c>
      <c r="I57" s="1739">
        <v>44834</v>
      </c>
      <c r="J57" s="613">
        <v>8.1942000000000001E-2</v>
      </c>
      <c r="K57" s="613" t="s">
        <v>480</v>
      </c>
      <c r="L57" s="613">
        <v>111</v>
      </c>
      <c r="M57" s="613"/>
      <c r="N57" s="613"/>
      <c r="O57" s="613">
        <v>2022</v>
      </c>
      <c r="P57" s="708" t="s">
        <v>445</v>
      </c>
      <c r="Q57" s="613"/>
      <c r="R57" s="708"/>
      <c r="S57" s="708" t="s">
        <v>446</v>
      </c>
      <c r="T57" s="708">
        <v>43435</v>
      </c>
      <c r="U57" s="233"/>
      <c r="V57" s="17"/>
      <c r="X57" s="834" t="s">
        <v>499</v>
      </c>
      <c r="Y57" s="233"/>
      <c r="Z57" s="233"/>
      <c r="AB57" s="9" t="s">
        <v>493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500</v>
      </c>
      <c r="C58" s="613">
        <v>5346</v>
      </c>
      <c r="D58" s="613" t="s">
        <v>501</v>
      </c>
      <c r="E58" s="613" t="s">
        <v>502</v>
      </c>
      <c r="F58" s="613" t="s">
        <v>380</v>
      </c>
      <c r="G58" s="613" t="s">
        <v>503</v>
      </c>
      <c r="H58" s="708" t="s">
        <v>504</v>
      </c>
      <c r="I58" s="1739">
        <v>44917</v>
      </c>
      <c r="J58" s="613">
        <v>8.1942000000000001E-2</v>
      </c>
      <c r="K58" s="613" t="s">
        <v>292</v>
      </c>
      <c r="L58" s="613">
        <v>110</v>
      </c>
      <c r="M58" s="613"/>
      <c r="N58" s="613"/>
      <c r="O58" s="613">
        <v>2022</v>
      </c>
      <c r="P58" s="708"/>
      <c r="Q58" s="613"/>
      <c r="R58" s="708"/>
      <c r="S58" s="708" t="s">
        <v>446</v>
      </c>
      <c r="T58" s="708">
        <v>43525</v>
      </c>
      <c r="U58" s="233"/>
      <c r="V58" s="17"/>
      <c r="X58" s="779" t="s">
        <v>371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505</v>
      </c>
      <c r="C59" s="613">
        <v>5345</v>
      </c>
      <c r="D59" s="613" t="s">
        <v>506</v>
      </c>
      <c r="E59" s="613" t="s">
        <v>507</v>
      </c>
      <c r="F59" s="613" t="s">
        <v>380</v>
      </c>
      <c r="G59" s="613" t="s">
        <v>508</v>
      </c>
      <c r="H59" s="708" t="s">
        <v>509</v>
      </c>
      <c r="I59" s="1739">
        <v>44917</v>
      </c>
      <c r="J59" s="613">
        <v>8.1942000000000001E-2</v>
      </c>
      <c r="K59" s="613" t="s">
        <v>292</v>
      </c>
      <c r="L59" s="613">
        <v>110</v>
      </c>
      <c r="M59" s="613"/>
      <c r="N59" s="613"/>
      <c r="O59" s="613">
        <v>2022</v>
      </c>
      <c r="P59" s="708"/>
      <c r="Q59" s="613"/>
      <c r="R59" s="708"/>
      <c r="S59" s="708" t="s">
        <v>446</v>
      </c>
      <c r="T59" s="708">
        <v>43525</v>
      </c>
      <c r="U59" s="233"/>
      <c r="V59" s="17"/>
      <c r="X59" s="779" t="s">
        <v>404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266</v>
      </c>
      <c r="B60" s="613" t="s">
        <v>510</v>
      </c>
      <c r="C60" s="613">
        <v>7467</v>
      </c>
      <c r="D60" s="613" t="s">
        <v>511</v>
      </c>
      <c r="E60" s="613" t="s">
        <v>512</v>
      </c>
      <c r="F60" s="613" t="s">
        <v>225</v>
      </c>
      <c r="G60" s="613" t="s">
        <v>513</v>
      </c>
      <c r="H60" s="708" t="s">
        <v>514</v>
      </c>
      <c r="I60" s="1739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8"/>
      <c r="Q60" s="613"/>
      <c r="R60" s="708"/>
      <c r="S60" s="708" t="s">
        <v>446</v>
      </c>
      <c r="T60" s="708">
        <v>43614</v>
      </c>
      <c r="X60" s="779" t="s">
        <v>143</v>
      </c>
      <c r="Y60" s="233"/>
      <c r="Z60" s="233"/>
      <c r="AB60" s="9" t="s">
        <v>266</v>
      </c>
      <c r="AC60" s="17">
        <v>44710</v>
      </c>
      <c r="AD60" s="233"/>
    </row>
    <row r="61" spans="1:50" ht="31.5">
      <c r="A61" s="496" t="s">
        <v>259</v>
      </c>
      <c r="B61" s="496" t="s">
        <v>515</v>
      </c>
      <c r="C61" s="496">
        <v>5343</v>
      </c>
      <c r="D61" s="613" t="s">
        <v>516</v>
      </c>
      <c r="E61" s="496" t="s">
        <v>517</v>
      </c>
      <c r="F61" s="496" t="s">
        <v>380</v>
      </c>
      <c r="G61" s="708">
        <v>43831</v>
      </c>
      <c r="H61" s="821" t="s">
        <v>519</v>
      </c>
      <c r="I61" s="1739">
        <v>44772</v>
      </c>
      <c r="J61" s="613">
        <v>8.1942000000000001E-2</v>
      </c>
      <c r="K61" s="496" t="s">
        <v>167</v>
      </c>
      <c r="L61" s="496">
        <v>167</v>
      </c>
      <c r="M61" s="496" t="s">
        <v>518</v>
      </c>
      <c r="N61" s="496">
        <v>164</v>
      </c>
      <c r="O61" s="496">
        <v>2022</v>
      </c>
      <c r="P61" s="496"/>
      <c r="Q61" s="821"/>
      <c r="R61" s="821"/>
      <c r="S61" s="708" t="s">
        <v>520</v>
      </c>
      <c r="T61" s="821">
        <v>44105</v>
      </c>
      <c r="X61" s="613" t="s">
        <v>415</v>
      </c>
      <c r="Y61" s="816"/>
      <c r="AB61" t="s">
        <v>259</v>
      </c>
      <c r="AC61" s="8">
        <v>44772</v>
      </c>
      <c r="AD61" s="816"/>
      <c r="AS61"/>
      <c r="AX61"/>
    </row>
    <row r="62" spans="1:50">
      <c r="AD62" s="749"/>
    </row>
    <row r="64" spans="1:50">
      <c r="B64">
        <v>6896</v>
      </c>
    </row>
    <row r="66" spans="1:14" hidden="1">
      <c r="A66" s="626" t="s">
        <v>521</v>
      </c>
    </row>
    <row r="67" spans="1:14" hidden="1"/>
    <row r="68" spans="1:14" hidden="1">
      <c r="A68" s="497" t="s">
        <v>522</v>
      </c>
      <c r="B68" s="497" t="s">
        <v>27</v>
      </c>
      <c r="C68" s="497" t="s">
        <v>523</v>
      </c>
      <c r="D68" s="497" t="s">
        <v>524</v>
      </c>
      <c r="E68" s="497" t="s">
        <v>525</v>
      </c>
      <c r="F68" s="497" t="s">
        <v>526</v>
      </c>
      <c r="G68" s="497" t="s">
        <v>527</v>
      </c>
      <c r="H68" s="497" t="s">
        <v>528</v>
      </c>
      <c r="I68" s="497" t="s">
        <v>529</v>
      </c>
      <c r="J68" s="497" t="s">
        <v>530</v>
      </c>
      <c r="K68" s="503" t="s">
        <v>531</v>
      </c>
      <c r="L68" s="497" t="s">
        <v>532</v>
      </c>
      <c r="M68" s="503" t="s">
        <v>533</v>
      </c>
      <c r="N68" s="503" t="s">
        <v>2028</v>
      </c>
    </row>
    <row r="69" spans="1:14" hidden="1">
      <c r="A69" s="468" t="s">
        <v>221</v>
      </c>
      <c r="B69" s="613" t="s">
        <v>226</v>
      </c>
      <c r="C69" s="468">
        <v>104</v>
      </c>
      <c r="D69" s="468">
        <v>391</v>
      </c>
      <c r="E69" s="468" t="s">
        <v>534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2">
        <v>0</v>
      </c>
      <c r="M69" s="822">
        <v>0</v>
      </c>
    </row>
    <row r="70" spans="1:14" hidden="1">
      <c r="A70" s="468" t="s">
        <v>221</v>
      </c>
      <c r="B70" s="468" t="s">
        <v>136</v>
      </c>
      <c r="C70" s="468">
        <v>145</v>
      </c>
      <c r="D70" s="468">
        <v>385</v>
      </c>
      <c r="E70" s="468" t="s">
        <v>534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2">
        <v>0</v>
      </c>
      <c r="M70" s="822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534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2">
        <v>0</v>
      </c>
      <c r="M71" s="822">
        <v>0</v>
      </c>
    </row>
    <row r="72" spans="1:14" hidden="1">
      <c r="A72" s="468" t="s">
        <v>253</v>
      </c>
      <c r="B72" s="468" t="s">
        <v>155</v>
      </c>
      <c r="C72" s="468">
        <v>111</v>
      </c>
      <c r="D72" s="468">
        <v>5697</v>
      </c>
      <c r="E72" s="468" t="s">
        <v>534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2">
        <v>0</v>
      </c>
      <c r="M72" s="822">
        <v>0</v>
      </c>
    </row>
    <row r="73" spans="1:14" hidden="1">
      <c r="A73" s="468" t="s">
        <v>253</v>
      </c>
      <c r="B73" s="474" t="s">
        <v>345</v>
      </c>
      <c r="C73" s="468">
        <v>228</v>
      </c>
      <c r="D73" s="468">
        <v>5368</v>
      </c>
      <c r="E73" s="468" t="s">
        <v>534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2">
        <v>0</v>
      </c>
      <c r="M73" s="822">
        <v>0</v>
      </c>
    </row>
    <row r="74" spans="1:14" hidden="1">
      <c r="A74" s="468" t="s">
        <v>9</v>
      </c>
      <c r="B74" s="468" t="s">
        <v>535</v>
      </c>
      <c r="C74" s="468">
        <v>110</v>
      </c>
      <c r="D74" s="468">
        <v>5707</v>
      </c>
      <c r="E74" s="468" t="s">
        <v>534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2">
        <v>0</v>
      </c>
      <c r="M74" s="1446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536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2">
        <v>0.29099999999999998</v>
      </c>
      <c r="M75" s="1447">
        <v>0</v>
      </c>
    </row>
    <row r="76" spans="1:14" hidden="1">
      <c r="A76" s="468" t="s">
        <v>277</v>
      </c>
      <c r="B76" s="468" t="s">
        <v>155</v>
      </c>
      <c r="C76" s="468">
        <v>111</v>
      </c>
      <c r="D76" s="468">
        <v>5697</v>
      </c>
      <c r="E76" s="468" t="s">
        <v>534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2">
        <v>0.56379999999999997</v>
      </c>
      <c r="M76" s="1447">
        <v>0.54410000000000003</v>
      </c>
    </row>
    <row r="77" spans="1:14" hidden="1">
      <c r="A77" s="468" t="s">
        <v>150</v>
      </c>
      <c r="B77" s="468" t="s">
        <v>300</v>
      </c>
      <c r="C77" s="468">
        <v>220</v>
      </c>
      <c r="D77" s="468">
        <v>6898</v>
      </c>
      <c r="E77" s="468" t="s">
        <v>534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2">
        <v>0</v>
      </c>
      <c r="M77" s="822">
        <v>0</v>
      </c>
    </row>
    <row r="78" spans="1:14" hidden="1">
      <c r="A78" s="468" t="s">
        <v>295</v>
      </c>
      <c r="B78" s="468" t="s">
        <v>537</v>
      </c>
      <c r="C78" s="468">
        <v>132</v>
      </c>
      <c r="D78" s="468">
        <v>2866</v>
      </c>
      <c r="E78" s="468" t="s">
        <v>534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2">
        <v>0.2326</v>
      </c>
      <c r="M78" s="1447">
        <v>0.2326</v>
      </c>
    </row>
    <row r="79" spans="1:14" hidden="1">
      <c r="A79" s="468" t="s">
        <v>295</v>
      </c>
      <c r="B79" s="468" t="s">
        <v>537</v>
      </c>
      <c r="C79" s="468">
        <v>132</v>
      </c>
      <c r="D79" s="468">
        <v>2866</v>
      </c>
      <c r="E79" s="468" t="s">
        <v>538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2">
        <v>0.2326</v>
      </c>
      <c r="M79" s="1447">
        <v>0.2326</v>
      </c>
    </row>
    <row r="80" spans="1:14" hidden="1">
      <c r="A80" s="468" t="s">
        <v>300</v>
      </c>
      <c r="B80" s="468" t="s">
        <v>155</v>
      </c>
      <c r="C80" s="468">
        <v>111</v>
      </c>
      <c r="D80" s="468">
        <v>5697</v>
      </c>
      <c r="E80" s="468" t="s">
        <v>539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2">
        <v>9.9400000000000002E-2</v>
      </c>
      <c r="M80" s="1447">
        <v>0</v>
      </c>
    </row>
    <row r="81" spans="1:14" hidden="1">
      <c r="A81" s="468" t="s">
        <v>300</v>
      </c>
      <c r="B81" s="468" t="s">
        <v>155</v>
      </c>
      <c r="C81" s="468">
        <v>111</v>
      </c>
      <c r="D81" s="468">
        <v>5697</v>
      </c>
      <c r="E81" s="468" t="s">
        <v>534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2">
        <v>9.9400000000000002E-2</v>
      </c>
      <c r="M81" s="1447">
        <v>0</v>
      </c>
    </row>
    <row r="82" spans="1:14" hidden="1">
      <c r="A82" s="468" t="s">
        <v>310</v>
      </c>
      <c r="B82" s="468" t="s">
        <v>540</v>
      </c>
      <c r="C82" s="468">
        <v>155</v>
      </c>
      <c r="D82" s="468">
        <v>6587</v>
      </c>
      <c r="E82" s="468" t="s">
        <v>534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2">
        <v>0</v>
      </c>
      <c r="M82" s="822">
        <v>0</v>
      </c>
    </row>
    <row r="83" spans="1:14" hidden="1">
      <c r="A83" s="468" t="s">
        <v>311</v>
      </c>
      <c r="B83" s="468" t="s">
        <v>155</v>
      </c>
      <c r="C83" s="468">
        <v>111</v>
      </c>
      <c r="D83" s="468">
        <v>5697</v>
      </c>
      <c r="E83" s="468" t="s">
        <v>534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2">
        <v>0.63749999999999996</v>
      </c>
      <c r="M83" s="1447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534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2">
        <f>DescontosTE[[#This Row],[2019]]</f>
        <v>0.43730000000000002</v>
      </c>
      <c r="M84" s="1448">
        <f>DescontosTE[[#This Row],[2020]]</f>
        <v>0.43730000000000002</v>
      </c>
      <c r="N84" s="1448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534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2">
        <v>0.25619999999999998</v>
      </c>
      <c r="M85" s="1447">
        <v>0.25619999999999998</v>
      </c>
    </row>
    <row r="86" spans="1:14" hidden="1">
      <c r="A86" s="468" t="s">
        <v>322</v>
      </c>
      <c r="B86" s="468" t="s">
        <v>155</v>
      </c>
      <c r="C86" s="468">
        <v>111</v>
      </c>
      <c r="D86" s="468">
        <v>5697</v>
      </c>
      <c r="E86" s="468" t="s">
        <v>534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2">
        <v>0.37969999999999998</v>
      </c>
      <c r="M86" s="1447">
        <v>0.36749999999999999</v>
      </c>
    </row>
    <row r="87" spans="1:14" hidden="1">
      <c r="A87" s="468" t="s">
        <v>329</v>
      </c>
      <c r="B87" s="468" t="s">
        <v>155</v>
      </c>
      <c r="C87" s="468">
        <v>111</v>
      </c>
      <c r="D87" s="468">
        <v>5697</v>
      </c>
      <c r="E87" s="468" t="s">
        <v>534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2">
        <v>0.55110000000000003</v>
      </c>
      <c r="M87" s="1447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536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2">
        <v>0.2132</v>
      </c>
      <c r="M88" s="1447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534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2">
        <v>0.2132</v>
      </c>
      <c r="M89" s="1447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541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2">
        <v>0.2132</v>
      </c>
      <c r="M90" s="1447">
        <v>0.2132</v>
      </c>
    </row>
    <row r="91" spans="1:14" hidden="1">
      <c r="A91" s="468" t="s">
        <v>237</v>
      </c>
      <c r="B91" s="468" t="s">
        <v>146</v>
      </c>
      <c r="C91" s="468">
        <v>135</v>
      </c>
      <c r="D91" s="468">
        <v>2937</v>
      </c>
      <c r="E91" s="468" t="s">
        <v>534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4">
        <v>5.0599999999999999E-2</v>
      </c>
      <c r="L91" s="822">
        <v>0</v>
      </c>
      <c r="M91" s="822">
        <v>0</v>
      </c>
    </row>
    <row r="92" spans="1:14" hidden="1">
      <c r="A92" s="468" t="s">
        <v>242</v>
      </c>
      <c r="B92" s="468" t="s">
        <v>136</v>
      </c>
      <c r="C92" s="468">
        <v>145</v>
      </c>
      <c r="D92" s="468">
        <v>385</v>
      </c>
      <c r="E92" s="468" t="s">
        <v>538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8">
        <v>1.2E-2</v>
      </c>
      <c r="L92" s="822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242</v>
      </c>
      <c r="B93" s="468" t="s">
        <v>136</v>
      </c>
      <c r="C93" s="468">
        <v>145</v>
      </c>
      <c r="D93" s="468">
        <v>385</v>
      </c>
      <c r="E93" s="468" t="s">
        <v>534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8">
        <v>1.2E-2</v>
      </c>
      <c r="L93" s="822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242</v>
      </c>
      <c r="B94" s="468" t="s">
        <v>166</v>
      </c>
      <c r="C94" s="468">
        <v>166</v>
      </c>
      <c r="D94" s="468">
        <v>72</v>
      </c>
      <c r="E94" s="468" t="s">
        <v>536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8">
        <v>1.2E-2</v>
      </c>
      <c r="L94" s="822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242</v>
      </c>
      <c r="B95" s="468" t="s">
        <v>166</v>
      </c>
      <c r="C95" s="468">
        <v>166</v>
      </c>
      <c r="D95" s="468">
        <v>72</v>
      </c>
      <c r="E95" s="468" t="s">
        <v>538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8">
        <v>1.2E-2</v>
      </c>
      <c r="L95" s="822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242</v>
      </c>
      <c r="B96" s="468" t="s">
        <v>166</v>
      </c>
      <c r="C96" s="468">
        <v>166</v>
      </c>
      <c r="D96" s="468">
        <v>72</v>
      </c>
      <c r="E96" s="468" t="s">
        <v>534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8">
        <v>1.2E-2</v>
      </c>
      <c r="L96" s="822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247</v>
      </c>
      <c r="B97" s="468" t="s">
        <v>251</v>
      </c>
      <c r="C97" s="468">
        <v>148</v>
      </c>
      <c r="D97" s="468">
        <v>390</v>
      </c>
      <c r="E97" s="468" t="s">
        <v>534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2">
        <v>0.58150000000000002</v>
      </c>
      <c r="M97" s="1447">
        <v>0.58150000000000002</v>
      </c>
    </row>
    <row r="98" spans="1:13" hidden="1">
      <c r="A98" s="468" t="s">
        <v>542</v>
      </c>
      <c r="B98" s="613" t="s">
        <v>226</v>
      </c>
      <c r="C98" s="468">
        <v>104</v>
      </c>
      <c r="D98" s="468">
        <v>391</v>
      </c>
      <c r="E98" s="468" t="s">
        <v>534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2">
        <v>0</v>
      </c>
      <c r="M98" s="822">
        <v>0</v>
      </c>
    </row>
    <row r="99" spans="1:13" hidden="1">
      <c r="A99" s="468" t="s">
        <v>376</v>
      </c>
      <c r="B99" s="468" t="s">
        <v>167</v>
      </c>
      <c r="C99" s="591">
        <v>167</v>
      </c>
      <c r="D99" s="591">
        <v>396</v>
      </c>
      <c r="E99" s="468" t="s">
        <v>536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2">
        <v>0</v>
      </c>
      <c r="M99" s="822">
        <v>0</v>
      </c>
    </row>
    <row r="100" spans="1:13" hidden="1">
      <c r="A100" s="468" t="s">
        <v>376</v>
      </c>
      <c r="B100" s="468" t="s">
        <v>167</v>
      </c>
      <c r="C100" s="591">
        <v>167</v>
      </c>
      <c r="D100" s="591">
        <v>396</v>
      </c>
      <c r="E100" s="468" t="s">
        <v>534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2">
        <v>0</v>
      </c>
      <c r="M100" s="822">
        <v>0</v>
      </c>
    </row>
    <row r="101" spans="1:13" hidden="1">
      <c r="A101" s="468" t="s">
        <v>376</v>
      </c>
      <c r="B101" s="468" t="s">
        <v>167</v>
      </c>
      <c r="C101" s="591">
        <v>167</v>
      </c>
      <c r="D101" s="591">
        <v>396</v>
      </c>
      <c r="E101" s="468" t="s">
        <v>541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2">
        <v>0</v>
      </c>
      <c r="M101" s="822">
        <v>0</v>
      </c>
    </row>
    <row r="102" spans="1:13" hidden="1">
      <c r="A102" s="468" t="s">
        <v>334</v>
      </c>
      <c r="B102" s="468" t="s">
        <v>155</v>
      </c>
      <c r="C102" s="468">
        <v>111</v>
      </c>
      <c r="D102" s="468">
        <v>5697</v>
      </c>
      <c r="E102" s="468" t="s">
        <v>536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2">
        <v>0.55579999999999996</v>
      </c>
      <c r="M102" s="1447">
        <v>0.53969999999999996</v>
      </c>
    </row>
    <row r="103" spans="1:13" hidden="1">
      <c r="A103" s="468" t="s">
        <v>334</v>
      </c>
      <c r="B103" s="468" t="s">
        <v>155</v>
      </c>
      <c r="C103" s="468">
        <v>111</v>
      </c>
      <c r="D103" s="468">
        <v>5697</v>
      </c>
      <c r="E103" s="468" t="s">
        <v>534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2">
        <v>0.55579999999999996</v>
      </c>
      <c r="M103" s="1447">
        <v>0.53969999999999996</v>
      </c>
    </row>
    <row r="104" spans="1:13" hidden="1">
      <c r="A104" s="468" t="s">
        <v>260</v>
      </c>
      <c r="B104" s="474" t="s">
        <v>111</v>
      </c>
      <c r="C104" s="468">
        <v>165</v>
      </c>
      <c r="D104" s="468">
        <v>5216</v>
      </c>
      <c r="E104" s="468" t="s">
        <v>534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2">
        <v>0</v>
      </c>
      <c r="M104" s="822">
        <v>0</v>
      </c>
    </row>
    <row r="105" spans="1:13" hidden="1">
      <c r="A105" s="468" t="s">
        <v>340</v>
      </c>
      <c r="B105" s="468" t="s">
        <v>155</v>
      </c>
      <c r="C105" s="468">
        <v>111</v>
      </c>
      <c r="D105" s="468">
        <v>5697</v>
      </c>
      <c r="E105" s="468" t="s">
        <v>538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2">
        <v>0.44540000000000002</v>
      </c>
      <c r="M105" s="1447">
        <v>0.31740000000000002</v>
      </c>
    </row>
    <row r="106" spans="1:13" hidden="1">
      <c r="A106" s="468" t="s">
        <v>267</v>
      </c>
      <c r="B106" s="468" t="s">
        <v>125</v>
      </c>
      <c r="C106" s="468">
        <v>136</v>
      </c>
      <c r="D106" s="468">
        <v>63</v>
      </c>
      <c r="E106" s="468" t="s">
        <v>534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7">
        <v>0</v>
      </c>
      <c r="K106" s="653">
        <v>0</v>
      </c>
      <c r="L106" s="822">
        <v>0</v>
      </c>
      <c r="M106" s="822">
        <v>0</v>
      </c>
    </row>
    <row r="107" spans="1:13" hidden="1">
      <c r="A107" s="468" t="s">
        <v>543</v>
      </c>
      <c r="B107" s="474" t="s">
        <v>111</v>
      </c>
      <c r="C107" s="468">
        <v>165</v>
      </c>
      <c r="D107" s="468">
        <v>5216</v>
      </c>
      <c r="E107" s="474" t="s">
        <v>534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7">
        <v>0.31390000000000001</v>
      </c>
      <c r="K107" s="653">
        <v>0.31390000000000001</v>
      </c>
      <c r="L107" s="822">
        <v>7.5600000000000001E-2</v>
      </c>
      <c r="M107" s="1447">
        <v>6.0199999999999997E-2</v>
      </c>
    </row>
    <row r="108" spans="1:13" hidden="1">
      <c r="A108" s="468" t="s">
        <v>543</v>
      </c>
      <c r="B108" s="468" t="s">
        <v>125</v>
      </c>
      <c r="C108" s="468">
        <v>136</v>
      </c>
      <c r="D108" s="468">
        <v>63</v>
      </c>
      <c r="E108" s="468" t="s">
        <v>534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7">
        <v>0.31390000000000001</v>
      </c>
      <c r="K108" s="653">
        <v>0.31390000000000001</v>
      </c>
      <c r="L108" s="822">
        <v>7.5600000000000001E-2</v>
      </c>
      <c r="M108" s="1447">
        <v>6.0199999999999997E-2</v>
      </c>
    </row>
    <row r="109" spans="1:13" hidden="1">
      <c r="A109" s="468" t="s">
        <v>345</v>
      </c>
      <c r="B109" s="468" t="s">
        <v>155</v>
      </c>
      <c r="C109" s="468">
        <v>111</v>
      </c>
      <c r="D109" s="468">
        <v>5697</v>
      </c>
      <c r="E109" s="468" t="s">
        <v>534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2">
        <v>0.48139999999999999</v>
      </c>
      <c r="M109" s="1447">
        <v>0.48139999999999999</v>
      </c>
    </row>
    <row r="110" spans="1:13" hidden="1">
      <c r="A110" s="468" t="s">
        <v>345</v>
      </c>
      <c r="B110" s="468" t="s">
        <v>155</v>
      </c>
      <c r="C110" s="468">
        <v>111</v>
      </c>
      <c r="D110" s="468">
        <v>5697</v>
      </c>
      <c r="E110" s="468" t="s">
        <v>536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2">
        <v>0.55869999999999997</v>
      </c>
      <c r="M110" s="1447">
        <v>0.55869999999999997</v>
      </c>
    </row>
    <row r="111" spans="1:13" hidden="1">
      <c r="A111" s="468" t="s">
        <v>388</v>
      </c>
      <c r="B111" s="468" t="s">
        <v>167</v>
      </c>
      <c r="C111" s="591">
        <v>167</v>
      </c>
      <c r="D111" s="468">
        <v>396</v>
      </c>
      <c r="E111" s="468" t="s">
        <v>536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2">
        <v>0</v>
      </c>
      <c r="M111" s="822">
        <v>0</v>
      </c>
    </row>
    <row r="112" spans="1:13" hidden="1">
      <c r="A112" s="468" t="s">
        <v>388</v>
      </c>
      <c r="B112" s="468" t="s">
        <v>167</v>
      </c>
      <c r="C112" s="591">
        <v>167</v>
      </c>
      <c r="D112" s="468">
        <v>396</v>
      </c>
      <c r="E112" s="468" t="s">
        <v>534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2">
        <v>0</v>
      </c>
      <c r="M112" s="822">
        <v>0</v>
      </c>
    </row>
    <row r="113" spans="1:13" hidden="1">
      <c r="A113" s="468" t="s">
        <v>388</v>
      </c>
      <c r="B113" s="468" t="s">
        <v>292</v>
      </c>
      <c r="C113" s="468">
        <v>110</v>
      </c>
      <c r="D113" s="468">
        <v>5707</v>
      </c>
      <c r="E113" s="468" t="s">
        <v>534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2">
        <v>0</v>
      </c>
      <c r="M113" s="822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536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2">
        <v>0.35730000000000001</v>
      </c>
      <c r="M114" s="1447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534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2">
        <v>0.35730000000000001</v>
      </c>
      <c r="M115" s="1447">
        <v>0.32969999999999999</v>
      </c>
    </row>
    <row r="116" spans="1:13" hidden="1">
      <c r="A116" s="468" t="s">
        <v>350</v>
      </c>
      <c r="B116" s="468" t="s">
        <v>155</v>
      </c>
      <c r="C116" s="468">
        <v>111</v>
      </c>
      <c r="D116" s="468">
        <v>5697</v>
      </c>
      <c r="E116" s="468" t="s">
        <v>534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2">
        <v>0.81359999999999999</v>
      </c>
      <c r="M116" s="1447">
        <v>0.61460000000000004</v>
      </c>
    </row>
    <row r="117" spans="1:13" hidden="1">
      <c r="A117" s="468" t="s">
        <v>278</v>
      </c>
      <c r="B117" s="468" t="s">
        <v>146</v>
      </c>
      <c r="C117" s="468">
        <v>135</v>
      </c>
      <c r="D117" s="468">
        <v>2937</v>
      </c>
      <c r="E117" s="468" t="s">
        <v>534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2">
        <v>0</v>
      </c>
      <c r="M117" s="822">
        <v>0</v>
      </c>
    </row>
    <row r="118" spans="1:13" hidden="1">
      <c r="A118" s="468" t="s">
        <v>278</v>
      </c>
      <c r="B118" s="468" t="s">
        <v>136</v>
      </c>
      <c r="C118" s="468">
        <v>145</v>
      </c>
      <c r="D118" s="468">
        <v>385</v>
      </c>
      <c r="E118" s="468" t="s">
        <v>534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2">
        <v>0</v>
      </c>
      <c r="M118" s="822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536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2">
        <v>0.59</v>
      </c>
      <c r="M119" s="1447">
        <v>0.59</v>
      </c>
    </row>
    <row r="120" spans="1:13" hidden="1">
      <c r="A120" s="468" t="s">
        <v>359</v>
      </c>
      <c r="B120" s="468" t="s">
        <v>155</v>
      </c>
      <c r="C120" s="468">
        <v>111</v>
      </c>
      <c r="D120" s="468">
        <v>5697</v>
      </c>
      <c r="E120" s="468" t="s">
        <v>534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2">
        <v>0.42730000000000001</v>
      </c>
      <c r="M120" s="1447">
        <v>0.42730000000000001</v>
      </c>
    </row>
    <row r="121" spans="1:13" hidden="1">
      <c r="A121" s="468" t="s">
        <v>359</v>
      </c>
      <c r="B121" s="468" t="s">
        <v>155</v>
      </c>
      <c r="C121" s="468">
        <v>111</v>
      </c>
      <c r="D121" s="468">
        <v>5697</v>
      </c>
      <c r="E121" s="468" t="s">
        <v>536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2">
        <v>0.42730000000000001</v>
      </c>
      <c r="M121" s="1447">
        <v>0.42730000000000001</v>
      </c>
    </row>
    <row r="122" spans="1:13" hidden="1">
      <c r="A122" s="468" t="s">
        <v>359</v>
      </c>
      <c r="B122" s="496" t="s">
        <v>363</v>
      </c>
      <c r="C122" s="496">
        <v>144</v>
      </c>
      <c r="D122" s="496">
        <v>86</v>
      </c>
      <c r="E122" s="468" t="s">
        <v>534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2">
        <v>0.42730000000000001</v>
      </c>
      <c r="M122" s="1447">
        <v>0.42730000000000001</v>
      </c>
    </row>
    <row r="123" spans="1:13" hidden="1">
      <c r="A123" s="468" t="s">
        <v>399</v>
      </c>
      <c r="B123" s="468" t="s">
        <v>167</v>
      </c>
      <c r="C123" s="591">
        <v>167</v>
      </c>
      <c r="D123" s="591">
        <v>396</v>
      </c>
      <c r="E123" s="468" t="s">
        <v>534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2">
        <v>0</v>
      </c>
      <c r="M123" s="822">
        <v>0</v>
      </c>
    </row>
    <row r="124" spans="1:13" hidden="1">
      <c r="A124" s="468" t="s">
        <v>399</v>
      </c>
      <c r="B124" s="468" t="s">
        <v>167</v>
      </c>
      <c r="C124" s="591">
        <v>167</v>
      </c>
      <c r="D124" s="591">
        <v>396</v>
      </c>
      <c r="E124" s="468" t="s">
        <v>536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2">
        <v>0</v>
      </c>
      <c r="M124" s="822">
        <v>0</v>
      </c>
    </row>
    <row r="125" spans="1:13" hidden="1">
      <c r="A125" s="468" t="s">
        <v>366</v>
      </c>
      <c r="B125" s="468" t="s">
        <v>155</v>
      </c>
      <c r="C125" s="468">
        <v>111</v>
      </c>
      <c r="D125" s="468">
        <v>5697</v>
      </c>
      <c r="E125" s="468" t="s">
        <v>534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2">
        <v>3.3399999999999999E-2</v>
      </c>
      <c r="M125" s="1447">
        <v>3.3399999999999999E-2</v>
      </c>
    </row>
    <row r="126" spans="1:13" hidden="1">
      <c r="A126" s="468" t="s">
        <v>371</v>
      </c>
      <c r="B126" s="468" t="s">
        <v>155</v>
      </c>
      <c r="C126" s="468">
        <v>111</v>
      </c>
      <c r="D126" s="468">
        <v>5697</v>
      </c>
      <c r="E126" s="468" t="s">
        <v>534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2">
        <v>0</v>
      </c>
      <c r="M126" s="822">
        <v>0</v>
      </c>
    </row>
    <row r="127" spans="1:13" hidden="1">
      <c r="A127" s="468" t="s">
        <v>404</v>
      </c>
      <c r="B127" s="468" t="s">
        <v>167</v>
      </c>
      <c r="C127" s="591">
        <v>167</v>
      </c>
      <c r="D127" s="591">
        <v>396</v>
      </c>
      <c r="E127" s="468" t="s">
        <v>539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2">
        <v>0</v>
      </c>
      <c r="M127" s="822">
        <v>0</v>
      </c>
    </row>
    <row r="128" spans="1:13" hidden="1">
      <c r="A128" s="468" t="s">
        <v>404</v>
      </c>
      <c r="B128" s="468" t="s">
        <v>167</v>
      </c>
      <c r="C128" s="591">
        <v>167</v>
      </c>
      <c r="D128" s="591">
        <v>396</v>
      </c>
      <c r="E128" s="468" t="s">
        <v>536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2">
        <v>0</v>
      </c>
      <c r="M128" s="822">
        <v>0</v>
      </c>
    </row>
    <row r="129" spans="1:14" hidden="1">
      <c r="A129" s="468" t="s">
        <v>404</v>
      </c>
      <c r="B129" s="468" t="s">
        <v>167</v>
      </c>
      <c r="C129" s="591">
        <v>167</v>
      </c>
      <c r="D129" s="591">
        <v>396</v>
      </c>
      <c r="E129" s="468" t="s">
        <v>534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2">
        <v>0</v>
      </c>
      <c r="M129" s="822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534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2">
        <v>0.28499999999999998</v>
      </c>
      <c r="M130" s="1447">
        <v>0.28499999999999998</v>
      </c>
    </row>
    <row r="131" spans="1:14" hidden="1">
      <c r="A131" s="468" t="s">
        <v>415</v>
      </c>
      <c r="B131" s="468" t="s">
        <v>167</v>
      </c>
      <c r="C131" s="591">
        <v>167</v>
      </c>
      <c r="D131" s="591">
        <v>396</v>
      </c>
      <c r="E131" s="468" t="s">
        <v>534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2">
        <v>0.214</v>
      </c>
      <c r="M131" s="1447">
        <v>0.214</v>
      </c>
    </row>
    <row r="132" spans="1:14" hidden="1">
      <c r="A132" s="468" t="s">
        <v>415</v>
      </c>
      <c r="B132" s="468" t="s">
        <v>167</v>
      </c>
      <c r="C132" s="591">
        <v>167</v>
      </c>
      <c r="D132" s="591">
        <v>396</v>
      </c>
      <c r="E132" s="468" t="s">
        <v>541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2">
        <v>2.07E-2</v>
      </c>
      <c r="M132" s="1447">
        <v>2.07E-2</v>
      </c>
    </row>
    <row r="133" spans="1:14" hidden="1">
      <c r="A133" s="468" t="s">
        <v>305</v>
      </c>
      <c r="B133" s="474" t="s">
        <v>135</v>
      </c>
      <c r="C133" s="468">
        <v>103</v>
      </c>
      <c r="D133" s="468">
        <v>383</v>
      </c>
      <c r="E133" s="468" t="s">
        <v>534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8">
        <v>0.38529999999999998</v>
      </c>
      <c r="L133" s="822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534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8">
        <v>0.38030000000000003</v>
      </c>
      <c r="L134" s="822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328</v>
      </c>
      <c r="B135" s="468" t="s">
        <v>167</v>
      </c>
      <c r="C135" s="591">
        <v>167</v>
      </c>
      <c r="D135" s="591">
        <v>396</v>
      </c>
      <c r="E135" s="468" t="s">
        <v>534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8">
        <v>0.1401</v>
      </c>
      <c r="L135" s="822">
        <v>0.1401</v>
      </c>
      <c r="M135" s="1447">
        <v>0.1401</v>
      </c>
    </row>
    <row r="136" spans="1:14" hidden="1">
      <c r="A136" s="468" t="s">
        <v>432</v>
      </c>
      <c r="B136" s="468" t="s">
        <v>167</v>
      </c>
      <c r="C136" s="591">
        <v>167</v>
      </c>
      <c r="D136" s="591">
        <v>396</v>
      </c>
      <c r="E136" s="468" t="s">
        <v>534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8">
        <v>0.22370000000000001</v>
      </c>
      <c r="L136" s="822">
        <v>0.1273</v>
      </c>
      <c r="M136" s="1447">
        <v>0</v>
      </c>
    </row>
    <row r="137" spans="1:14" hidden="1">
      <c r="A137" s="468" t="s">
        <v>231</v>
      </c>
      <c r="B137" s="468" t="s">
        <v>544</v>
      </c>
      <c r="C137" s="468">
        <v>132</v>
      </c>
      <c r="D137" s="468">
        <v>2866</v>
      </c>
      <c r="E137" s="468" t="s">
        <v>538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8">
        <v>0.42030000000000001</v>
      </c>
      <c r="L137" s="822">
        <v>0.33839999999999998</v>
      </c>
      <c r="M137" s="1447">
        <v>0.33839999999999998</v>
      </c>
    </row>
    <row r="138" spans="1:14" hidden="1">
      <c r="A138" s="468" t="s">
        <v>231</v>
      </c>
      <c r="B138" s="468" t="s">
        <v>544</v>
      </c>
      <c r="C138" s="468">
        <v>132</v>
      </c>
      <c r="D138" s="468">
        <v>2866</v>
      </c>
      <c r="E138" s="468" t="s">
        <v>534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8">
        <v>0.4153</v>
      </c>
      <c r="L138" s="822">
        <v>0.33839999999999998</v>
      </c>
      <c r="M138" s="1447">
        <v>0.33839999999999998</v>
      </c>
    </row>
    <row r="139" spans="1:14" hidden="1">
      <c r="A139" s="468" t="s">
        <v>447</v>
      </c>
      <c r="B139" s="468" t="s">
        <v>545</v>
      </c>
      <c r="C139" s="468">
        <v>145</v>
      </c>
      <c r="D139" s="468">
        <v>385</v>
      </c>
      <c r="E139" s="468" t="s">
        <v>534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8">
        <v>4.3299999999999998E-2</v>
      </c>
      <c r="L139" s="822">
        <v>0</v>
      </c>
      <c r="M139" s="822">
        <v>0</v>
      </c>
    </row>
    <row r="140" spans="1:14" hidden="1">
      <c r="A140" s="468" t="s">
        <v>447</v>
      </c>
      <c r="B140" s="468" t="s">
        <v>125</v>
      </c>
      <c r="C140" s="468">
        <v>136</v>
      </c>
      <c r="D140" s="468">
        <v>63</v>
      </c>
      <c r="E140" s="468" t="s">
        <v>534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8">
        <v>4.3299999999999998E-2</v>
      </c>
      <c r="L140" s="822">
        <v>0</v>
      </c>
      <c r="M140" s="822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539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8">
        <v>0.3735</v>
      </c>
      <c r="L141" s="822">
        <v>0.29289999999999999</v>
      </c>
      <c r="M141" s="1447">
        <v>0.29289999999999999</v>
      </c>
    </row>
    <row r="142" spans="1:14" hidden="1">
      <c r="A142" s="468" t="s">
        <v>410</v>
      </c>
      <c r="B142" s="468" t="s">
        <v>155</v>
      </c>
      <c r="C142" s="468">
        <v>111</v>
      </c>
      <c r="D142" s="468">
        <v>5697</v>
      </c>
      <c r="E142" s="468" t="s">
        <v>534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8">
        <v>0.34079999999999999</v>
      </c>
      <c r="L142" s="822">
        <v>0.25679999999999997</v>
      </c>
      <c r="M142" s="1447">
        <v>0</v>
      </c>
    </row>
    <row r="143" spans="1:14" hidden="1">
      <c r="A143" s="468" t="s">
        <v>458</v>
      </c>
      <c r="B143" s="468" t="s">
        <v>155</v>
      </c>
      <c r="C143" s="468">
        <v>111</v>
      </c>
      <c r="D143" s="468">
        <v>5697</v>
      </c>
      <c r="E143" s="468" t="s">
        <v>539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8">
        <v>0.28170000000000001</v>
      </c>
      <c r="L143" s="822">
        <v>0.25019999999999998</v>
      </c>
      <c r="M143" s="1447">
        <v>0.25019999999999998</v>
      </c>
    </row>
    <row r="144" spans="1:14" hidden="1">
      <c r="A144" s="468" t="s">
        <v>493</v>
      </c>
      <c r="B144" s="468" t="s">
        <v>155</v>
      </c>
      <c r="C144" s="468">
        <v>111</v>
      </c>
      <c r="D144" s="468">
        <v>5697</v>
      </c>
      <c r="E144" s="468" t="s">
        <v>534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8">
        <v>0.16650000000000001</v>
      </c>
      <c r="L144" s="822">
        <v>0.1057</v>
      </c>
      <c r="M144" s="1447">
        <v>0.1057</v>
      </c>
    </row>
    <row r="145" spans="1:50" hidden="1">
      <c r="A145" s="468" t="s">
        <v>10</v>
      </c>
      <c r="B145" s="468" t="s">
        <v>292</v>
      </c>
      <c r="C145" s="468">
        <v>110</v>
      </c>
      <c r="D145" s="468">
        <v>5707</v>
      </c>
      <c r="E145" s="468" t="s">
        <v>534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8">
        <v>0.33779999999999999</v>
      </c>
      <c r="L145" s="822">
        <v>0.20419999999999999</v>
      </c>
      <c r="M145" s="1447">
        <v>9.0499999999999997E-2</v>
      </c>
    </row>
    <row r="146" spans="1:50" hidden="1">
      <c r="A146" s="468" t="s">
        <v>11</v>
      </c>
      <c r="B146" s="468" t="s">
        <v>292</v>
      </c>
      <c r="C146" s="468">
        <v>110</v>
      </c>
      <c r="D146" s="468">
        <v>5707</v>
      </c>
      <c r="E146" s="468" t="s">
        <v>534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8">
        <v>0.48630000000000001</v>
      </c>
      <c r="L146" s="822">
        <v>0.37609999999999999</v>
      </c>
      <c r="M146" s="1447">
        <v>0.37609999999999999</v>
      </c>
    </row>
    <row r="147" spans="1:50" hidden="1">
      <c r="A147" s="468" t="s">
        <v>266</v>
      </c>
      <c r="B147" s="468" t="s">
        <v>125</v>
      </c>
      <c r="C147" s="468">
        <v>136</v>
      </c>
      <c r="D147" s="468">
        <v>63</v>
      </c>
      <c r="E147" s="468" t="s">
        <v>539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8">
        <v>0.18690000000000001</v>
      </c>
      <c r="L147" s="822">
        <v>0.1603</v>
      </c>
      <c r="M147" s="498">
        <v>0</v>
      </c>
    </row>
    <row r="148" spans="1:50" hidden="1">
      <c r="A148" s="468" t="s">
        <v>266</v>
      </c>
      <c r="B148" s="468" t="s">
        <v>136</v>
      </c>
      <c r="C148" s="468">
        <v>145</v>
      </c>
      <c r="D148" s="468">
        <v>385</v>
      </c>
      <c r="E148" s="468" t="s">
        <v>534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8">
        <v>0.18690000000000001</v>
      </c>
      <c r="L148" s="822">
        <v>0.1603</v>
      </c>
      <c r="M148" s="498">
        <v>0</v>
      </c>
    </row>
    <row r="149" spans="1:50" hidden="1">
      <c r="A149" s="468" t="s">
        <v>259</v>
      </c>
      <c r="B149" s="468" t="s">
        <v>167</v>
      </c>
      <c r="C149" s="468">
        <v>167</v>
      </c>
      <c r="D149" s="468">
        <v>396</v>
      </c>
      <c r="E149" s="468" t="s">
        <v>534</v>
      </c>
      <c r="F149" s="468" t="str">
        <f>CONCATENATE(DescontosTE[[#This Row],[Permissionária]],DescontosTE[[#This Row],[codsariSUP]],DescontosTE[[#This Row],[Classe]])</f>
        <v>Celetro396A4</v>
      </c>
      <c r="G149" s="823"/>
      <c r="H149" s="823"/>
      <c r="I149" s="823"/>
      <c r="J149" s="500"/>
      <c r="K149" s="778"/>
      <c r="L149" s="822">
        <v>0.1426</v>
      </c>
      <c r="M149" s="1447">
        <v>0.1426</v>
      </c>
      <c r="AS149" s="816"/>
      <c r="AX149" s="816"/>
    </row>
    <row r="150" spans="1:50" hidden="1">
      <c r="A150" s="468" t="s">
        <v>259</v>
      </c>
      <c r="B150" s="468" t="s">
        <v>546</v>
      </c>
      <c r="C150" s="468">
        <v>164</v>
      </c>
      <c r="D150" s="468">
        <v>400</v>
      </c>
      <c r="E150" s="468" t="s">
        <v>534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7">
        <v>0.1426</v>
      </c>
      <c r="AS150" s="816"/>
      <c r="AX150" s="816"/>
    </row>
    <row r="154" spans="1:50">
      <c r="A154" s="626" t="s">
        <v>547</v>
      </c>
    </row>
    <row r="156" spans="1:50">
      <c r="A156" s="9" t="s">
        <v>22</v>
      </c>
      <c r="B156" s="627" t="s">
        <v>199</v>
      </c>
      <c r="C156" t="s">
        <v>548</v>
      </c>
      <c r="D156" s="9" t="s">
        <v>549</v>
      </c>
      <c r="E156" s="9" t="s">
        <v>550</v>
      </c>
      <c r="F156" t="s">
        <v>551</v>
      </c>
      <c r="G156" t="s">
        <v>527</v>
      </c>
      <c r="H156" t="s">
        <v>528</v>
      </c>
      <c r="I156" t="s">
        <v>529</v>
      </c>
      <c r="J156" t="s">
        <v>530</v>
      </c>
      <c r="K156" t="s">
        <v>531</v>
      </c>
      <c r="L156" t="s">
        <v>532</v>
      </c>
      <c r="M156" t="s">
        <v>533</v>
      </c>
      <c r="N156" t="s">
        <v>2028</v>
      </c>
    </row>
    <row r="157" spans="1:50">
      <c r="A157" s="9" t="s">
        <v>522</v>
      </c>
      <c r="B157" s="628" t="s">
        <v>221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7">
        <v>585.49</v>
      </c>
      <c r="L157">
        <v>716.79000000000008</v>
      </c>
      <c r="M157" s="408">
        <v>802.08</v>
      </c>
    </row>
    <row r="158" spans="1:50">
      <c r="A158" s="9" t="s">
        <v>522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7">
        <v>750.67</v>
      </c>
      <c r="L158">
        <v>694.52</v>
      </c>
      <c r="M158" s="408">
        <v>683.87</v>
      </c>
    </row>
    <row r="159" spans="1:50">
      <c r="A159" s="9" t="s">
        <v>522</v>
      </c>
      <c r="B159" s="628" t="s">
        <v>237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7">
        <v>687.25</v>
      </c>
      <c r="L159">
        <v>653.32000000000005</v>
      </c>
      <c r="M159" s="408">
        <v>636.51</v>
      </c>
    </row>
    <row r="160" spans="1:50">
      <c r="A160" s="9" t="s">
        <v>522</v>
      </c>
      <c r="B160" s="629" t="s">
        <v>242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7">
        <v>521.09</v>
      </c>
      <c r="L160">
        <v>586.86</v>
      </c>
      <c r="M160">
        <v>663.81999999999994</v>
      </c>
    </row>
    <row r="161" spans="1:13">
      <c r="A161" s="9" t="s">
        <v>522</v>
      </c>
      <c r="B161" s="628" t="s">
        <v>247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7">
        <v>531.81000000000006</v>
      </c>
      <c r="L161">
        <v>604.55999999999995</v>
      </c>
      <c r="M161" s="408">
        <v>688.71</v>
      </c>
    </row>
    <row r="162" spans="1:13">
      <c r="A162" s="9" t="s">
        <v>522</v>
      </c>
      <c r="B162" s="629" t="s">
        <v>254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7">
        <v>627.79</v>
      </c>
      <c r="L162">
        <f>419.13+242.86</f>
        <v>661.99</v>
      </c>
      <c r="M162" s="408">
        <v>820.92</v>
      </c>
    </row>
    <row r="163" spans="1:13">
      <c r="A163" s="9" t="s">
        <v>522</v>
      </c>
      <c r="B163" s="628" t="s">
        <v>260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7">
        <v>550.73</v>
      </c>
      <c r="L163">
        <f>343.12+245.73</f>
        <v>588.85</v>
      </c>
      <c r="M163" s="408">
        <v>603.04999999999995</v>
      </c>
    </row>
    <row r="164" spans="1:13">
      <c r="A164" s="9" t="s">
        <v>522</v>
      </c>
      <c r="B164" s="629" t="s">
        <v>267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7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522</v>
      </c>
      <c r="B165" s="628" t="s">
        <v>272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7">
        <v>589.30000000000007</v>
      </c>
      <c r="L165">
        <v>631.75</v>
      </c>
      <c r="M165" s="408">
        <v>678.01</v>
      </c>
    </row>
    <row r="166" spans="1:13">
      <c r="A166" s="9" t="s">
        <v>522</v>
      </c>
      <c r="B166" s="629" t="s">
        <v>278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7">
        <v>697.1</v>
      </c>
      <c r="L166">
        <f>452.4+266.08</f>
        <v>718.48</v>
      </c>
      <c r="M166" s="408">
        <v>711.11</v>
      </c>
    </row>
    <row r="167" spans="1:13">
      <c r="A167" s="9" t="s">
        <v>522</v>
      </c>
      <c r="B167" s="628" t="s">
        <v>253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7">
        <v>616.29</v>
      </c>
      <c r="L167">
        <v>657.39</v>
      </c>
      <c r="M167" s="408">
        <v>548.54000000000008</v>
      </c>
    </row>
    <row r="168" spans="1:13">
      <c r="A168" s="9" t="s">
        <v>522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7">
        <v>682.83</v>
      </c>
      <c r="L168">
        <v>725.14</v>
      </c>
      <c r="M168" s="408">
        <v>632.80000000000007</v>
      </c>
    </row>
    <row r="169" spans="1:13">
      <c r="A169" s="9" t="s">
        <v>522</v>
      </c>
      <c r="B169" s="628" t="s">
        <v>277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7">
        <v>496.86</v>
      </c>
      <c r="L169">
        <v>511.66</v>
      </c>
      <c r="M169" s="408">
        <v>518.32999999999993</v>
      </c>
    </row>
    <row r="170" spans="1:13">
      <c r="A170" s="9" t="s">
        <v>522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7">
        <v>663.57999999999993</v>
      </c>
      <c r="L170">
        <v>677.53</v>
      </c>
      <c r="M170" s="408">
        <v>632.93999999999994</v>
      </c>
    </row>
    <row r="171" spans="1:13">
      <c r="A171" s="9" t="s">
        <v>522</v>
      </c>
      <c r="B171" s="628" t="s">
        <v>300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7">
        <v>544.1</v>
      </c>
      <c r="L171">
        <v>589.07999999999993</v>
      </c>
      <c r="M171" s="631">
        <v>561.9</v>
      </c>
    </row>
    <row r="172" spans="1:13">
      <c r="A172" s="9" t="s">
        <v>522</v>
      </c>
      <c r="B172" s="629" t="s">
        <v>311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7">
        <v>580.39</v>
      </c>
      <c r="L172">
        <v>610.34</v>
      </c>
      <c r="M172" s="408">
        <v>628.70000000000005</v>
      </c>
    </row>
    <row r="173" spans="1:13">
      <c r="A173" s="9" t="s">
        <v>522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7">
        <v>655.47</v>
      </c>
      <c r="L173">
        <v>654.13</v>
      </c>
      <c r="M173" s="408">
        <v>721.68</v>
      </c>
    </row>
    <row r="174" spans="1:13">
      <c r="A174" s="9" t="s">
        <v>522</v>
      </c>
      <c r="B174" s="629" t="s">
        <v>322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7">
        <v>523.83000000000004</v>
      </c>
      <c r="L174">
        <v>545.07000000000005</v>
      </c>
      <c r="M174" s="408">
        <v>563.88</v>
      </c>
    </row>
    <row r="175" spans="1:13">
      <c r="A175" s="9" t="s">
        <v>522</v>
      </c>
      <c r="B175" s="628" t="s">
        <v>329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7">
        <v>559.04</v>
      </c>
      <c r="L175">
        <v>605.22</v>
      </c>
      <c r="M175" s="408">
        <v>641.27</v>
      </c>
    </row>
    <row r="176" spans="1:13">
      <c r="A176" s="9" t="s">
        <v>522</v>
      </c>
      <c r="B176" s="629" t="s">
        <v>334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7">
        <v>562.51</v>
      </c>
      <c r="L176">
        <v>608.16999999999996</v>
      </c>
      <c r="M176" s="408">
        <v>651.74</v>
      </c>
    </row>
    <row r="177" spans="1:13">
      <c r="A177" s="9" t="s">
        <v>522</v>
      </c>
      <c r="B177" s="628" t="s">
        <v>340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7">
        <v>633.44000000000005</v>
      </c>
      <c r="L177">
        <v>707.06999999999994</v>
      </c>
      <c r="M177" s="408">
        <v>705.72</v>
      </c>
    </row>
    <row r="178" spans="1:13">
      <c r="A178" s="9" t="s">
        <v>522</v>
      </c>
      <c r="B178" s="629" t="s">
        <v>345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7">
        <v>419.84</v>
      </c>
      <c r="L178">
        <v>440.52000000000004</v>
      </c>
      <c r="M178" s="408">
        <v>466</v>
      </c>
    </row>
    <row r="179" spans="1:13">
      <c r="A179" s="9" t="s">
        <v>522</v>
      </c>
      <c r="B179" s="628" t="s">
        <v>350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7">
        <v>620.12</v>
      </c>
      <c r="L179">
        <v>691.03000000000009</v>
      </c>
      <c r="M179" s="408">
        <v>729.03</v>
      </c>
    </row>
    <row r="180" spans="1:13">
      <c r="A180" s="9" t="s">
        <v>522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7">
        <v>387.09</v>
      </c>
      <c r="L180">
        <v>395.17</v>
      </c>
      <c r="M180" s="408">
        <v>403.03</v>
      </c>
    </row>
    <row r="181" spans="1:13">
      <c r="A181" s="9" t="s">
        <v>522</v>
      </c>
      <c r="B181" s="628" t="s">
        <v>359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7">
        <v>468.2</v>
      </c>
      <c r="L181">
        <v>502.33000000000004</v>
      </c>
      <c r="M181" s="408">
        <v>550.72</v>
      </c>
    </row>
    <row r="182" spans="1:13">
      <c r="A182" s="9" t="s">
        <v>522</v>
      </c>
      <c r="B182" s="629" t="s">
        <v>366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7">
        <v>506.32999999999993</v>
      </c>
      <c r="L182">
        <v>538.1</v>
      </c>
      <c r="M182" s="408">
        <v>614.15</v>
      </c>
    </row>
    <row r="183" spans="1:13">
      <c r="A183" s="9" t="s">
        <v>522</v>
      </c>
      <c r="B183" s="628" t="s">
        <v>371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7">
        <v>592.26</v>
      </c>
      <c r="L183">
        <v>622.27</v>
      </c>
      <c r="M183" s="408">
        <v>648.42999999999995</v>
      </c>
    </row>
    <row r="184" spans="1:13">
      <c r="A184" s="9" t="s">
        <v>522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7">
        <v>514.23</v>
      </c>
      <c r="L184">
        <v>496.95</v>
      </c>
      <c r="M184" s="408">
        <v>539.69000000000005</v>
      </c>
    </row>
    <row r="185" spans="1:13">
      <c r="A185" s="9" t="s">
        <v>522</v>
      </c>
      <c r="B185" s="628" t="s">
        <v>376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7">
        <v>666.96</v>
      </c>
      <c r="L185">
        <v>631.15</v>
      </c>
      <c r="M185" s="408">
        <v>604.07000000000005</v>
      </c>
    </row>
    <row r="186" spans="1:13">
      <c r="A186" s="9" t="s">
        <v>522</v>
      </c>
      <c r="B186" s="629" t="s">
        <v>388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7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522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7">
        <v>458.66</v>
      </c>
      <c r="L187">
        <v>484.06</v>
      </c>
      <c r="M187" s="408">
        <v>508.88999999999993</v>
      </c>
    </row>
    <row r="188" spans="1:13">
      <c r="A188" s="9" t="s">
        <v>522</v>
      </c>
      <c r="B188" s="629" t="s">
        <v>399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7">
        <v>503.84</v>
      </c>
      <c r="L188">
        <v>506.04</v>
      </c>
      <c r="M188" s="408">
        <v>514.01</v>
      </c>
    </row>
    <row r="189" spans="1:13">
      <c r="A189" s="9" t="s">
        <v>522</v>
      </c>
      <c r="B189" s="628" t="s">
        <v>404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7">
        <v>571.18000000000006</v>
      </c>
      <c r="L189">
        <f>279.82+218.08</f>
        <v>497.9</v>
      </c>
      <c r="M189" s="408">
        <v>458.09</v>
      </c>
    </row>
    <row r="190" spans="1:13">
      <c r="A190" s="9" t="s">
        <v>522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7">
        <v>592.31999999999994</v>
      </c>
      <c r="L190">
        <v>573.04999999999995</v>
      </c>
      <c r="M190" s="408">
        <v>611.82000000000005</v>
      </c>
    </row>
    <row r="191" spans="1:13">
      <c r="A191" s="9" t="s">
        <v>522</v>
      </c>
      <c r="B191" s="628" t="s">
        <v>415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7">
        <v>607.33000000000004</v>
      </c>
      <c r="L191">
        <v>642.19000000000005</v>
      </c>
      <c r="M191" s="408">
        <v>700.57</v>
      </c>
    </row>
    <row r="192" spans="1:13">
      <c r="A192" s="9" t="s">
        <v>522</v>
      </c>
      <c r="B192" s="629" t="s">
        <v>295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7">
        <v>469.96</v>
      </c>
      <c r="L192">
        <v>496.82</v>
      </c>
      <c r="M192" s="408">
        <v>587.54</v>
      </c>
    </row>
    <row r="193" spans="1:16">
      <c r="A193" s="9" t="s">
        <v>522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7">
        <v>884.76</v>
      </c>
      <c r="L193">
        <f>763.76+204.91</f>
        <v>968.67</v>
      </c>
      <c r="M193">
        <v>1025.47</v>
      </c>
    </row>
    <row r="194" spans="1:16">
      <c r="A194" s="9" t="s">
        <v>522</v>
      </c>
      <c r="B194" s="630" t="s">
        <v>310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7">
        <v>782.78000000000009</v>
      </c>
      <c r="L194">
        <f>513.49+240.36</f>
        <v>753.85</v>
      </c>
      <c r="M194" s="408">
        <v>761.28</v>
      </c>
    </row>
    <row r="195" spans="1:16">
      <c r="A195" s="9" t="s">
        <v>522</v>
      </c>
      <c r="B195" s="496" t="s">
        <v>305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7">
        <v>894.62</v>
      </c>
      <c r="L195">
        <f>765.89+213.34</f>
        <v>979.23</v>
      </c>
      <c r="M195">
        <v>1023.74</v>
      </c>
    </row>
    <row r="196" spans="1:16">
      <c r="A196" s="9" t="s">
        <v>522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7">
        <v>950.33</v>
      </c>
      <c r="L196">
        <v>1054.05</v>
      </c>
      <c r="M196">
        <v>1107.67</v>
      </c>
      <c r="N196" s="232"/>
    </row>
    <row r="197" spans="1:16">
      <c r="A197" s="9" t="s">
        <v>522</v>
      </c>
      <c r="B197" s="496" t="s">
        <v>328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7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522</v>
      </c>
      <c r="B198" s="496" t="s">
        <v>432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7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522</v>
      </c>
      <c r="B199" s="496" t="s">
        <v>231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7">
        <v>350.78999999999996</v>
      </c>
      <c r="L199">
        <v>369.5</v>
      </c>
      <c r="M199" s="408">
        <v>424.29</v>
      </c>
      <c r="N199" s="8"/>
    </row>
    <row r="200" spans="1:16">
      <c r="A200" s="9" t="s">
        <v>522</v>
      </c>
      <c r="B200" s="496" t="s">
        <v>447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7">
        <v>667.26</v>
      </c>
      <c r="L200">
        <v>648.54999999999995</v>
      </c>
      <c r="M200" s="408">
        <v>635.66</v>
      </c>
      <c r="N200" s="8"/>
    </row>
    <row r="201" spans="1:16">
      <c r="A201" s="9" t="s">
        <v>522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7">
        <v>374.59</v>
      </c>
      <c r="L201">
        <v>366.5</v>
      </c>
      <c r="M201" s="408">
        <v>409.78999999999996</v>
      </c>
      <c r="N201" s="8"/>
    </row>
    <row r="202" spans="1:16">
      <c r="A202" s="9" t="s">
        <v>522</v>
      </c>
      <c r="B202" s="496" t="s">
        <v>410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7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522</v>
      </c>
      <c r="B203" s="496" t="s">
        <v>458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7">
        <v>386.85</v>
      </c>
      <c r="L203">
        <v>418.26000000000005</v>
      </c>
      <c r="M203" s="408">
        <v>463.75</v>
      </c>
      <c r="N203" s="8"/>
    </row>
    <row r="204" spans="1:16">
      <c r="A204" s="9" t="s">
        <v>522</v>
      </c>
      <c r="B204" s="496" t="s">
        <v>493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7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522</v>
      </c>
      <c r="B205" s="496" t="s">
        <v>552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7">
        <v>595.43999999999994</v>
      </c>
      <c r="L205">
        <f>413.48+197.81</f>
        <v>611.29</v>
      </c>
      <c r="M205" s="408">
        <v>640.98</v>
      </c>
    </row>
    <row r="206" spans="1:16">
      <c r="A206" s="9" t="s">
        <v>522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7">
        <v>735.09</v>
      </c>
      <c r="L206">
        <f>616.69+148.58</f>
        <v>765.2700000000001</v>
      </c>
      <c r="M206" s="408">
        <v>815.69</v>
      </c>
    </row>
    <row r="207" spans="1:16">
      <c r="A207" s="261" t="s">
        <v>522</v>
      </c>
      <c r="B207" s="773" t="s">
        <v>266</v>
      </c>
      <c r="C207" s="232"/>
      <c r="D207" s="232"/>
      <c r="E207" s="232"/>
      <c r="F207" s="232"/>
      <c r="G207" s="232"/>
      <c r="H207" s="232"/>
      <c r="K207" s="777">
        <v>470.82</v>
      </c>
      <c r="L207">
        <f>281.75+226.45</f>
        <v>508.2</v>
      </c>
      <c r="M207" s="408">
        <v>536.98</v>
      </c>
    </row>
    <row r="208" spans="1:16">
      <c r="A208" s="261" t="s">
        <v>522</v>
      </c>
      <c r="B208" s="773" t="s">
        <v>259</v>
      </c>
      <c r="C208" s="232"/>
      <c r="D208" s="232"/>
      <c r="E208" s="232"/>
      <c r="F208" s="232"/>
      <c r="G208" s="232"/>
      <c r="H208" s="232"/>
      <c r="K208" s="777"/>
      <c r="L208">
        <f>357.76+231.81</f>
        <v>589.56999999999994</v>
      </c>
      <c r="M208" s="408">
        <v>677.96999999999991</v>
      </c>
      <c r="O208" s="812" t="s">
        <v>553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7">
        <f>397.32+270.9</f>
        <v>668.22</v>
      </c>
      <c r="L209">
        <v>683.67</v>
      </c>
      <c r="M209" s="507">
        <v>714.43999999999994</v>
      </c>
      <c r="N209">
        <v>838.02</v>
      </c>
      <c r="O209" s="812" t="s">
        <v>554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7">
        <v>469.78</v>
      </c>
      <c r="L210">
        <v>505.99000000000007</v>
      </c>
      <c r="M210" s="408">
        <v>532.24</v>
      </c>
      <c r="O210" s="812" t="s">
        <v>555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556</v>
      </c>
      <c r="P211" s="813" t="e">
        <v>#N/A</v>
      </c>
    </row>
    <row r="212" spans="1:50">
      <c r="A212" s="9" t="s">
        <v>27</v>
      </c>
      <c r="B212" s="474" t="s">
        <v>537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7">
        <v>517.61</v>
      </c>
      <c r="L212">
        <v>512.77</v>
      </c>
      <c r="M212" s="408">
        <v>558.81000000000006</v>
      </c>
      <c r="O212" s="812" t="s">
        <v>557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7">
        <v>523.02</v>
      </c>
      <c r="L213">
        <v>550.20000000000005</v>
      </c>
      <c r="M213">
        <v>595.66</v>
      </c>
      <c r="N213">
        <v>678.65</v>
      </c>
      <c r="O213" s="812" t="s">
        <v>558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7">
        <v>490.18</v>
      </c>
      <c r="L214">
        <v>533.54999999999995</v>
      </c>
      <c r="M214" s="408">
        <v>619.94000000000005</v>
      </c>
      <c r="O214" s="812" t="s">
        <v>559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7">
        <f>303.99+243.7</f>
        <v>547.69000000000005</v>
      </c>
      <c r="L215">
        <v>541.15</v>
      </c>
      <c r="M215" s="817">
        <v>564.97</v>
      </c>
      <c r="N215">
        <v>606.77</v>
      </c>
      <c r="O215" s="812" t="s">
        <v>560</v>
      </c>
      <c r="P215" s="813" t="e">
        <v>#N/A</v>
      </c>
    </row>
    <row r="216" spans="1:50">
      <c r="A216" s="9" t="s">
        <v>27</v>
      </c>
      <c r="B216" s="474" t="s">
        <v>226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7">
        <v>525.73</v>
      </c>
      <c r="L216" s="631">
        <v>546.10945347732809</v>
      </c>
      <c r="M216" s="408">
        <v>635.92000000000007</v>
      </c>
      <c r="N216" s="810"/>
      <c r="O216" s="812" t="s">
        <v>561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7">
        <v>531.87</v>
      </c>
      <c r="L217" s="631">
        <v>555.04999999999995</v>
      </c>
      <c r="M217" s="408">
        <v>622.58000000000004</v>
      </c>
      <c r="O217" s="812" t="s">
        <v>562</v>
      </c>
      <c r="P217" s="813" t="e">
        <v>#N/A</v>
      </c>
    </row>
    <row r="218" spans="1:50">
      <c r="A218" s="9" t="s">
        <v>27</v>
      </c>
      <c r="B218" s="474" t="s">
        <v>251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7">
        <v>515.59</v>
      </c>
      <c r="L218" s="631">
        <v>534.19000000000005</v>
      </c>
      <c r="M218" s="408">
        <v>594.49</v>
      </c>
      <c r="O218" s="812" t="s">
        <v>563</v>
      </c>
      <c r="P218" s="813" t="e">
        <v>#N/A</v>
      </c>
    </row>
    <row r="219" spans="1:50">
      <c r="A219" s="9" t="s">
        <v>27</v>
      </c>
      <c r="B219" s="474" t="s">
        <v>540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7">
        <v>530.72</v>
      </c>
      <c r="L219" s="631">
        <v>535.51</v>
      </c>
      <c r="M219" s="232">
        <v>580.43681504518099</v>
      </c>
      <c r="N219">
        <v>677.99</v>
      </c>
      <c r="O219" s="812" t="s">
        <v>564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7">
        <v>560.27</v>
      </c>
      <c r="L220" s="631">
        <v>589.57000000000005</v>
      </c>
      <c r="M220" s="408">
        <v>643.09</v>
      </c>
      <c r="O220" s="812" t="s">
        <v>565</v>
      </c>
      <c r="P220" s="813" t="e">
        <v>#N/A</v>
      </c>
    </row>
    <row r="221" spans="1:50">
      <c r="A221" t="s">
        <v>27</v>
      </c>
      <c r="B221" s="468" t="s">
        <v>292</v>
      </c>
      <c r="J221">
        <v>547.6</v>
      </c>
      <c r="K221" s="777">
        <v>515.07000000000005</v>
      </c>
      <c r="L221">
        <v>548.96999999999991</v>
      </c>
      <c r="M221" s="408">
        <v>629.70000000000005</v>
      </c>
      <c r="O221" s="812" t="s">
        <v>566</v>
      </c>
      <c r="P221" s="813" t="e">
        <v>#N/A</v>
      </c>
    </row>
    <row r="222" spans="1:50">
      <c r="A222" t="s">
        <v>27</v>
      </c>
      <c r="B222" s="468" t="s">
        <v>546</v>
      </c>
      <c r="K222" s="777"/>
      <c r="L222">
        <v>571.71</v>
      </c>
      <c r="M222" s="408">
        <v>605.55000000000007</v>
      </c>
      <c r="O222" s="812" t="s">
        <v>567</v>
      </c>
      <c r="P222" s="824" t="e">
        <v>#N/A</v>
      </c>
      <c r="AS222" s="816"/>
      <c r="AX222" s="816"/>
    </row>
    <row r="223" spans="1:50">
      <c r="O223" s="812" t="s">
        <v>568</v>
      </c>
      <c r="P223" s="813" t="e">
        <v>#N/A</v>
      </c>
    </row>
    <row r="224" spans="1:50">
      <c r="O224" s="812" t="s">
        <v>569</v>
      </c>
      <c r="P224" s="813" t="e">
        <v>#N/A</v>
      </c>
    </row>
    <row r="225" spans="11:16">
      <c r="K225" s="813">
        <v>547.69000000000005</v>
      </c>
      <c r="O225" s="812" t="s">
        <v>570</v>
      </c>
      <c r="P225" s="813" t="e">
        <v>#N/A</v>
      </c>
    </row>
    <row r="226" spans="11:16">
      <c r="O226" s="812" t="s">
        <v>571</v>
      </c>
      <c r="P226" s="813" t="e">
        <v>#N/A</v>
      </c>
    </row>
    <row r="227" spans="11:16">
      <c r="O227" s="812" t="s">
        <v>572</v>
      </c>
      <c r="P227" s="814" t="e">
        <v>#N/A</v>
      </c>
    </row>
    <row r="228" spans="11:16">
      <c r="O228" s="812" t="s">
        <v>573</v>
      </c>
      <c r="P228" s="814" t="e">
        <v>#N/A</v>
      </c>
    </row>
    <row r="229" spans="11:16">
      <c r="O229" s="812" t="s">
        <v>574</v>
      </c>
      <c r="P229" s="814" t="e">
        <v>#N/A</v>
      </c>
    </row>
    <row r="230" spans="11:16">
      <c r="O230" s="812" t="s">
        <v>575</v>
      </c>
      <c r="P230" s="814" t="e">
        <v>#N/A</v>
      </c>
    </row>
    <row r="231" spans="11:16">
      <c r="O231" s="812" t="s">
        <v>576</v>
      </c>
      <c r="P231" s="814" t="e">
        <v>#N/A</v>
      </c>
    </row>
    <row r="232" spans="11:16">
      <c r="O232" s="812" t="s">
        <v>577</v>
      </c>
      <c r="P232" s="814" t="e">
        <v>#N/A</v>
      </c>
    </row>
    <row r="233" spans="11:16">
      <c r="O233" s="812" t="s">
        <v>578</v>
      </c>
      <c r="P233" s="814" t="e">
        <v>#N/A</v>
      </c>
    </row>
    <row r="234" spans="11:16">
      <c r="O234" s="812" t="s">
        <v>579</v>
      </c>
      <c r="P234" s="814" t="e">
        <v>#N/A</v>
      </c>
    </row>
    <row r="235" spans="11:16">
      <c r="O235" s="812" t="s">
        <v>580</v>
      </c>
      <c r="P235" s="814">
        <v>979.23</v>
      </c>
    </row>
    <row r="236" spans="11:16">
      <c r="O236" s="812" t="s">
        <v>581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A111" zoomScale="91" zoomScaleNormal="91" workbookViewId="0">
      <selection activeCell="D17" sqref="D17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0" t="s">
        <v>2160</v>
      </c>
      <c r="C1" s="961"/>
      <c r="D1" s="961"/>
      <c r="M1" s="534"/>
      <c r="BA1" s="472"/>
      <c r="BB1" s="472"/>
      <c r="BC1" s="472"/>
      <c r="BD1" s="472"/>
    </row>
    <row r="2" spans="1:84" ht="25.5">
      <c r="B2" s="535" t="str">
        <f>CAPA!C9</f>
        <v>Cermoful</v>
      </c>
      <c r="C2" s="621"/>
      <c r="D2" s="536"/>
      <c r="E2" s="576" t="s">
        <v>582</v>
      </c>
      <c r="F2" s="576"/>
      <c r="G2" s="576"/>
      <c r="H2" s="599" t="s">
        <v>2394</v>
      </c>
      <c r="M2" s="534"/>
      <c r="AK2" s="473"/>
      <c r="AZ2" s="1781" t="s">
        <v>583</v>
      </c>
      <c r="BA2" s="1782"/>
      <c r="BB2" s="1782"/>
      <c r="BC2" s="1782"/>
      <c r="BD2" s="1782"/>
      <c r="BE2" s="1782"/>
      <c r="BF2" s="1782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2026</v>
      </c>
      <c r="F3" s="571"/>
      <c r="G3" s="571"/>
      <c r="H3" s="524"/>
      <c r="M3" s="534"/>
      <c r="O3" s="376">
        <f>VALUE(RIGHT(P3,2))</f>
        <v>25</v>
      </c>
      <c r="P3" s="962" t="str">
        <f>VLOOKUP($C$9,Informacoes[],4,FALSE)</f>
        <v>C25</v>
      </c>
      <c r="Q3" s="962" t="str">
        <f>VLOOKUP($C$9,Informacoes[],2,FALSE)</f>
        <v>Cooperativa Fumacense de Eletricidade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2" t="s">
        <v>2027</v>
      </c>
      <c r="F4" s="742"/>
      <c r="G4" s="742"/>
      <c r="H4" s="767"/>
      <c r="I4" s="537"/>
      <c r="M4" s="534"/>
      <c r="AZ4" s="834"/>
      <c r="BA4" s="963">
        <v>40940</v>
      </c>
      <c r="BB4" s="963" t="s">
        <v>549</v>
      </c>
      <c r="BC4" s="963">
        <v>41306</v>
      </c>
      <c r="BD4" s="963">
        <v>41671</v>
      </c>
      <c r="BE4" s="964">
        <v>42036</v>
      </c>
      <c r="BF4" s="965">
        <v>42401</v>
      </c>
      <c r="BG4" s="965">
        <v>42767</v>
      </c>
      <c r="BI4" s="966"/>
      <c r="BJ4" s="966"/>
      <c r="BK4" s="966"/>
      <c r="BL4" s="966"/>
      <c r="BM4" s="967"/>
      <c r="BN4" s="967"/>
      <c r="BO4" s="967"/>
      <c r="BP4" s="967"/>
      <c r="BQ4" s="967"/>
      <c r="BR4" s="967"/>
      <c r="BS4" s="967"/>
      <c r="BT4" s="967"/>
      <c r="BU4" s="967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2" t="s">
        <v>584</v>
      </c>
      <c r="F5" s="742"/>
      <c r="G5" s="742"/>
      <c r="H5" s="752" t="s">
        <v>2393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2162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585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0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0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8" t="s">
        <v>334</v>
      </c>
      <c r="D9" s="9"/>
      <c r="E9" s="1783" t="s">
        <v>586</v>
      </c>
      <c r="F9" s="1784"/>
      <c r="G9" s="1784"/>
      <c r="H9" s="1784"/>
      <c r="I9" s="590"/>
      <c r="J9" s="480" t="s">
        <v>587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9" t="s">
        <v>588</v>
      </c>
      <c r="C10" s="970" t="str">
        <f>IF(C9="Cercos","N/NE","S/SE/CO")</f>
        <v>S/SE/CO</v>
      </c>
      <c r="D10" s="9"/>
      <c r="E10" s="594"/>
      <c r="F10" s="595" t="s">
        <v>589</v>
      </c>
      <c r="G10" s="596">
        <v>44804.87537037037</v>
      </c>
      <c r="H10" s="971"/>
      <c r="I10" s="591"/>
      <c r="J10" s="741" t="s">
        <v>590</v>
      </c>
      <c r="K10" s="972">
        <f>IFERROR(O3+200,0)</f>
        <v>225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591</v>
      </c>
      <c r="G11" s="596">
        <v>44813.486493055556</v>
      </c>
      <c r="H11" s="592"/>
      <c r="I11" s="593"/>
      <c r="J11" s="571" t="s">
        <v>592</v>
      </c>
      <c r="K11" s="598">
        <v>5364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593</v>
      </c>
      <c r="C12" s="9"/>
      <c r="D12" s="9"/>
      <c r="E12" s="594"/>
      <c r="F12" s="595" t="s">
        <v>749</v>
      </c>
      <c r="G12" s="596">
        <v>44816.758773148147</v>
      </c>
      <c r="H12" s="592"/>
      <c r="I12" s="593"/>
      <c r="J12" s="742" t="s">
        <v>594</v>
      </c>
      <c r="K12" s="751">
        <f>IF(idsreag=P7,Q7,idagente)</f>
        <v>5364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595</v>
      </c>
      <c r="C13" s="973">
        <f ca="1">YEAR(TODAY())</f>
        <v>2022</v>
      </c>
      <c r="D13" s="261"/>
      <c r="E13" s="594"/>
      <c r="F13" s="595" t="s">
        <v>596</v>
      </c>
      <c r="G13" s="596">
        <v>44816.759062500001</v>
      </c>
      <c r="H13" s="592"/>
      <c r="I13" s="9"/>
      <c r="J13" s="480" t="s">
        <v>597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598</v>
      </c>
      <c r="C14" s="587">
        <v>44469</v>
      </c>
      <c r="D14" s="261"/>
      <c r="E14" s="594"/>
      <c r="F14" s="595" t="s">
        <v>599</v>
      </c>
      <c r="G14" s="596">
        <v>44816.764502314814</v>
      </c>
      <c r="H14" s="592"/>
      <c r="I14" s="9"/>
      <c r="J14" s="741" t="s">
        <v>600</v>
      </c>
      <c r="K14" s="972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601</v>
      </c>
      <c r="C15" s="588">
        <v>44834</v>
      </c>
      <c r="D15" s="261"/>
      <c r="E15" s="594"/>
      <c r="F15" s="595" t="s">
        <v>602</v>
      </c>
      <c r="G15" s="596">
        <v>44816.76699074074</v>
      </c>
      <c r="H15" s="597"/>
      <c r="I15" s="9"/>
      <c r="J15" s="571" t="s">
        <v>603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186</v>
      </c>
      <c r="C16" s="589">
        <f>DATE(YEAR(C14),MONTH(C14),1)</f>
        <v>44440</v>
      </c>
      <c r="D16" s="261"/>
      <c r="E16" s="594"/>
      <c r="F16" s="595" t="s">
        <v>604</v>
      </c>
      <c r="G16" s="596">
        <v>44804.879675925928</v>
      </c>
      <c r="H16" s="974"/>
      <c r="I16" s="9"/>
      <c r="J16" s="571" t="s">
        <v>605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188</v>
      </c>
      <c r="C17" s="589">
        <f>DATE(YEAR(C15),MONTH(C15)-1,1)</f>
        <v>44774</v>
      </c>
      <c r="D17" s="261"/>
      <c r="E17" s="594"/>
      <c r="F17" s="595" t="s">
        <v>606</v>
      </c>
      <c r="G17" s="596">
        <v>44816.775127314817</v>
      </c>
      <c r="H17" s="9"/>
      <c r="I17" s="370"/>
      <c r="J17" s="571" t="s">
        <v>607</v>
      </c>
      <c r="K17" s="975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608</v>
      </c>
      <c r="C18" s="811" t="str">
        <f ca="1">C110</f>
        <v>REVISÃO</v>
      </c>
      <c r="D18" s="261"/>
      <c r="E18" s="594"/>
      <c r="F18" s="595" t="s">
        <v>2134</v>
      </c>
      <c r="G18" s="596">
        <v>44804.88009259259</v>
      </c>
      <c r="I18" s="370"/>
      <c r="J18" s="576" t="s">
        <v>609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0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610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09" t="s">
        <v>611</v>
      </c>
      <c r="C26" s="581"/>
      <c r="D26" s="976"/>
      <c r="E26" s="977"/>
      <c r="F26" s="978"/>
      <c r="G26" s="979"/>
      <c r="H26" s="976"/>
      <c r="I26" s="976"/>
      <c r="J26" s="976"/>
      <c r="K26" s="980"/>
      <c r="L26" s="981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612</v>
      </c>
      <c r="C28" s="1799" t="s">
        <v>2395</v>
      </c>
      <c r="D28" s="1799"/>
      <c r="E28" s="9"/>
      <c r="F28" s="580" t="s">
        <v>613</v>
      </c>
      <c r="G28" s="581"/>
      <c r="H28" s="581"/>
      <c r="I28" s="9"/>
      <c r="J28" s="1695" t="s">
        <v>614</v>
      </c>
      <c r="K28" s="1696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1" t="s">
        <v>615</v>
      </c>
      <c r="G29" s="741"/>
      <c r="H29" s="982">
        <v>6.9900000000000004E-2</v>
      </c>
      <c r="I29" s="9"/>
      <c r="J29" s="1697" t="s">
        <v>616</v>
      </c>
      <c r="K29" s="1698">
        <f>BD!C26</f>
        <v>26770470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2" t="s">
        <v>617</v>
      </c>
      <c r="G30" s="742"/>
      <c r="H30" s="983"/>
      <c r="I30" s="9"/>
      <c r="J30" s="1699" t="s">
        <v>618</v>
      </c>
      <c r="K30" s="1700" cm="1">
        <f t="array" ref="K30">IFERROR(limiteParcelaB[Limite_PB]*(1+K18),0)</f>
        <v>30237728.700547267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2" t="s">
        <v>619</v>
      </c>
      <c r="C31" s="1802"/>
      <c r="D31" s="772"/>
      <c r="E31" s="9"/>
      <c r="F31" s="984"/>
      <c r="G31" s="984"/>
      <c r="H31" s="985"/>
      <c r="I31" s="9"/>
      <c r="J31" s="1701" t="s">
        <v>620</v>
      </c>
      <c r="K31" s="1702">
        <f>D32+D33+D34</f>
        <v>30237964.5</v>
      </c>
      <c r="L31" s="1709" t="s">
        <v>621</v>
      </c>
      <c r="M31" s="1709" t="s">
        <v>2281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6" t="s">
        <v>622</v>
      </c>
      <c r="C32" s="986"/>
      <c r="D32" s="781">
        <v>17777668.960000001</v>
      </c>
      <c r="E32" s="9"/>
      <c r="F32" s="987" t="s">
        <v>623</v>
      </c>
      <c r="G32" s="988"/>
      <c r="H32" s="988"/>
      <c r="I32" s="9"/>
      <c r="J32" s="1697" t="s">
        <v>624</v>
      </c>
      <c r="K32" s="1703" cm="1">
        <f t="array" aca="1" ref="K32" ca="1">subvencao[Subvencao Anual]*(VLOOKUP(DATE(AnoRefTar,MONTH(M32)-1,1),Índices!B6:F500,3,FALSE)/VLOOKUP(DATE(YEAR(M32),MONTH(L32)-1,1),Índices!B6:F500,3,FALSE))</f>
        <v>1327071.3845209642</v>
      </c>
      <c r="L32" s="1708" cm="1">
        <f t="array" ref="L32">subvencao[Data_Referencia Subvencao]</f>
        <v>44430</v>
      </c>
      <c r="M32" s="1708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6" t="s">
        <v>625</v>
      </c>
      <c r="C33" s="986"/>
      <c r="D33" s="782">
        <v>12460295.539999999</v>
      </c>
      <c r="E33" s="9"/>
      <c r="F33" s="571" t="s">
        <v>626</v>
      </c>
      <c r="G33" s="571"/>
      <c r="H33" s="487"/>
      <c r="I33" s="9"/>
      <c r="J33" s="1701" t="s">
        <v>627</v>
      </c>
      <c r="K33" s="1704">
        <f ca="1">LnkTXTISubvencaoPB/12</f>
        <v>110589.28204341368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9"/>
      <c r="C34" s="989"/>
      <c r="D34" s="990"/>
      <c r="E34" s="9"/>
      <c r="F34" s="742" t="s">
        <v>628</v>
      </c>
      <c r="G34" s="742"/>
      <c r="H34" s="991"/>
      <c r="I34" s="9"/>
      <c r="J34" s="1697" t="s">
        <v>629</v>
      </c>
      <c r="K34" s="1705">
        <f>LinkTXTPR</f>
        <v>6.4896281507161493E-2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2"/>
      <c r="E35" s="9"/>
      <c r="F35" s="583"/>
      <c r="G35" s="993"/>
      <c r="H35" s="463"/>
      <c r="I35" s="9"/>
      <c r="J35" s="1699" t="s">
        <v>630</v>
      </c>
      <c r="K35" s="1706">
        <f ca="1">IFERROR(Energia!M20/((Energia!M5+Energia!M6-Energia!M7+Energia!N16)+Energia!M20),0)</f>
        <v>5.664821645713991E-2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4"/>
      <c r="D36" s="783"/>
      <c r="E36" s="9"/>
      <c r="F36" s="687" t="s">
        <v>635</v>
      </c>
      <c r="G36" s="688"/>
      <c r="H36" s="463"/>
      <c r="I36" s="9"/>
      <c r="J36" s="1701" t="s">
        <v>631</v>
      </c>
      <c r="K36" s="1707">
        <f ca="1">IFERROR(LNKTXTPercperdas,0)</f>
        <v>5.664821645713991E-2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7" t="s">
        <v>637</v>
      </c>
      <c r="G37" s="781">
        <v>573.02</v>
      </c>
      <c r="H37" s="463"/>
      <c r="I37" s="9"/>
      <c r="J37" s="270"/>
      <c r="K37" s="463"/>
      <c r="L37" s="756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632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3"/>
      <c r="G39" s="1793"/>
      <c r="H39" s="1554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633</v>
      </c>
      <c r="C41" s="577"/>
      <c r="D41" s="994">
        <f>BD!C5</f>
        <v>138405.701</v>
      </c>
      <c r="E41" s="9"/>
      <c r="G41" s="576" t="s">
        <v>633</v>
      </c>
      <c r="H41" s="995">
        <f ca="1">IFERROR(Calc_Mercado!J15,0)</f>
        <v>4.6900647539077855E-2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117388.820833768</v>
      </c>
      <c r="E42" s="9"/>
      <c r="G42" s="571" t="s">
        <v>40</v>
      </c>
      <c r="H42" s="995">
        <f ca="1">LnkTxtVarTFSEE</f>
        <v>0.10613552794625769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7611695.47208001</v>
      </c>
      <c r="E43" s="9"/>
      <c r="G43" s="571" t="s">
        <v>41</v>
      </c>
      <c r="H43" s="578">
        <f ca="1">LnkTxtVarCDE</f>
        <v>0.45076365203979618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1279283.07024</v>
      </c>
      <c r="E46" s="9"/>
      <c r="G46" s="571" t="s">
        <v>47</v>
      </c>
      <c r="H46" s="578">
        <f ca="1">Resultado!F21</f>
        <v>0.51445924226332274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2036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1" t="s">
        <v>636</v>
      </c>
      <c r="C49" s="741"/>
      <c r="D49" s="996">
        <f>BD!C18</f>
        <v>0</v>
      </c>
      <c r="E49" s="9"/>
      <c r="G49" s="741" t="s">
        <v>636</v>
      </c>
      <c r="H49" s="995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638</v>
      </c>
      <c r="C50" s="571"/>
      <c r="D50" s="369">
        <f>BD!C19</f>
        <v>0</v>
      </c>
      <c r="E50" s="9"/>
      <c r="G50" s="571" t="s">
        <v>638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2" t="s">
        <v>639</v>
      </c>
      <c r="C51" s="742"/>
      <c r="D51" s="997"/>
      <c r="E51" s="9"/>
      <c r="G51" s="742" t="s">
        <v>639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640</v>
      </c>
      <c r="C52" s="576"/>
      <c r="D52" s="998">
        <f>BD!C25</f>
        <v>10219012.57447</v>
      </c>
      <c r="E52" s="9"/>
      <c r="G52" s="576" t="s">
        <v>640</v>
      </c>
      <c r="H52" s="579">
        <f ca="1">Resultado!F32</f>
        <v>9.4543834747915279E-2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641</v>
      </c>
      <c r="C53" s="576"/>
      <c r="D53" s="998">
        <f>BD!C26</f>
        <v>26770470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642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9"/>
      <c r="E57" s="574"/>
      <c r="F57" s="575" t="s">
        <v>643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0" t="s">
        <v>216</v>
      </c>
      <c r="C58" s="1001"/>
      <c r="D58" s="768"/>
      <c r="E58" s="1798">
        <v>0</v>
      </c>
      <c r="F58" s="1798"/>
      <c r="G58" s="376"/>
      <c r="L58" s="757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644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8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645</v>
      </c>
      <c r="C61" s="569"/>
      <c r="D61" s="569" t="s">
        <v>646</v>
      </c>
      <c r="L61" s="551"/>
      <c r="M61" s="737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4" t="s">
        <v>647</v>
      </c>
      <c r="C62" s="715" t="s">
        <v>648</v>
      </c>
      <c r="D62" s="715" t="s">
        <v>193</v>
      </c>
      <c r="E62" s="1800" t="s">
        <v>649</v>
      </c>
      <c r="F62" s="1801"/>
      <c r="G62" s="715" t="s">
        <v>650</v>
      </c>
      <c r="H62" s="716" t="s">
        <v>651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0">
        <f>Indexador!B34</f>
        <v>44348</v>
      </c>
      <c r="C63" s="1765"/>
      <c r="D63" s="726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7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88"/>
      <c r="G63" s="726">
        <f>IFERROR(VLOOKUP(B63,transmissorapiscofins[#All],2,FALSE),0)</f>
        <v>0</v>
      </c>
      <c r="H63" s="727"/>
      <c r="I63" s="9" t="s">
        <v>652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1">
        <f>Indexador!B35</f>
        <v>44378</v>
      </c>
      <c r="C64" s="1766"/>
      <c r="D64" s="732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89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0"/>
      <c r="G64" s="732">
        <f>IFERROR(VLOOKUP(B64,transmissorapiscofins[#All],2,FALSE),0)</f>
        <v>0</v>
      </c>
      <c r="H64" s="718">
        <f>SUMIF(BD!$A$41:$A$57,B64,BD!$C$41:$C$57)</f>
        <v>0</v>
      </c>
      <c r="I64" s="9" t="s">
        <v>653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7">
        <f>Indexador!B36</f>
        <v>44409</v>
      </c>
      <c r="C65" s="733">
        <f>IF($C$113="Não",SUMIFS(Faturas!H:H,Faturas!A:A,$K$12,Faturas!G:G,"piscofins",Faturas!F:F,YEAR(CAPA!B65)*100+MONTH(CAPA!B65)),IF(B65&lt;$C$114,0,SUMIFS(Faturas!H:H,Faturas!A:A,$K$12,Faturas!G:G,"piscofins",Faturas!F:F,YEAR(CAPA!B65)*100+MONTH(CAPA!B65))))</f>
        <v>9066.32</v>
      </c>
      <c r="D65" s="733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1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2"/>
      <c r="G65" s="733">
        <f>IFERROR(VLOOKUP(B65,transmissorapiscofins[#All],2,FALSE),0)</f>
        <v>0</v>
      </c>
      <c r="H65" s="740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2">
        <f>Indexador!B37</f>
        <v>44440</v>
      </c>
      <c r="C66" s="734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60857.53</v>
      </c>
      <c r="D66" s="735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5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6"/>
      <c r="G66" s="735">
        <f>IFERROR(VLOOKUP(B66,transmissorapiscofins[#All],2,FALSE),0)</f>
        <v>0</v>
      </c>
      <c r="H66" s="718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2">
        <f>Indexador!B38</f>
        <v>44470</v>
      </c>
      <c r="C67" s="734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98707.829999999987</v>
      </c>
      <c r="D67" s="734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7"/>
      <c r="G67" s="734">
        <f>IFERROR(VLOOKUP(B67,transmissorapiscofins[#All],2,FALSE),0)</f>
        <v>0</v>
      </c>
      <c r="H67" s="718">
        <f>SUMIF(BD!$A$41:$A$57,B67,BD!$C$41:$C$57)</f>
        <v>0</v>
      </c>
      <c r="I67" s="9"/>
      <c r="J67" s="9"/>
      <c r="K67" s="9"/>
      <c r="L67" s="17"/>
      <c r="M67" s="556"/>
      <c r="N67" s="739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2">
        <f>Indexador!B39</f>
        <v>44501</v>
      </c>
      <c r="C68" s="734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103640.04000000001</v>
      </c>
      <c r="D68" s="734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7"/>
      <c r="G68" s="734">
        <f>IFERROR(VLOOKUP(B68,transmissorapiscofins[#All],2,FALSE),0)</f>
        <v>0</v>
      </c>
      <c r="H68" s="718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2">
        <f>Indexador!B40</f>
        <v>44531</v>
      </c>
      <c r="C69" s="734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99950.31</v>
      </c>
      <c r="D69" s="734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7"/>
      <c r="G69" s="734">
        <f>IFERROR(VLOOKUP(B69,transmissorapiscofins[#All],2,FALSE),0)</f>
        <v>0</v>
      </c>
      <c r="H69" s="718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2">
        <f>Indexador!B41</f>
        <v>44562</v>
      </c>
      <c r="C70" s="734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137119.13</v>
      </c>
      <c r="D70" s="734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7"/>
      <c r="G70" s="734">
        <f>IFERROR(VLOOKUP(B70,transmissorapiscofins[#All],2,FALSE),0)</f>
        <v>0</v>
      </c>
      <c r="H70" s="718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2">
        <f>Indexador!B42</f>
        <v>44593</v>
      </c>
      <c r="C71" s="734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78335.62</v>
      </c>
      <c r="D71" s="734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7"/>
      <c r="G71" s="734">
        <f>IFERROR(VLOOKUP(B71,transmissorapiscofins[#All],2,FALSE),0)</f>
        <v>0</v>
      </c>
      <c r="H71" s="718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2">
        <f>Indexador!B43</f>
        <v>44621</v>
      </c>
      <c r="C72" s="734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94709.82</v>
      </c>
      <c r="D72" s="734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7"/>
      <c r="G72" s="734">
        <f>IFERROR(VLOOKUP(B72,transmissorapiscofins[#All],2,FALSE),0)</f>
        <v>0</v>
      </c>
      <c r="H72" s="718">
        <f>SUMIF(BD!$A$41:$A$57,B72,BD!$C$41:$C$57)</f>
        <v>0</v>
      </c>
      <c r="J72" s="474" t="s">
        <v>654</v>
      </c>
      <c r="K72" s="474" t="s">
        <v>655</v>
      </c>
      <c r="L72" s="590" t="s">
        <v>655</v>
      </c>
      <c r="M72" s="590" t="s">
        <v>656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2">
        <f>Indexador!B44</f>
        <v>44652</v>
      </c>
      <c r="C73" s="734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57967.05</v>
      </c>
      <c r="D73" s="734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7"/>
      <c r="G73" s="734">
        <f>IFERROR(VLOOKUP(B73,transmissorapiscofins[#All],2,FALSE),0)</f>
        <v>0</v>
      </c>
      <c r="H73" s="718">
        <f>SUMIF(BD!$A$41:$A$57,B73,BD!$C$41:$C$57)</f>
        <v>0</v>
      </c>
      <c r="J73" s="1002" t="str">
        <f ca="1">IFERROR(VLOOKUP(TRUE,BD!D41:F56,3,FALSE),"todos os meses")</f>
        <v>todos os meses</v>
      </c>
      <c r="K73" s="1003" t="s">
        <v>657</v>
      </c>
      <c r="L73" s="1004">
        <f ca="1">IF(Energia!F24*2/3=0,0.0000001,Energia!F24*2/3)</f>
        <v>14818423.55689355</v>
      </c>
      <c r="M73" s="1005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2">
        <f>Indexador!B45</f>
        <v>44682</v>
      </c>
      <c r="C74" s="734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89123.3</v>
      </c>
      <c r="D74" s="734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7"/>
      <c r="G74" s="734">
        <f>IFERROR(VLOOKUP(B74,transmissorapiscofins[#All],2,FALSE),0)</f>
        <v>0</v>
      </c>
      <c r="H74" s="718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2">
        <f>Indexador!B46</f>
        <v>44713</v>
      </c>
      <c r="C75" s="734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113003.94</v>
      </c>
      <c r="D75" s="734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7"/>
      <c r="G75" s="734">
        <f>IFERROR(VLOOKUP(B75,transmissorapiscofins[#All],2,FALSE),0)</f>
        <v>0</v>
      </c>
      <c r="H75" s="718">
        <f>SUMIF(BD!$A$41:$A$57,B75,BD!$C$41:$C$57)</f>
        <v>1726729.8004999999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2">
        <f>Indexador!B47</f>
        <v>44743</v>
      </c>
      <c r="C76" s="734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142591.82</v>
      </c>
      <c r="D76" s="734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7"/>
      <c r="G76" s="734">
        <f>IFERROR(VLOOKUP(B76,transmissorapiscofins[#All],2,FALSE),0)</f>
        <v>0</v>
      </c>
      <c r="H76" s="718">
        <f>SUMIF(BD!$A$41:$A$57,B76,BD!$C$41:$C$57)</f>
        <v>538253.71010000003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3">
        <f>Indexador!B48</f>
        <v>44774</v>
      </c>
      <c r="C77" s="736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3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4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5"/>
      <c r="G77" s="833">
        <f>IFERROR(VLOOKUP(B77,transmissorapiscofins[#All],2,FALSE),0)</f>
        <v>0</v>
      </c>
      <c r="H77" s="825">
        <f>SUMIF(BD!$A$41:$A$57,B77,BD!$C$41:$C$57)</f>
        <v>-92.01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59"/>
      <c r="M79" s="738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658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8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0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6"/>
      <c r="D82" s="1007"/>
      <c r="E82" s="1007"/>
      <c r="F82" s="1007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1"/>
      <c r="C83" s="1008"/>
      <c r="D83" s="1009"/>
      <c r="E83" s="1009"/>
      <c r="F83" s="1009"/>
      <c r="G83" s="376"/>
      <c r="H83" s="555"/>
      <c r="I83" s="753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1"/>
      <c r="C85" s="1010"/>
      <c r="D85" s="1011"/>
      <c r="E85" s="1011"/>
      <c r="F85" s="1011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2"/>
      <c r="C87" s="1012"/>
      <c r="D87" s="1013"/>
      <c r="E87" s="1013"/>
      <c r="F87" s="1013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659</v>
      </c>
      <c r="C88" s="603" t="str">
        <f>VLOOKUP(LnkTXTSigla,Informacoes[],7,FALSE)</f>
        <v>40/2010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660</v>
      </c>
      <c r="C89" s="603" t="str">
        <f>VLOOKUP(LnkTXTSigla,Informacoes[],8,FALSE)</f>
        <v>28 de julho de 2010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661</v>
      </c>
      <c r="C90" s="605" t="str">
        <f>Q3</f>
        <v>Cooperativa Fumacense de Eletricidade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662</v>
      </c>
      <c r="C91" s="605" t="str">
        <f>C9</f>
        <v>Cermoful</v>
      </c>
      <c r="D91" s="527"/>
      <c r="E91" s="528"/>
      <c r="F91" s="527"/>
      <c r="H91" s="753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663</v>
      </c>
      <c r="C92" s="603" t="str">
        <f>D92&amp;" - "&amp;E92</f>
        <v>Morro da Fumaça  - SC</v>
      </c>
      <c r="D92" s="529" t="str">
        <f>VLOOKUP(LnkTXTSigla,Informacoes[],5,FALSE)</f>
        <v xml:space="preserve">Morro da Fumaça 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664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665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666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667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188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668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669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634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670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671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672</v>
      </c>
      <c r="C103" s="610">
        <f>Resultado!D32</f>
        <v>11589713.29614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673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674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675</v>
      </c>
      <c r="C106" s="611">
        <f>ROUND(Calc_Mercado!J18/1000,0)</f>
        <v>16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676</v>
      </c>
      <c r="C107" s="611">
        <f ca="1">ROUND(Mercado_RA0_Reais/1000000,0)</f>
        <v>69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206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2" t="s">
        <v>208</v>
      </c>
      <c r="C109" s="1014" t="str">
        <f>IF(E109=0,"!vazio!"," e "&amp;E109)</f>
        <v>!vazio!</v>
      </c>
      <c r="D109" s="1015"/>
      <c r="E109" s="1015">
        <f>VLOOKUP(LnkTXTSigla,Informacoes[],13,FALSE)</f>
        <v>0</v>
      </c>
      <c r="F109" s="1015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2" t="s">
        <v>677</v>
      </c>
      <c r="C110" s="1014" t="str">
        <f ca="1">IF(AnoRevRea=VLOOKUP(LnkTXTSigla,Informacoes[],15,FALSE),"REVISÃO","REAJUSTE")</f>
        <v>REVISÃO</v>
      </c>
      <c r="D110" s="1015"/>
      <c r="E110" s="1015"/>
      <c r="F110" s="1015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2" t="s">
        <v>678</v>
      </c>
      <c r="C111" s="1014" t="str">
        <f ca="1">IF(C110="Reajuste", "Reajuste Tarifário Anual - RTA", "Revisão Tarifária Periódica - RTP")</f>
        <v>Revisão Tarifária Periódica - RTP</v>
      </c>
      <c r="D111" s="1014"/>
      <c r="E111" s="1014"/>
      <c r="F111" s="1014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2"/>
      <c r="C112" s="746"/>
      <c r="D112" s="746"/>
      <c r="E112" s="746"/>
      <c r="F112" s="746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1" t="s">
        <v>679</v>
      </c>
      <c r="C113" s="744" t="str">
        <f>VLOOKUP(C9,Informacoes[],19,FALSE)</f>
        <v>Não</v>
      </c>
      <c r="D113" s="744"/>
      <c r="E113" s="744"/>
      <c r="F113" s="744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2" t="s">
        <v>680</v>
      </c>
      <c r="C114" s="745">
        <f>VLOOKUP(C9,Informacoes[],20,FALSE)</f>
        <v>0</v>
      </c>
      <c r="D114" s="745"/>
      <c r="E114" s="745"/>
      <c r="F114" s="745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681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6" t="s">
        <v>199</v>
      </c>
      <c r="C119" s="1016" t="s">
        <v>199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7" t="str">
        <f>LnkTXTSigla</f>
        <v>Cermoful</v>
      </c>
      <c r="C120" s="1018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topLeftCell="D1" zoomScaleNormal="100" workbookViewId="0">
      <selection activeCell="M8" sqref="M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9" t="s">
        <v>682</v>
      </c>
      <c r="C1" s="1020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Cermoful - REVISÃO 2022</v>
      </c>
      <c r="C2" s="70"/>
      <c r="D2" s="70"/>
      <c r="E2" s="70"/>
      <c r="F2" s="70"/>
      <c r="G2" s="75"/>
      <c r="H2" s="376" t="s">
        <v>683</v>
      </c>
      <c r="I2" s="657">
        <v>44818.813379629632</v>
      </c>
      <c r="K2" s="691" t="s">
        <v>684</v>
      </c>
      <c r="L2" s="692"/>
    </row>
    <row r="3" spans="1:15" ht="16.5" customHeight="1">
      <c r="A3" s="137"/>
      <c r="B3" s="935" t="s">
        <v>685</v>
      </c>
      <c r="C3" s="785"/>
      <c r="D3" s="75"/>
      <c r="E3" s="75"/>
      <c r="F3" s="75"/>
      <c r="G3" s="75"/>
      <c r="H3" s="658" t="s">
        <v>686</v>
      </c>
      <c r="I3" s="658">
        <v>15</v>
      </c>
      <c r="K3" s="693" t="s">
        <v>687</v>
      </c>
      <c r="L3" s="656">
        <v>8.1930122491024271E-2</v>
      </c>
    </row>
    <row r="4" spans="1:15" ht="16.5">
      <c r="A4" s="137"/>
      <c r="G4" s="75"/>
      <c r="H4" s="68" t="s">
        <v>2408</v>
      </c>
      <c r="I4" s="68" t="s">
        <v>2407</v>
      </c>
      <c r="J4" s="9"/>
      <c r="K4" s="693" t="s">
        <v>688</v>
      </c>
      <c r="L4" s="656">
        <v>0.11849277988093276</v>
      </c>
    </row>
    <row r="5" spans="1:15" ht="16.5" customHeight="1">
      <c r="A5" s="137"/>
      <c r="B5" s="1021" t="s">
        <v>689</v>
      </c>
      <c r="C5" s="1022">
        <f ca="1">D39+D34</f>
        <v>77753175.624853358</v>
      </c>
      <c r="D5" s="142"/>
      <c r="E5" s="79"/>
      <c r="G5" s="75"/>
      <c r="H5" s="1771">
        <v>44813</v>
      </c>
      <c r="I5" s="68" t="s">
        <v>2409</v>
      </c>
      <c r="J5" s="270"/>
      <c r="K5" s="694" t="s">
        <v>690</v>
      </c>
      <c r="L5" s="663">
        <v>0.1000147813445591</v>
      </c>
    </row>
    <row r="6" spans="1:15" ht="16.5" customHeight="1">
      <c r="A6" s="137"/>
      <c r="B6" s="76" t="s">
        <v>691</v>
      </c>
      <c r="C6" s="77">
        <f ca="1">Mercado_RA0_Reais</f>
        <v>69453986.271459967</v>
      </c>
      <c r="D6" s="77"/>
      <c r="E6" s="471"/>
      <c r="F6" s="75"/>
      <c r="G6" s="138"/>
      <c r="H6" s="81"/>
      <c r="J6" s="270"/>
      <c r="K6" s="695" t="s">
        <v>692</v>
      </c>
      <c r="L6" s="696">
        <v>726.83</v>
      </c>
      <c r="M6" s="79"/>
    </row>
    <row r="7" spans="1:15" ht="16.5" customHeight="1">
      <c r="A7" s="137"/>
      <c r="B7" s="1023" t="s">
        <v>2319</v>
      </c>
      <c r="C7" s="1024">
        <f ca="1">ROUND((C5/C6-1),4)</f>
        <v>0.1195</v>
      </c>
      <c r="D7" s="488"/>
      <c r="E7" s="75"/>
      <c r="F7" s="75"/>
      <c r="G7" s="75"/>
      <c r="H7" s="81"/>
      <c r="K7" s="49" t="s">
        <v>693</v>
      </c>
      <c r="L7" s="913">
        <f>L6/'Tabelas e Gráficos'!U39-1</f>
        <v>0.11521465615122595</v>
      </c>
      <c r="M7" s="68" t="s">
        <v>2410</v>
      </c>
    </row>
    <row r="8" spans="1:15" ht="16.5" customHeight="1">
      <c r="A8" s="137"/>
      <c r="B8" s="78" t="s">
        <v>694</v>
      </c>
      <c r="C8" s="252">
        <f ca="1">ROUND(Financeiros!E7,4)</f>
        <v>-4.2500000000000003E-2</v>
      </c>
      <c r="D8" s="489"/>
      <c r="E8" s="75"/>
      <c r="F8" s="486"/>
      <c r="G8" s="75"/>
      <c r="H8" s="81"/>
      <c r="K8" s="697" t="s">
        <v>695</v>
      </c>
      <c r="L8" s="698" t="s">
        <v>2040</v>
      </c>
      <c r="M8" s="659" t="s">
        <v>697</v>
      </c>
    </row>
    <row r="9" spans="1:15" ht="16.5" customHeight="1">
      <c r="A9" s="137"/>
      <c r="B9" s="1025" t="s">
        <v>2320</v>
      </c>
      <c r="C9" s="1026">
        <f ca="1">ROUND((C7+C8),5)</f>
        <v>7.6999999999999999E-2</v>
      </c>
      <c r="D9" s="488"/>
      <c r="E9" s="488"/>
      <c r="F9" s="75"/>
      <c r="G9" s="75"/>
      <c r="K9" s="693" t="s">
        <v>698</v>
      </c>
      <c r="L9" s="699">
        <f>Aj.Subsídio!G28*12</f>
        <v>0</v>
      </c>
      <c r="M9" s="699">
        <v>0</v>
      </c>
    </row>
    <row r="10" spans="1:15" ht="16.5" customHeight="1">
      <c r="A10" s="137"/>
      <c r="B10" s="1025" t="s">
        <v>699</v>
      </c>
      <c r="C10" s="1026">
        <f ca="1">ROUND((LnkTXTEfeito-LnkTXTIRTTotal),4)</f>
        <v>2.3E-2</v>
      </c>
      <c r="D10" s="702">
        <f ca="1">LnKTxTRA1+Financeiros!D5</f>
        <v>74798726.034492582</v>
      </c>
      <c r="E10" s="75"/>
      <c r="F10" s="75"/>
      <c r="G10" s="75"/>
      <c r="K10" s="693" t="s">
        <v>700</v>
      </c>
      <c r="L10" s="699">
        <f>Aj.Subsídio!G29*12</f>
        <v>0</v>
      </c>
      <c r="M10" s="699">
        <v>0</v>
      </c>
    </row>
    <row r="11" spans="1:15" ht="16.5" customHeight="1">
      <c r="A11" s="137"/>
      <c r="B11" s="935" t="s">
        <v>701</v>
      </c>
      <c r="C11" s="785"/>
      <c r="D11" s="1027"/>
      <c r="E11" s="1027"/>
      <c r="F11" s="1027"/>
      <c r="G11" s="75"/>
      <c r="K11" s="693" t="s">
        <v>702</v>
      </c>
      <c r="L11" s="699">
        <f>Aj.Subsídio!G30*12</f>
        <v>0</v>
      </c>
      <c r="M11" s="699">
        <v>0</v>
      </c>
    </row>
    <row r="12" spans="1:15" ht="16.5" customHeight="1">
      <c r="E12" s="1028"/>
      <c r="F12" s="1028"/>
      <c r="K12" s="693" t="s">
        <v>703</v>
      </c>
      <c r="L12" s="699">
        <f>Aj.Subsídio!G31*12</f>
        <v>8934.36</v>
      </c>
      <c r="M12" s="699">
        <v>6784.3112007513564</v>
      </c>
      <c r="O12" s="836"/>
    </row>
    <row r="13" spans="1:15" ht="15" customHeight="1">
      <c r="B13" s="1029"/>
      <c r="C13" s="1030" t="s">
        <v>696</v>
      </c>
      <c r="D13" s="1031" t="s">
        <v>697</v>
      </c>
      <c r="E13" s="1030" t="s">
        <v>704</v>
      </c>
      <c r="F13" s="1029" t="s">
        <v>705</v>
      </c>
      <c r="K13" s="693" t="s">
        <v>706</v>
      </c>
      <c r="L13" s="699">
        <f>Aj.Subsídio!G32*12</f>
        <v>276950.03999999998</v>
      </c>
      <c r="M13" s="699">
        <v>142940.12385287479</v>
      </c>
      <c r="O13" s="836"/>
    </row>
    <row r="14" spans="1:15" ht="14.25">
      <c r="B14" s="1032" t="s">
        <v>707</v>
      </c>
      <c r="C14" s="1033">
        <f ca="1">SUM(C15:C23)</f>
        <v>9411909.3534778766</v>
      </c>
      <c r="D14" s="1034">
        <f ca="1">SUM(D15:D23)</f>
        <v>13698098.292825773</v>
      </c>
      <c r="E14" s="1035">
        <f t="shared" ref="E14:E34" ca="1" si="0">(D14-C14)/LnkTXTRA0</f>
        <v>6.1712641267203661E-2</v>
      </c>
      <c r="F14" s="1036">
        <f ca="1">IF(ISERROR(D14/C14-1),"-",D14/C14-1)</f>
        <v>0.45540057584214511</v>
      </c>
      <c r="G14" s="287"/>
      <c r="H14" s="100"/>
      <c r="K14" s="693" t="s">
        <v>708</v>
      </c>
      <c r="L14" s="699">
        <f>Aj.Subsídio!G33*12</f>
        <v>6523.7999999999993</v>
      </c>
      <c r="M14" s="699">
        <v>4282.8283740563566</v>
      </c>
      <c r="O14" s="836"/>
    </row>
    <row r="15" spans="1:15" ht="14.25" hidden="1">
      <c r="B15" s="78" t="s">
        <v>709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699"/>
      <c r="M15" s="49"/>
    </row>
    <row r="16" spans="1:15" ht="14.25" hidden="1">
      <c r="B16" s="78" t="s">
        <v>710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699"/>
    </row>
    <row r="17" spans="2:14" ht="14.25">
      <c r="B17" s="78" t="s">
        <v>711</v>
      </c>
      <c r="C17" s="223">
        <f ca="1">Mercado_Faturado_Encargo_TFSEE_BRUTO</f>
        <v>120927.60719306121</v>
      </c>
      <c r="D17" s="131">
        <f ca="1">Encargos!C6</f>
        <v>133762.32262577442</v>
      </c>
      <c r="E17" s="221">
        <f t="shared" ca="1" si="0"/>
        <v>1.8479451103855873E-4</v>
      </c>
      <c r="F17" s="253">
        <f t="shared" ca="1" si="1"/>
        <v>0.10613552794625769</v>
      </c>
      <c r="G17" s="287"/>
    </row>
    <row r="18" spans="2:14" ht="14.25">
      <c r="B18" s="78" t="s">
        <v>712</v>
      </c>
      <c r="C18" s="224">
        <f ca="1">Mercado_Faturado_Encargo_CDE_BRUTO+Calc_Mercado!S75</f>
        <v>7951526.9955657516</v>
      </c>
      <c r="D18" s="225">
        <f ca="1">Encargos!C7</f>
        <v>11535786.343379999</v>
      </c>
      <c r="E18" s="222">
        <f t="shared" ca="1" si="0"/>
        <v>5.1606243791468179E-2</v>
      </c>
      <c r="F18" s="253">
        <f t="shared" ca="1" si="1"/>
        <v>0.45076365203979618</v>
      </c>
      <c r="G18" s="287"/>
      <c r="H18" s="140"/>
      <c r="K18" s="49" t="s">
        <v>713</v>
      </c>
      <c r="L18" s="700">
        <v>44818.822337962964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3" t="s">
        <v>714</v>
      </c>
      <c r="L19" s="693"/>
      <c r="M19" s="693"/>
      <c r="N19" s="290"/>
    </row>
    <row r="20" spans="2:14" ht="14.25">
      <c r="B20" s="78" t="s">
        <v>715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3" t="s">
        <v>716</v>
      </c>
      <c r="L20" s="701"/>
      <c r="M20" s="701"/>
    </row>
    <row r="21" spans="2:14" ht="14.25">
      <c r="B21" s="78" t="s">
        <v>47</v>
      </c>
      <c r="C21" s="223">
        <f ca="1">Mercado_Faturado_Encargo_PROINFA_BRUTO</f>
        <v>1339454.750719063</v>
      </c>
      <c r="D21" s="131">
        <f ca="1">Encargos!C10</f>
        <v>2028549.6268199999</v>
      </c>
      <c r="E21" s="221">
        <f t="shared" ca="1" si="0"/>
        <v>9.9216029646969281E-3</v>
      </c>
      <c r="F21" s="253">
        <f t="shared" ca="1" si="1"/>
        <v>0.51445924226332274</v>
      </c>
      <c r="G21" s="287"/>
      <c r="L21" s="196"/>
    </row>
    <row r="22" spans="2:14" ht="14.25">
      <c r="B22" s="78" t="s">
        <v>717</v>
      </c>
      <c r="C22" s="223">
        <f ca="1">Mercado_Faturado_Encargo_PeD_BRUTO*0</f>
        <v>0</v>
      </c>
      <c r="D22" s="1754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7" t="s">
        <v>718</v>
      </c>
      <c r="C24" s="1033">
        <f ca="1">SUM(C25:C32)</f>
        <v>10588624.163059883</v>
      </c>
      <c r="D24" s="1034">
        <f>SUM(D25:D32)</f>
        <v>11589713.29614</v>
      </c>
      <c r="E24" s="1035">
        <f t="shared" ca="1" si="0"/>
        <v>1.4413703040274378E-2</v>
      </c>
      <c r="F24" s="1036">
        <f t="shared" ca="1" si="1"/>
        <v>9.4543834747915279E-2</v>
      </c>
      <c r="G24" s="287"/>
      <c r="J24"/>
      <c r="K24" s="23"/>
      <c r="L24" s="196"/>
    </row>
    <row r="25" spans="2:14" ht="14.25">
      <c r="B25" s="81" t="s">
        <v>636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638</v>
      </c>
      <c r="C26" s="223">
        <f ca="1">IFERROR(Calc_Mercado!C89,0)</f>
        <v>0</v>
      </c>
      <c r="D26" s="1754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719</v>
      </c>
      <c r="D27" s="1755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720</v>
      </c>
      <c r="D28" s="1755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721</v>
      </c>
      <c r="C29" s="223"/>
      <c r="D29" s="1755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722</v>
      </c>
      <c r="C30" s="223"/>
      <c r="D30" s="1755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639</v>
      </c>
      <c r="C31" s="223">
        <f ca="1">IFERROR(Calc_Mercado!C95,0)</f>
        <v>0</v>
      </c>
      <c r="D31" s="1754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640</v>
      </c>
      <c r="C32" s="223">
        <f ca="1">Calc_Mercado!C96</f>
        <v>10588624.163059883</v>
      </c>
      <c r="D32" s="1754">
        <f>CUSD!C3</f>
        <v>11589713.29614</v>
      </c>
      <c r="E32" s="221">
        <f t="shared" ca="1" si="2"/>
        <v>1.4413703040274378E-2</v>
      </c>
      <c r="F32" s="254">
        <f t="shared" ca="1" si="1"/>
        <v>9.4543834747915279E-2</v>
      </c>
      <c r="G32" s="287"/>
    </row>
    <row r="33" spans="2:8" ht="14.25">
      <c r="B33" s="1037" t="s">
        <v>108</v>
      </c>
      <c r="C33" s="1033">
        <f ca="1">SUM(Calc_Mercado!C79:C84)</f>
        <v>21999785.028878268</v>
      </c>
      <c r="D33" s="1034">
        <f ca="1">Energia!F24</f>
        <v>22227635.335340325</v>
      </c>
      <c r="E33" s="1035">
        <f t="shared" ca="1" si="0"/>
        <v>3.2805936519108795E-3</v>
      </c>
      <c r="F33" s="1036">
        <f ca="1">IF(ISERROR(D33/C33-1),"-",D33/C33-1)</f>
        <v>1.0356933313801386E-2</v>
      </c>
      <c r="G33" s="287"/>
    </row>
    <row r="34" spans="2:8" ht="14.25">
      <c r="B34" s="1038" t="s">
        <v>723</v>
      </c>
      <c r="C34" s="1039">
        <f ca="1">C14+C24+C33</f>
        <v>42000318.545416027</v>
      </c>
      <c r="D34" s="1040">
        <f ca="1">D33+D24+D14</f>
        <v>47515446.924306095</v>
      </c>
      <c r="E34" s="1041">
        <f t="shared" ca="1" si="0"/>
        <v>7.9406937959388857E-2</v>
      </c>
      <c r="F34" s="1042">
        <f ca="1">IF(ISERROR(D34/C34-1),"-",D34/C34-1)</f>
        <v>0.13131158452825575</v>
      </c>
      <c r="G34" s="287"/>
    </row>
    <row r="35" spans="2:8" ht="14.25">
      <c r="G35" s="69"/>
      <c r="H35" s="107"/>
    </row>
    <row r="36" spans="2:8" ht="14.25">
      <c r="B36" s="935" t="s">
        <v>104</v>
      </c>
      <c r="C36" s="785"/>
      <c r="D36" s="785"/>
      <c r="E36" s="1027"/>
      <c r="F36" s="1027"/>
      <c r="G36" s="69"/>
    </row>
    <row r="37" spans="2:8" ht="8.25" customHeight="1">
      <c r="G37" s="69"/>
      <c r="H37" s="140"/>
    </row>
    <row r="38" spans="2:8" ht="15.75" customHeight="1">
      <c r="B38" s="660"/>
      <c r="C38" s="660" t="s">
        <v>696</v>
      </c>
      <c r="D38" s="660" t="s">
        <v>697</v>
      </c>
      <c r="E38" s="1043" t="s">
        <v>704</v>
      </c>
      <c r="F38" s="660" t="s">
        <v>705</v>
      </c>
      <c r="G38" s="69"/>
      <c r="H38" s="141"/>
    </row>
    <row r="39" spans="2:8" ht="15.75" customHeight="1">
      <c r="B39" s="1044" t="s">
        <v>724</v>
      </c>
      <c r="C39" s="1045">
        <f ca="1">LnkTXTRA0-C34</f>
        <v>27453667.72604394</v>
      </c>
      <c r="D39" s="1046">
        <f>IFERROR(SMALL(IF(LnkTXTPBReq=0,CAPA!K29,LnkTXTPBReq):LNKTXTLImPB,1),0)</f>
        <v>30237728.700547267</v>
      </c>
      <c r="E39" s="1047">
        <f ca="1">(D39-C39)/LnkTXTRA0</f>
        <v>4.0084970265376309E-2</v>
      </c>
      <c r="F39" s="1048">
        <f ca="1">IF(ISERROR(D39/C39-1),"-",D39/C39-1)</f>
        <v>0.10140943651992362</v>
      </c>
      <c r="G39" s="69"/>
      <c r="H39" s="140"/>
    </row>
    <row r="40" spans="2:8" ht="14.25">
      <c r="B40" s="703"/>
      <c r="C40" s="704"/>
      <c r="D40" s="705"/>
      <c r="E40" s="703"/>
      <c r="F40" s="703"/>
    </row>
    <row r="41" spans="2:8" ht="14.25">
      <c r="B41" s="935" t="s">
        <v>725</v>
      </c>
      <c r="C41" s="785"/>
      <c r="D41" s="785"/>
      <c r="E41" s="1027"/>
      <c r="F41" s="1027"/>
    </row>
    <row r="42" spans="2:8" ht="9" customHeight="1">
      <c r="E42" s="75"/>
      <c r="F42" s="75"/>
    </row>
    <row r="43" spans="2:8" ht="15.75" customHeight="1">
      <c r="B43" s="703"/>
      <c r="C43" s="1029" t="s">
        <v>726</v>
      </c>
      <c r="D43" s="1029" t="s">
        <v>704</v>
      </c>
      <c r="E43" s="461" t="s">
        <v>727</v>
      </c>
      <c r="F43" s="461"/>
      <c r="G43" s="461"/>
    </row>
    <row r="44" spans="2:8" ht="15.75" customHeight="1">
      <c r="B44" s="1049" t="s">
        <v>728</v>
      </c>
      <c r="C44" s="1050">
        <f ca="1">SUM(C45:C85)</f>
        <v>-2954449.5903607737</v>
      </c>
      <c r="D44" s="1764">
        <f ca="1">C44/Financeiros!D4</f>
        <v>-4.2538229250274381E-2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1120695.8526822417</v>
      </c>
      <c r="D45" s="466">
        <f ca="1">C45/Financeiros!$D$4</f>
        <v>1.6135803182009124E-2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-415064.38209668017</v>
      </c>
      <c r="D46" s="466">
        <f ca="1">C46/Financeiros!$D$4</f>
        <v>-5.97610597143275E-3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-1327071.3845209642</v>
      </c>
      <c r="D56" s="466">
        <f ca="1">C56/Financeiros!$D$4</f>
        <v>-1.91072025633507E-2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1767">
        <f>'Tabelas e Gráficos'!AN179</f>
        <v>-2333009.6764253709</v>
      </c>
      <c r="D57" s="466">
        <f ca="1">C57/Financeiros!$D$4</f>
        <v>-3.3590723897500049E-2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60"/>
      <c r="C86" s="1761"/>
      <c r="D86" s="1762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3"/>
      <c r="B102" s="1760"/>
      <c r="C102" s="1761"/>
      <c r="D102" s="1762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9" zoomScale="90" zoomScaleNormal="90" workbookViewId="0">
      <selection activeCell="G25" sqref="G25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1" t="s">
        <v>873</v>
      </c>
      <c r="C1" s="1020"/>
      <c r="D1" s="932"/>
      <c r="E1" s="932"/>
      <c r="F1" s="932"/>
      <c r="G1" s="1130" t="s">
        <v>874</v>
      </c>
      <c r="H1" s="1131">
        <f ca="1">LnkTXTIRTEco</f>
        <v>0.1195</v>
      </c>
      <c r="I1" s="70"/>
      <c r="J1" s="70"/>
      <c r="P1" s="1132" t="s">
        <v>875</v>
      </c>
      <c r="Q1" s="1133"/>
      <c r="S1" s="1134" t="s">
        <v>876</v>
      </c>
      <c r="T1" s="1133" t="s">
        <v>877</v>
      </c>
      <c r="W1" s="1132" t="s">
        <v>876</v>
      </c>
      <c r="X1" s="1133" t="s">
        <v>877</v>
      </c>
    </row>
    <row r="2" spans="2:24" ht="14.25">
      <c r="B2" s="136" t="str">
        <f>CAPA!C9</f>
        <v>Cermoful</v>
      </c>
      <c r="C2" s="70"/>
      <c r="D2" s="70"/>
      <c r="G2" s="120" t="s">
        <v>878</v>
      </c>
      <c r="H2" s="121">
        <f ca="1">LnkTXTIRTTotal</f>
        <v>7.6999999999999999E-2</v>
      </c>
      <c r="P2" s="1135">
        <f>DATE(YEAR(P4),MONTH(P4)-1,1)</f>
        <v>44440</v>
      </c>
      <c r="Q2" s="662"/>
      <c r="S2" s="661" t="s">
        <v>879</v>
      </c>
      <c r="T2" s="662" t="s">
        <v>880</v>
      </c>
      <c r="W2" s="661" t="s">
        <v>881</v>
      </c>
      <c r="X2" s="662" t="s">
        <v>880</v>
      </c>
    </row>
    <row r="3" spans="2:24" ht="14.25">
      <c r="P3" s="1132" t="s">
        <v>875</v>
      </c>
      <c r="Q3" s="1133"/>
      <c r="S3" s="1134" t="s">
        <v>876</v>
      </c>
      <c r="T3" s="1133" t="s">
        <v>877</v>
      </c>
      <c r="W3" s="1132" t="s">
        <v>876</v>
      </c>
      <c r="X3" s="1133" t="s">
        <v>877</v>
      </c>
    </row>
    <row r="4" spans="2:24" ht="14.25">
      <c r="P4" s="1135">
        <f>DATE(YEAR(P6),MONTH(P6)-1,1)</f>
        <v>44470</v>
      </c>
      <c r="Q4" s="662"/>
      <c r="S4" s="661" t="s">
        <v>539</v>
      </c>
      <c r="T4" s="662" t="s">
        <v>880</v>
      </c>
      <c r="W4" s="661" t="s">
        <v>881</v>
      </c>
      <c r="X4" s="662" t="s">
        <v>880</v>
      </c>
    </row>
    <row r="5" spans="2:24" ht="14.25">
      <c r="P5" s="1132" t="s">
        <v>875</v>
      </c>
      <c r="Q5" s="1133"/>
      <c r="S5" s="1132" t="s">
        <v>876</v>
      </c>
      <c r="T5" s="1133" t="s">
        <v>877</v>
      </c>
      <c r="V5" s="95"/>
      <c r="W5" s="1132" t="s">
        <v>876</v>
      </c>
      <c r="X5" s="1133" t="s">
        <v>877</v>
      </c>
    </row>
    <row r="6" spans="2:24" ht="14.25">
      <c r="B6" s="111" t="s">
        <v>882</v>
      </c>
      <c r="F6" s="111" t="s">
        <v>883</v>
      </c>
      <c r="I6" s="111" t="s">
        <v>884</v>
      </c>
      <c r="P6" s="1135">
        <f>DATE(YEAR(P8),MONTH(P8)-1,1)</f>
        <v>44501</v>
      </c>
      <c r="Q6" s="662"/>
      <c r="S6" s="661" t="str">
        <f>"=A3"</f>
        <v>=A3</v>
      </c>
      <c r="T6" s="662" t="s">
        <v>880</v>
      </c>
      <c r="W6" s="661" t="s">
        <v>881</v>
      </c>
      <c r="X6" s="662" t="s">
        <v>880</v>
      </c>
    </row>
    <row r="7" spans="2:24" ht="14.25">
      <c r="B7" s="1136" t="s">
        <v>779</v>
      </c>
      <c r="C7" s="1136" t="s">
        <v>108</v>
      </c>
      <c r="D7" s="1136" t="s">
        <v>885</v>
      </c>
      <c r="E7" s="96"/>
      <c r="F7" s="1136" t="s">
        <v>779</v>
      </c>
      <c r="G7" s="1136" t="s">
        <v>885</v>
      </c>
      <c r="I7" s="1137" t="s">
        <v>779</v>
      </c>
      <c r="J7" s="1137" t="s">
        <v>886</v>
      </c>
      <c r="L7" s="416" t="s">
        <v>887</v>
      </c>
      <c r="M7" s="416"/>
      <c r="N7" s="416" t="s">
        <v>726</v>
      </c>
      <c r="P7" s="1132" t="s">
        <v>875</v>
      </c>
      <c r="Q7" s="1133"/>
      <c r="S7" s="1132" t="s">
        <v>876</v>
      </c>
      <c r="T7" s="1133" t="s">
        <v>877</v>
      </c>
      <c r="W7" s="1132" t="s">
        <v>876</v>
      </c>
      <c r="X7" s="1133" t="s">
        <v>877</v>
      </c>
    </row>
    <row r="8" spans="2:24" ht="14.25">
      <c r="B8" s="1138" t="s">
        <v>888</v>
      </c>
      <c r="C8" s="1139">
        <f ca="1">SUM(C9:C15)</f>
        <v>144897.01799999998</v>
      </c>
      <c r="D8" s="1140">
        <f ca="1">SUM(D9:D15)</f>
        <v>69453986.271459967</v>
      </c>
      <c r="E8" s="96"/>
      <c r="F8" s="96" t="s">
        <v>889</v>
      </c>
      <c r="G8" s="115">
        <f t="shared" ref="G8:G14" ca="1" si="0">SUM(INDIRECT("dados_Mercadobase["&amp;F8&amp;"]"))</f>
        <v>0</v>
      </c>
      <c r="I8" s="227" t="s">
        <v>193</v>
      </c>
      <c r="J8" s="116">
        <f ca="1">SUM(INDIRECT("dados_MercadoBase[ICMS]"))/SUM(INDIRECT("dados_MercadoBase[[PisPasep]:[ICMS]]"),INDIRECT("dados_MercadoBase[FinTotAj]"))</f>
        <v>0.23544812054850259</v>
      </c>
      <c r="L8" s="1141" t="s">
        <v>890</v>
      </c>
      <c r="M8" s="1142"/>
      <c r="N8" s="1143">
        <f>DSUM('BD MERCADO'!A2:AAA999998,"Total",S27:S28)</f>
        <v>20913298.789249994</v>
      </c>
      <c r="P8" s="1135">
        <f>DATE(YEAR(P10),MONTH(P10)-1,1)</f>
        <v>44531</v>
      </c>
      <c r="Q8" s="662"/>
      <c r="S8" s="661" t="str">
        <f>"=A3a"</f>
        <v>=A3a</v>
      </c>
      <c r="T8" s="662" t="s">
        <v>880</v>
      </c>
      <c r="W8" s="661" t="s">
        <v>881</v>
      </c>
      <c r="X8" s="662" t="s">
        <v>880</v>
      </c>
    </row>
    <row r="9" spans="2:24" ht="14.25">
      <c r="B9" s="112" t="s">
        <v>879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4" t="s">
        <v>756</v>
      </c>
      <c r="J9" s="1145">
        <f ca="1">SUM(INDIRECT("dados_MercadoBase[[PisPasep]:[Cofins]]"))/SUM(INDIRECT("dados_MercadoBase[[PisPasep]:[ICMS]]"),INDIRECT("dados_MercadoBase[FinTotAj]"))</f>
        <v>1.9807779941797311E-3</v>
      </c>
      <c r="L9" s="96" t="s">
        <v>891</v>
      </c>
      <c r="M9" s="415"/>
      <c r="N9" s="115">
        <f>DSUM('BD MERCADO'!A2:AAA999998,"Total",S29:S30)</f>
        <v>35351243.716169983</v>
      </c>
      <c r="P9" s="1132" t="s">
        <v>875</v>
      </c>
      <c r="Q9" s="1133"/>
      <c r="S9" s="1132" t="s">
        <v>876</v>
      </c>
      <c r="T9" s="1133" t="s">
        <v>877</v>
      </c>
      <c r="X9" s="97"/>
    </row>
    <row r="10" spans="2:24" ht="14.25">
      <c r="B10" s="112" t="s">
        <v>539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892</v>
      </c>
      <c r="G10" s="115">
        <f t="shared" ca="1" si="0"/>
        <v>0</v>
      </c>
      <c r="L10" s="96" t="s">
        <v>893</v>
      </c>
      <c r="M10" s="415"/>
      <c r="N10" s="115">
        <f>DSUM('BD MERCADO'!A2:AAA999998,"Total",S31:S32)</f>
        <v>8058241.3720400017</v>
      </c>
      <c r="P10" s="1135">
        <f>DATE(YEAR(P12),MONTH(P12)-1,1)</f>
        <v>44562</v>
      </c>
      <c r="Q10" s="662"/>
      <c r="S10" s="661" t="s">
        <v>534</v>
      </c>
      <c r="T10" s="662" t="s">
        <v>880</v>
      </c>
      <c r="U10" s="94" t="s">
        <v>894</v>
      </c>
      <c r="X10" s="97"/>
    </row>
    <row r="11" spans="2:24" ht="14.25">
      <c r="B11" s="112" t="s">
        <v>536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1339454.7507190639</v>
      </c>
      <c r="L11" s="96" t="s">
        <v>895</v>
      </c>
      <c r="M11" s="415"/>
      <c r="N11" s="115">
        <f>DSUM('BD MERCADO'!A2:AAA999998,"Total",S33:S34)</f>
        <v>2309286.2933199997</v>
      </c>
      <c r="P11" s="1132" t="s">
        <v>875</v>
      </c>
      <c r="Q11" s="1133"/>
      <c r="S11" s="1132" t="s">
        <v>876</v>
      </c>
      <c r="T11" s="1133" t="s">
        <v>877</v>
      </c>
      <c r="X11" s="97"/>
    </row>
    <row r="12" spans="2:24" ht="14.25">
      <c r="B12" s="112" t="s">
        <v>538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7951526.9955657609</v>
      </c>
      <c r="I12" s="111" t="s">
        <v>896</v>
      </c>
      <c r="L12" s="96" t="s">
        <v>897</v>
      </c>
      <c r="M12" s="415"/>
      <c r="N12" s="115">
        <f>DSUM('BD MERCADO'!A2:AAA999998,"Total",S35:S36)</f>
        <v>1883914.7472600001</v>
      </c>
      <c r="P12" s="1135">
        <f>DATE(YEAR(P14),MONTH(P14)-1,1)</f>
        <v>44593</v>
      </c>
      <c r="Q12" s="662"/>
      <c r="S12" s="661" t="s">
        <v>898</v>
      </c>
      <c r="T12" s="662" t="s">
        <v>880</v>
      </c>
      <c r="X12" s="97"/>
    </row>
    <row r="13" spans="2:24" ht="14.25">
      <c r="B13" s="112" t="s">
        <v>534</v>
      </c>
      <c r="C13" s="98">
        <f t="shared" ca="1" si="2"/>
        <v>90384.587999999989</v>
      </c>
      <c r="D13" s="113">
        <f t="shared" ca="1" si="1"/>
        <v>34749569.034319989</v>
      </c>
      <c r="E13" s="96"/>
      <c r="F13" s="96" t="s">
        <v>40</v>
      </c>
      <c r="G13" s="115">
        <f t="shared" ca="1" si="0"/>
        <v>120927.60719306133</v>
      </c>
      <c r="I13" s="1137" t="s">
        <v>779</v>
      </c>
      <c r="J13" s="1137" t="s">
        <v>899</v>
      </c>
      <c r="L13" s="96" t="s">
        <v>900</v>
      </c>
      <c r="M13" s="415"/>
      <c r="N13" s="115">
        <f>DSUM('BD MERCADO'!A2:AAA999998,"Total",S37:S38)</f>
        <v>673684.4532499999</v>
      </c>
      <c r="P13" s="1132" t="s">
        <v>875</v>
      </c>
      <c r="Q13" s="1133"/>
      <c r="S13" s="1132" t="s">
        <v>876</v>
      </c>
      <c r="T13" s="1133" t="s">
        <v>877</v>
      </c>
      <c r="X13" s="97"/>
    </row>
    <row r="14" spans="2:24" ht="14.25">
      <c r="B14" s="112" t="s">
        <v>901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6" t="s">
        <v>902</v>
      </c>
      <c r="J14" s="1147">
        <f>CAPA!D41</f>
        <v>138405.701</v>
      </c>
      <c r="L14" s="96" t="s">
        <v>903</v>
      </c>
      <c r="M14" s="415"/>
      <c r="N14" s="115">
        <f>DSUM('BD MERCADO'!A2:AAA999998,"Total",S39:S40)</f>
        <v>209728.80323999995</v>
      </c>
      <c r="P14" s="1135">
        <f>DATE(YEAR(P16),MONTH(P16)-1,1)</f>
        <v>44621</v>
      </c>
      <c r="Q14" s="662"/>
      <c r="S14" s="661" t="s">
        <v>881</v>
      </c>
      <c r="T14" s="662" t="s">
        <v>880</v>
      </c>
      <c r="X14" s="97"/>
    </row>
    <row r="15" spans="2:24" ht="14.25">
      <c r="B15" s="112" t="s">
        <v>541</v>
      </c>
      <c r="C15" s="98">
        <f t="shared" ca="1" si="2"/>
        <v>54512.429999999993</v>
      </c>
      <c r="D15" s="113">
        <f t="shared" ca="1" si="1"/>
        <v>34704417.237139978</v>
      </c>
      <c r="E15" s="96"/>
      <c r="F15" s="96" t="s">
        <v>108</v>
      </c>
      <c r="G15" s="115">
        <f ca="1">SUM(C79:C84)</f>
        <v>21999785.028878268</v>
      </c>
      <c r="I15" s="1148" t="s">
        <v>832</v>
      </c>
      <c r="J15" s="1149">
        <f ca="1">IFERROR(Mercado_RA0_MWh/J14-1,0)</f>
        <v>4.6900647539077855E-2</v>
      </c>
      <c r="L15" s="1150" t="s">
        <v>904</v>
      </c>
      <c r="M15" s="1151"/>
      <c r="N15" s="1152">
        <f ca="1">D25-SUM(N8:N14)</f>
        <v>54588.096929982305</v>
      </c>
      <c r="P15" s="1132" t="s">
        <v>875</v>
      </c>
      <c r="Q15" s="1133"/>
      <c r="S15" s="1132" t="s">
        <v>905</v>
      </c>
      <c r="T15" s="1133" t="s">
        <v>877</v>
      </c>
      <c r="X15" s="97"/>
    </row>
    <row r="16" spans="2:24" ht="14.25">
      <c r="B16" s="1138" t="s">
        <v>906</v>
      </c>
      <c r="C16" s="1153">
        <f ca="1">DSUM(MercadoBase,"TUSD_E",INDIRECT("Mercado_CriterioResBr"))</f>
        <v>1333.704</v>
      </c>
      <c r="D16" s="1154">
        <f ca="1">DSUM(MercadoBase,"Total",INDIRECT("Mercado_CriterioResBr"))</f>
        <v>794754.21359999967</v>
      </c>
      <c r="E16" s="96"/>
      <c r="F16" s="96" t="s">
        <v>907</v>
      </c>
      <c r="G16" s="115">
        <f ca="1">SUM(C87:C97)</f>
        <v>38043760.904477283</v>
      </c>
      <c r="P16" s="1135">
        <f>DATE(YEAR(P18),MONTH(P18)-1,1)</f>
        <v>44652</v>
      </c>
      <c r="Q16" s="662"/>
      <c r="S16" s="661" t="s">
        <v>908</v>
      </c>
      <c r="T16" s="662" t="s">
        <v>880</v>
      </c>
      <c r="X16" s="97"/>
    </row>
    <row r="17" spans="2:24" ht="14.25">
      <c r="B17" s="1138" t="s">
        <v>909</v>
      </c>
      <c r="C17" s="1153">
        <f ca="1">DSUM(MercadoBase,"TUSD_E",INDIRECT("Mercado_Criterio"&amp;$B17))</f>
        <v>0</v>
      </c>
      <c r="D17" s="1154">
        <f ca="1">DSUM(MercadoBase,"Total",INDIRECT("Mercado_Criterio"&amp;$B17))</f>
        <v>0</v>
      </c>
      <c r="E17" s="96"/>
      <c r="F17" s="1155" t="s">
        <v>761</v>
      </c>
      <c r="G17" s="1156">
        <f ca="1">SUM(G8:G16)</f>
        <v>69455455.286833435</v>
      </c>
      <c r="I17" s="226" t="str">
        <f>"Dado referente à "&amp;TEXT(P20,"mmmm/aaaa")</f>
        <v>Dado referente à junho/2022</v>
      </c>
      <c r="L17" s="79"/>
      <c r="P17" s="1132" t="s">
        <v>875</v>
      </c>
      <c r="Q17" s="1133"/>
      <c r="S17" s="1132" t="s">
        <v>877</v>
      </c>
      <c r="T17" s="1133"/>
      <c r="X17" s="97"/>
    </row>
    <row r="18" spans="2:24" ht="14.25">
      <c r="B18" s="1138" t="s">
        <v>910</v>
      </c>
      <c r="C18" s="1153">
        <f ca="1">DSUM(MercadoBase,"TUSD_E",INDIRECT("Mercado_Criterio"&amp;$B18))</f>
        <v>0</v>
      </c>
      <c r="D18" s="1154">
        <f ca="1">DSUM(MercadoBase,"Total",INDIRECT("Mercado_Criterio"&amp;$B18))</f>
        <v>0</v>
      </c>
      <c r="E18" s="96"/>
      <c r="I18" s="1157" t="s">
        <v>911</v>
      </c>
      <c r="J18" s="1158">
        <f>DSUM('BD MERCADO'!B2:BU724,"UC",C101:C102)</f>
        <v>15639</v>
      </c>
      <c r="L18" s="79"/>
      <c r="P18" s="1135">
        <f>DATE(YEAR(P20),MONTH(P20)-1,1)</f>
        <v>44682</v>
      </c>
      <c r="Q18" s="662"/>
      <c r="S18" s="661" t="s">
        <v>791</v>
      </c>
      <c r="T18" s="662"/>
      <c r="X18" s="97"/>
    </row>
    <row r="19" spans="2:24" ht="14.25">
      <c r="B19" s="114" t="s">
        <v>912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2" t="s">
        <v>875</v>
      </c>
      <c r="Q19" s="1133"/>
      <c r="S19" s="1132" t="s">
        <v>877</v>
      </c>
      <c r="T19" s="1133" t="s">
        <v>876</v>
      </c>
      <c r="X19" s="97"/>
    </row>
    <row r="20" spans="2:24" ht="14.25">
      <c r="B20" s="114" t="s">
        <v>913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5">
        <f>DATE(YEAR(P22),MONTH(P22)-1,1)</f>
        <v>44713</v>
      </c>
      <c r="Q20" s="662"/>
      <c r="S20" s="661" t="s">
        <v>910</v>
      </c>
      <c r="T20" s="662" t="s">
        <v>879</v>
      </c>
    </row>
    <row r="21" spans="2:24" ht="14.25">
      <c r="B21" s="114" t="s">
        <v>914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2" t="s">
        <v>875</v>
      </c>
      <c r="Q21" s="1133"/>
      <c r="S21" s="1132" t="s">
        <v>877</v>
      </c>
      <c r="T21" s="1133"/>
    </row>
    <row r="22" spans="2:24" ht="14.25">
      <c r="B22" s="114" t="s">
        <v>915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5">
        <f>DATE(YEAR(P24),MONTH(P24)-1,1)</f>
        <v>44743</v>
      </c>
      <c r="Q22" s="662"/>
      <c r="S22" s="661" t="s">
        <v>753</v>
      </c>
      <c r="T22" s="662"/>
      <c r="X22" s="97"/>
    </row>
    <row r="23" spans="2:24" ht="14.25">
      <c r="B23" s="1138" t="s">
        <v>916</v>
      </c>
      <c r="C23" s="1153">
        <v>0</v>
      </c>
      <c r="D23" s="1154">
        <v>0</v>
      </c>
      <c r="E23" s="615"/>
      <c r="F23" s="617"/>
      <c r="G23" s="618"/>
      <c r="L23" s="79"/>
      <c r="M23" s="100"/>
      <c r="N23" s="97"/>
      <c r="O23" s="97"/>
      <c r="P23" s="1132" t="s">
        <v>875</v>
      </c>
      <c r="Q23" s="1133"/>
      <c r="S23" s="1132" t="s">
        <v>877</v>
      </c>
      <c r="T23" s="1133"/>
      <c r="X23" s="97"/>
    </row>
    <row r="24" spans="2:24" ht="14.25">
      <c r="B24" s="1138" t="s">
        <v>917</v>
      </c>
      <c r="C24" s="1159"/>
      <c r="D24" s="1160"/>
      <c r="E24" s="615"/>
      <c r="F24" s="617"/>
      <c r="G24" s="618"/>
      <c r="L24" s="79"/>
      <c r="P24" s="1135">
        <f>SAS_RA0_DataFim</f>
        <v>44774</v>
      </c>
      <c r="Q24" s="662"/>
      <c r="S24" s="661" t="s">
        <v>914</v>
      </c>
      <c r="T24" s="662"/>
      <c r="X24" s="97"/>
    </row>
    <row r="25" spans="2:24" ht="14.25">
      <c r="B25" s="1161" t="s">
        <v>761</v>
      </c>
      <c r="C25" s="1162">
        <f ca="1">C18+C8+C24+C20+C21+SuprimentoE</f>
        <v>144897.01799999998</v>
      </c>
      <c r="D25" s="1163">
        <f ca="1">D18+D8+D24+D20+D21+D17</f>
        <v>69453986.271459967</v>
      </c>
      <c r="E25" s="615"/>
      <c r="N25" s="69">
        <f>SUMIFS('BD MERCADO'!$P$3:$P$6000,'BD MERCADO'!$D$3:$D$6000,"A4",'BD MERCADO'!$I$3:$I$6000,U10)</f>
        <v>1509.6430000000003</v>
      </c>
      <c r="S25" s="101" t="s">
        <v>877</v>
      </c>
      <c r="T25" s="102"/>
      <c r="X25" s="97"/>
    </row>
    <row r="26" spans="2:24" ht="14.25">
      <c r="F26" s="617"/>
      <c r="G26" s="618"/>
      <c r="S26" s="661" t="s">
        <v>918</v>
      </c>
      <c r="T26" s="662"/>
      <c r="X26" s="97"/>
    </row>
    <row r="27" spans="2:24" ht="14.25">
      <c r="F27" s="617"/>
      <c r="G27" s="618"/>
      <c r="I27" s="97"/>
      <c r="S27" s="1164" t="s">
        <v>525</v>
      </c>
      <c r="T27" s="1165"/>
      <c r="X27" s="97"/>
    </row>
    <row r="28" spans="2:24" ht="14.25">
      <c r="F28" s="226"/>
      <c r="G28" s="619"/>
      <c r="I28" s="97"/>
      <c r="S28" s="1166" t="s">
        <v>890</v>
      </c>
      <c r="T28" s="1167"/>
      <c r="X28" s="97"/>
    </row>
    <row r="29" spans="2:24" ht="14.25">
      <c r="I29" s="97"/>
      <c r="S29" s="1164" t="s">
        <v>525</v>
      </c>
      <c r="T29" s="1165"/>
    </row>
    <row r="30" spans="2:24" ht="14.25">
      <c r="I30" s="97"/>
      <c r="S30" s="1166" t="s">
        <v>891</v>
      </c>
      <c r="T30" s="1167"/>
    </row>
    <row r="31" spans="2:24" ht="16.5">
      <c r="B31"/>
      <c r="C31"/>
      <c r="H31" s="97"/>
      <c r="I31" s="97"/>
      <c r="S31" s="1164" t="s">
        <v>525</v>
      </c>
      <c r="T31" s="1165"/>
      <c r="X31" s="97"/>
    </row>
    <row r="32" spans="2:24" ht="14.25">
      <c r="H32" s="97"/>
      <c r="I32" s="97"/>
      <c r="S32" s="1166" t="s">
        <v>919</v>
      </c>
      <c r="T32" s="1167"/>
      <c r="X32" s="97"/>
    </row>
    <row r="33" spans="2:24" ht="16.5">
      <c r="B33" s="1774" t="s">
        <v>920</v>
      </c>
      <c r="C33" s="1775" t="s">
        <v>921</v>
      </c>
      <c r="D33"/>
      <c r="S33" s="1164" t="s">
        <v>525</v>
      </c>
      <c r="T33" s="1165"/>
      <c r="X33" s="97"/>
    </row>
    <row r="34" spans="2:24" ht="16.5">
      <c r="B34" s="1776">
        <v>44440</v>
      </c>
      <c r="C34" s="1777">
        <v>11916.311</v>
      </c>
      <c r="D34"/>
      <c r="S34" s="1166" t="s">
        <v>895</v>
      </c>
      <c r="T34" s="1167"/>
      <c r="X34" s="97"/>
    </row>
    <row r="35" spans="2:24" ht="16.5">
      <c r="B35" s="1776">
        <v>44470</v>
      </c>
      <c r="C35" s="1777">
        <v>11986.967999999999</v>
      </c>
      <c r="D35"/>
      <c r="S35" s="1164" t="s">
        <v>525</v>
      </c>
      <c r="T35" s="1165"/>
    </row>
    <row r="36" spans="2:24" ht="16.5">
      <c r="B36" s="1776">
        <v>44501</v>
      </c>
      <c r="C36" s="1777">
        <v>12071.763000000001</v>
      </c>
      <c r="D36"/>
      <c r="M36" s="97"/>
      <c r="S36" s="1166" t="s">
        <v>897</v>
      </c>
      <c r="T36" s="1167"/>
    </row>
    <row r="37" spans="2:24" ht="16.5">
      <c r="B37" s="1776">
        <v>44531</v>
      </c>
      <c r="C37" s="1777">
        <v>12043.063999999998</v>
      </c>
      <c r="D37"/>
      <c r="M37" s="97"/>
      <c r="S37" s="1164" t="s">
        <v>525</v>
      </c>
      <c r="T37" s="1165"/>
    </row>
    <row r="38" spans="2:24" ht="16.5">
      <c r="B38" s="1776">
        <v>44562</v>
      </c>
      <c r="C38" s="1777">
        <v>11988.221999999998</v>
      </c>
      <c r="D38"/>
      <c r="M38" s="97"/>
      <c r="S38" s="1166" t="s">
        <v>900</v>
      </c>
      <c r="T38" s="1167"/>
    </row>
    <row r="39" spans="2:24" ht="16.5">
      <c r="B39" s="1776">
        <v>44593</v>
      </c>
      <c r="C39" s="1777">
        <v>12220.992999999999</v>
      </c>
      <c r="D39"/>
      <c r="S39" s="1164" t="s">
        <v>525</v>
      </c>
      <c r="T39" s="1165"/>
    </row>
    <row r="40" spans="2:24" ht="16.5">
      <c r="B40" s="1776">
        <v>44621</v>
      </c>
      <c r="C40" s="1777">
        <v>11874.943000000001</v>
      </c>
      <c r="D40"/>
      <c r="S40" s="1166" t="s">
        <v>922</v>
      </c>
      <c r="T40" s="1167"/>
    </row>
    <row r="41" spans="2:24" ht="16.5">
      <c r="B41" s="1776">
        <v>44652</v>
      </c>
      <c r="C41" s="1777">
        <v>12131.893000000004</v>
      </c>
      <c r="D41"/>
      <c r="N41" s="97"/>
      <c r="O41" s="97"/>
      <c r="P41" s="97"/>
      <c r="Q41" s="97"/>
      <c r="R41" s="97"/>
      <c r="S41" s="1164" t="s">
        <v>525</v>
      </c>
      <c r="T41" s="1165"/>
    </row>
    <row r="42" spans="2:24" ht="16.5">
      <c r="B42" s="1776">
        <v>44682</v>
      </c>
      <c r="C42" s="1777">
        <v>11730.691000000001</v>
      </c>
      <c r="D42"/>
      <c r="N42" s="97"/>
      <c r="O42" s="97"/>
      <c r="P42" s="97"/>
      <c r="Q42" s="97"/>
      <c r="R42" s="97"/>
      <c r="S42" s="1166" t="s">
        <v>923</v>
      </c>
      <c r="T42" s="1167"/>
    </row>
    <row r="43" spans="2:24" ht="16.5">
      <c r="B43" s="1776">
        <v>44713</v>
      </c>
      <c r="C43" s="1777">
        <v>12489.259999999998</v>
      </c>
      <c r="D43"/>
      <c r="N43" s="97"/>
      <c r="O43" s="97"/>
      <c r="P43" s="97"/>
      <c r="Q43" s="97"/>
      <c r="R43" s="97"/>
      <c r="S43" s="1132" t="s">
        <v>876</v>
      </c>
      <c r="T43" s="1133" t="s">
        <v>877</v>
      </c>
    </row>
    <row r="44" spans="2:24" ht="16.5">
      <c r="B44" s="1776">
        <v>44743</v>
      </c>
      <c r="C44" s="1777">
        <v>12221.454999999996</v>
      </c>
      <c r="D44"/>
      <c r="S44" s="661" t="s">
        <v>539</v>
      </c>
      <c r="T44" s="662" t="s">
        <v>910</v>
      </c>
    </row>
    <row r="45" spans="2:24" ht="16.5">
      <c r="B45" s="1776">
        <v>44774</v>
      </c>
      <c r="C45" s="1777">
        <v>12221.454999999996</v>
      </c>
      <c r="D45"/>
      <c r="S45" s="1132" t="s">
        <v>876</v>
      </c>
      <c r="T45" s="1133" t="s">
        <v>877</v>
      </c>
    </row>
    <row r="46" spans="2:24" ht="16.5">
      <c r="B46" s="1776" t="s">
        <v>924</v>
      </c>
      <c r="C46" s="1777">
        <v>144897.01799999998</v>
      </c>
      <c r="D46"/>
      <c r="S46" s="661" t="s">
        <v>536</v>
      </c>
      <c r="T46" s="662" t="s">
        <v>910</v>
      </c>
    </row>
    <row r="47" spans="2:24" ht="16.5">
      <c r="B47"/>
      <c r="C47"/>
      <c r="D47"/>
      <c r="S47" s="1132" t="s">
        <v>876</v>
      </c>
      <c r="T47" s="1133" t="s">
        <v>877</v>
      </c>
    </row>
    <row r="48" spans="2:24" ht="16.5">
      <c r="B48"/>
      <c r="C48"/>
      <c r="D48"/>
      <c r="S48" s="661" t="s">
        <v>538</v>
      </c>
      <c r="T48" s="662" t="s">
        <v>910</v>
      </c>
    </row>
    <row r="49" spans="2:21" ht="16.5">
      <c r="B49"/>
      <c r="C49"/>
      <c r="D49"/>
      <c r="S49" s="1132" t="s">
        <v>876</v>
      </c>
      <c r="T49" s="1133" t="s">
        <v>877</v>
      </c>
    </row>
    <row r="50" spans="2:21" ht="16.5">
      <c r="B50"/>
      <c r="C50"/>
      <c r="D50"/>
      <c r="S50" s="661" t="s">
        <v>534</v>
      </c>
      <c r="T50" s="662" t="s">
        <v>910</v>
      </c>
    </row>
    <row r="51" spans="2:21" ht="16.5">
      <c r="B51"/>
      <c r="C51"/>
      <c r="S51" s="1132" t="s">
        <v>876</v>
      </c>
      <c r="T51" s="1133" t="s">
        <v>877</v>
      </c>
    </row>
    <row r="52" spans="2:21" ht="16.5">
      <c r="B52"/>
      <c r="C52"/>
      <c r="S52" s="661" t="s">
        <v>881</v>
      </c>
      <c r="T52" s="662" t="s">
        <v>910</v>
      </c>
    </row>
    <row r="53" spans="2:21" ht="16.5">
      <c r="B53"/>
      <c r="C53"/>
      <c r="S53" s="1132" t="s">
        <v>876</v>
      </c>
      <c r="T53" s="1133" t="s">
        <v>877</v>
      </c>
    </row>
    <row r="54" spans="2:21" ht="14.25">
      <c r="S54" s="661" t="s">
        <v>898</v>
      </c>
      <c r="T54" s="662" t="s">
        <v>910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925</v>
      </c>
      <c r="K61" s="68"/>
    </row>
    <row r="62" spans="2:21" ht="14.25">
      <c r="B62" s="1168" t="s">
        <v>926</v>
      </c>
      <c r="C62" s="1168"/>
      <c r="D62" s="1168" t="s">
        <v>889</v>
      </c>
      <c r="E62" s="1168" t="s">
        <v>49</v>
      </c>
      <c r="F62" s="1168" t="s">
        <v>892</v>
      </c>
      <c r="G62" s="1168" t="s">
        <v>47</v>
      </c>
      <c r="H62" s="1168" t="s">
        <v>41</v>
      </c>
      <c r="I62" s="1168" t="s">
        <v>40</v>
      </c>
      <c r="J62" s="1168" t="s">
        <v>112</v>
      </c>
      <c r="K62" s="1168" t="s">
        <v>927</v>
      </c>
      <c r="L62" s="1168" t="s">
        <v>928</v>
      </c>
      <c r="M62" s="1168" t="s">
        <v>929</v>
      </c>
      <c r="N62" s="1168" t="s">
        <v>930</v>
      </c>
      <c r="O62" s="1168" t="s">
        <v>931</v>
      </c>
      <c r="P62" s="1168" t="s">
        <v>932</v>
      </c>
      <c r="Q62" s="1168" t="s">
        <v>933</v>
      </c>
      <c r="R62" s="1168" t="s">
        <v>934</v>
      </c>
      <c r="S62" s="1168" t="s">
        <v>2029</v>
      </c>
      <c r="T62" s="1168" t="s">
        <v>1054</v>
      </c>
      <c r="U62" s="1168" t="s">
        <v>2085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110213.54330937825</v>
      </c>
      <c r="H63" s="103">
        <f t="shared" ca="1" si="4"/>
        <v>652720.19763895648</v>
      </c>
      <c r="I63" s="103">
        <f t="shared" ca="1" si="4"/>
        <v>9748.6747002010761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671.53986120000059</v>
      </c>
      <c r="O63" s="103">
        <f t="shared" ca="1" si="4"/>
        <v>19738.912973600007</v>
      </c>
      <c r="P63" s="103">
        <f t="shared" ca="1" si="4"/>
        <v>281.26778399999995</v>
      </c>
      <c r="Q63" s="103">
        <f t="shared" ca="1" si="4"/>
        <v>15684.323929999999</v>
      </c>
      <c r="R63" s="103">
        <f t="shared" ca="1" si="4"/>
        <v>2228763.1725039226</v>
      </c>
      <c r="S63" s="103">
        <f ca="1">DSUM(MercadoBase,S$62,INDIRECT("P"&amp;5+2*(ROW()-65)&amp;":P"&amp;6+2*(ROW()-65)))</f>
        <v>0</v>
      </c>
      <c r="T63" s="103">
        <f t="shared" ca="1" si="4"/>
        <v>-100377.32075085992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111023.49296969014</v>
      </c>
      <c r="H64" s="103">
        <f t="shared" ca="1" si="4"/>
        <v>657166.75558236532</v>
      </c>
      <c r="I64" s="103">
        <f t="shared" ca="1" si="4"/>
        <v>9777.9625437421091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657.4231728000002</v>
      </c>
      <c r="O64" s="103">
        <f t="shared" ca="1" si="4"/>
        <v>24357.131184000002</v>
      </c>
      <c r="P64" s="103">
        <f t="shared" ca="1" si="4"/>
        <v>308.29652000000004</v>
      </c>
      <c r="Q64" s="103">
        <f t="shared" ca="1" si="4"/>
        <v>16016.055169999996</v>
      </c>
      <c r="R64" s="103">
        <f t="shared" ca="1" si="4"/>
        <v>2199546.6705685733</v>
      </c>
      <c r="S64" s="103">
        <f t="shared" ca="1" si="4"/>
        <v>0</v>
      </c>
      <c r="T64" s="103">
        <f t="shared" ca="1" si="4"/>
        <v>-99061.490418520058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111927.18109204501</v>
      </c>
      <c r="H65" s="103">
        <f t="shared" ca="1" si="4"/>
        <v>662478.7086977117</v>
      </c>
      <c r="I65" s="103">
        <f t="shared" ca="1" si="4"/>
        <v>9855.2525199118463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907.99907040000016</v>
      </c>
      <c r="O65" s="103">
        <f t="shared" ca="1" si="4"/>
        <v>26982.002688800003</v>
      </c>
      <c r="P65" s="103">
        <f t="shared" ca="1" si="4"/>
        <v>725.13030800000013</v>
      </c>
      <c r="Q65" s="103">
        <f t="shared" ca="1" si="4"/>
        <v>16278.097929999998</v>
      </c>
      <c r="R65" s="103">
        <f t="shared" ca="1" si="4"/>
        <v>2223088.3261096324</v>
      </c>
      <c r="S65" s="103">
        <f t="shared" ca="1" si="4"/>
        <v>0</v>
      </c>
      <c r="T65" s="103">
        <f t="shared" ca="1" si="4"/>
        <v>-100121.74138569499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111640.42208696131</v>
      </c>
      <c r="H66" s="103">
        <f t="shared" ca="1" si="4"/>
        <v>662984.00311297644</v>
      </c>
      <c r="I66" s="103">
        <f t="shared" ca="1" si="4"/>
        <v>10104.031713024871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875.71262159999878</v>
      </c>
      <c r="O66" s="103">
        <f t="shared" ca="1" si="4"/>
        <v>26061.882713600007</v>
      </c>
      <c r="P66" s="103">
        <f t="shared" ca="1" si="4"/>
        <v>941.78252000000009</v>
      </c>
      <c r="Q66" s="103">
        <f t="shared" ca="1" si="4"/>
        <v>16595.919619999997</v>
      </c>
      <c r="R66" s="103">
        <f t="shared" ca="1" si="4"/>
        <v>2345243.5933078295</v>
      </c>
      <c r="S66" s="103">
        <f t="shared" ca="1" si="4"/>
        <v>0</v>
      </c>
      <c r="T66" s="103">
        <f t="shared" ca="1" si="4"/>
        <v>-105623.27631243423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110919.16084716946</v>
      </c>
      <c r="H67" s="103">
        <f t="shared" ca="1" si="4"/>
        <v>663696.31030291086</v>
      </c>
      <c r="I67" s="103">
        <f t="shared" ca="1" si="4"/>
        <v>10666.253918215503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1106.3869547999991</v>
      </c>
      <c r="O67" s="103">
        <f t="shared" ca="1" si="4"/>
        <v>26084.417979200007</v>
      </c>
      <c r="P67" s="103">
        <f t="shared" ca="1" si="4"/>
        <v>184.133264</v>
      </c>
      <c r="Q67" s="103">
        <f t="shared" ca="1" si="4"/>
        <v>16989.920099999999</v>
      </c>
      <c r="R67" s="103">
        <f t="shared" ca="1" si="4"/>
        <v>2495116.4179894212</v>
      </c>
      <c r="S67" s="103">
        <f t="shared" ca="1" si="4"/>
        <v>0</v>
      </c>
      <c r="T67" s="103">
        <f t="shared" ca="1" si="4"/>
        <v>-112373.13326470985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113048.2040170726</v>
      </c>
      <c r="H68" s="103">
        <f t="shared" ca="1" si="4"/>
        <v>676675.83548370248</v>
      </c>
      <c r="I68" s="103">
        <f t="shared" ca="1" si="4"/>
        <v>10892.363428865823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1227.8069663999995</v>
      </c>
      <c r="O68" s="103">
        <f t="shared" ca="1" si="4"/>
        <v>21965.626433600006</v>
      </c>
      <c r="P68" s="103">
        <f t="shared" ca="1" si="4"/>
        <v>430.77048000000002</v>
      </c>
      <c r="Q68" s="103">
        <f t="shared" ca="1" si="4"/>
        <v>17082.557000000001</v>
      </c>
      <c r="R68" s="103">
        <f t="shared" ca="1" si="4"/>
        <v>2503575.347074009</v>
      </c>
      <c r="S68" s="103">
        <f t="shared" ca="1" si="4"/>
        <v>0</v>
      </c>
      <c r="T68" s="103">
        <f t="shared" ca="1" si="4"/>
        <v>-112754.10000375469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109653.87249315312</v>
      </c>
      <c r="H69" s="103">
        <f t="shared" ca="1" si="4"/>
        <v>654705.242053992</v>
      </c>
      <c r="I69" s="103">
        <f t="shared" ca="1" si="4"/>
        <v>10369.136449110143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1120.9046064000017</v>
      </c>
      <c r="O69" s="103">
        <f t="shared" ca="1" si="4"/>
        <v>20890.458449599999</v>
      </c>
      <c r="P69" s="103">
        <f t="shared" ca="1" si="4"/>
        <v>369.95582400000006</v>
      </c>
      <c r="Q69" s="103">
        <f t="shared" ca="1" si="4"/>
        <v>17503.727379999997</v>
      </c>
      <c r="R69" s="103">
        <f t="shared" ca="1" si="4"/>
        <v>2380299.7518648929</v>
      </c>
      <c r="S69" s="103">
        <f t="shared" ca="1" si="4"/>
        <v>0</v>
      </c>
      <c r="T69" s="103">
        <f t="shared" ca="1" si="4"/>
        <v>-107202.10860614163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111990.64064115031</v>
      </c>
      <c r="H70" s="103">
        <f t="shared" ca="1" si="4"/>
        <v>663714.82638106332</v>
      </c>
      <c r="I70" s="103">
        <f t="shared" ca="1" si="4"/>
        <v>9987.7145400242262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1151.7432432000005</v>
      </c>
      <c r="O70" s="103">
        <f t="shared" ca="1" si="4"/>
        <v>18287.703084800007</v>
      </c>
      <c r="P70" s="103">
        <f t="shared" ca="1" si="4"/>
        <v>286.75799600000005</v>
      </c>
      <c r="Q70" s="103">
        <f t="shared" ca="1" si="4"/>
        <v>17880.061269999998</v>
      </c>
      <c r="R70" s="103">
        <f t="shared" ca="1" si="4"/>
        <v>2230500.6259788596</v>
      </c>
      <c r="S70" s="103">
        <f t="shared" ca="1" si="4"/>
        <v>0</v>
      </c>
      <c r="T70" s="103">
        <f t="shared" ca="1" si="4"/>
        <v>-100455.57084350989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108140.99460455324</v>
      </c>
      <c r="H71" s="103">
        <f t="shared" ca="1" si="4"/>
        <v>639489.13722219749</v>
      </c>
      <c r="I71" s="103">
        <f t="shared" ca="1" si="4"/>
        <v>9470.9593090242197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1099.7606472000014</v>
      </c>
      <c r="O71" s="103">
        <f t="shared" ca="1" si="4"/>
        <v>17500.861918400002</v>
      </c>
      <c r="P71" s="103">
        <f t="shared" ca="1" si="4"/>
        <v>160.48312000000001</v>
      </c>
      <c r="Q71" s="103">
        <f t="shared" ca="1" si="4"/>
        <v>18652.910899999999</v>
      </c>
      <c r="R71" s="103">
        <f t="shared" ca="1" si="4"/>
        <v>2121153.4690359659</v>
      </c>
      <c r="S71" s="103">
        <f t="shared" ca="1" si="4"/>
        <v>0</v>
      </c>
      <c r="T71" s="103">
        <f t="shared" ca="1" si="4"/>
        <v>-95530.877730728025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115321.34382291388</v>
      </c>
      <c r="H72" s="103">
        <f t="shared" ca="1" si="4"/>
        <v>682602.5818298466</v>
      </c>
      <c r="I72" s="103">
        <f t="shared" ca="1" si="4"/>
        <v>10160.480016133753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1187.1447936000018</v>
      </c>
      <c r="O72" s="103">
        <f t="shared" ca="1" si="4"/>
        <v>18898.341456000002</v>
      </c>
      <c r="P72" s="103">
        <f t="shared" ca="1" si="4"/>
        <v>113.60515600000001</v>
      </c>
      <c r="Q72" s="103">
        <f t="shared" ca="1" si="4"/>
        <v>16347.961049999998</v>
      </c>
      <c r="R72" s="103">
        <f t="shared" ca="1" si="4"/>
        <v>2224096.6647979463</v>
      </c>
      <c r="S72" s="103">
        <f t="shared" ca="1" si="4"/>
        <v>0</v>
      </c>
      <c r="T72" s="103">
        <f t="shared" ca="1" si="4"/>
        <v>-100167.15416763182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112787.94741748781</v>
      </c>
      <c r="H73" s="103">
        <f t="shared" ca="1" si="4"/>
        <v>667646.69863001409</v>
      </c>
      <c r="I73" s="103">
        <f t="shared" ca="1" si="4"/>
        <v>9947.3890274038149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1155.9461172000003</v>
      </c>
      <c r="O73" s="103">
        <f t="shared" ca="1" si="4"/>
        <v>17862.022856800006</v>
      </c>
      <c r="P73" s="103">
        <f t="shared" ca="1" si="4"/>
        <v>92.911280000000005</v>
      </c>
      <c r="Q73" s="103">
        <f t="shared" ca="1" si="4"/>
        <v>16655.320449999999</v>
      </c>
      <c r="R73" s="103">
        <f t="shared" ca="1" si="4"/>
        <v>2251876.3510931958</v>
      </c>
      <c r="S73" s="103">
        <f t="shared" ca="1" si="4"/>
        <v>0</v>
      </c>
      <c r="T73" s="103">
        <f t="shared" ca="1" si="4"/>
        <v>-101418.27430278921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112787.94741748781</v>
      </c>
      <c r="H74" s="103">
        <f t="shared" ca="1" si="4"/>
        <v>667646.69863001409</v>
      </c>
      <c r="I74" s="103">
        <f t="shared" ca="1" si="4"/>
        <v>9947.3890274038149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1155.9461172000003</v>
      </c>
      <c r="O74" s="103">
        <f t="shared" ca="1" si="4"/>
        <v>17862.022856800006</v>
      </c>
      <c r="P74" s="103">
        <f t="shared" ca="1" si="4"/>
        <v>92.911280000000005</v>
      </c>
      <c r="Q74" s="103">
        <f t="shared" ca="1" si="4"/>
        <v>16655.320449999999</v>
      </c>
      <c r="R74" s="103">
        <f t="shared" ca="1" si="4"/>
        <v>2251876.3510931958</v>
      </c>
      <c r="S74" s="103">
        <f t="shared" ca="1" si="4"/>
        <v>0</v>
      </c>
      <c r="T74" s="103">
        <f t="shared" ca="1" si="4"/>
        <v>-101418.27430278921</v>
      </c>
      <c r="U74" s="103">
        <f t="shared" ca="1" si="4"/>
        <v>0</v>
      </c>
    </row>
    <row r="75" spans="2:21" ht="14.25">
      <c r="B75" s="1169" t="s">
        <v>935</v>
      </c>
      <c r="C75" s="1170"/>
      <c r="D75" s="1170">
        <f t="shared" ref="D75:Q75" ca="1" si="5">SUM(D63:D74)</f>
        <v>0</v>
      </c>
      <c r="E75" s="1170">
        <f t="shared" ca="1" si="5"/>
        <v>0</v>
      </c>
      <c r="F75" s="1170">
        <f t="shared" ca="1" si="5"/>
        <v>0</v>
      </c>
      <c r="G75" s="1170">
        <f t="shared" ca="1" si="5"/>
        <v>1339454.750719063</v>
      </c>
      <c r="H75" s="1170">
        <f t="shared" ca="1" si="5"/>
        <v>7951526.9955657516</v>
      </c>
      <c r="I75" s="1170">
        <f t="shared" ca="1" si="5"/>
        <v>120927.60719306121</v>
      </c>
      <c r="J75" s="1170">
        <f t="shared" ca="1" si="5"/>
        <v>0</v>
      </c>
      <c r="K75" s="1170">
        <f t="shared" ca="1" si="5"/>
        <v>0</v>
      </c>
      <c r="L75" s="1170">
        <f t="shared" ca="1" si="5"/>
        <v>0</v>
      </c>
      <c r="M75" s="1170">
        <f t="shared" ca="1" si="5"/>
        <v>0</v>
      </c>
      <c r="N75" s="1170">
        <f t="shared" ca="1" si="5"/>
        <v>12318.314172000006</v>
      </c>
      <c r="O75" s="1170">
        <f t="shared" ca="1" si="5"/>
        <v>256491.38459520007</v>
      </c>
      <c r="P75" s="1170">
        <f t="shared" ca="1" si="5"/>
        <v>3988.0055320000006</v>
      </c>
      <c r="Q75" s="1170">
        <f t="shared" ca="1" si="5"/>
        <v>202342.17524999997</v>
      </c>
      <c r="R75" s="1170">
        <f t="shared" ref="R75:S75" ca="1" si="6">SUM(R63:R74)</f>
        <v>27455136.741417445</v>
      </c>
      <c r="S75" s="1170">
        <f t="shared" ca="1" si="6"/>
        <v>0</v>
      </c>
      <c r="T75" s="1170">
        <f t="shared" ref="T75:U75" ca="1" si="7">SUM(T63:T74)</f>
        <v>-1236503.3220895636</v>
      </c>
      <c r="U75" s="1170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936</v>
      </c>
    </row>
    <row r="78" spans="2:21" ht="14.25">
      <c r="J78" s="94" t="s">
        <v>937</v>
      </c>
      <c r="K78" s="1171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2" t="s">
        <v>938</v>
      </c>
      <c r="C79" s="1173">
        <f t="shared" ref="C79:C84" ca="1" si="8">SUM(INDIRECT("dados_MercadoBase["&amp;B79&amp;"]"))</f>
        <v>20592434.840215061</v>
      </c>
      <c r="J79" s="94" t="s">
        <v>939</v>
      </c>
      <c r="K79" s="1174"/>
      <c r="L79" s="1174"/>
      <c r="M79" s="1174">
        <f>SUMIFS(M63:M74,$B$63:$B$74,42826)</f>
        <v>0</v>
      </c>
      <c r="N79" s="1174">
        <f>SUMIFS(N63:N74,$B$63:$B$74,42826)</f>
        <v>0</v>
      </c>
      <c r="O79" s="1174">
        <f>SUMIFS(O63:O74,$B$63:$B$74,42826)</f>
        <v>0</v>
      </c>
      <c r="P79" s="1174">
        <f>SUMIFS(P63:P74,$B$63:$B$74,42826)</f>
        <v>0</v>
      </c>
      <c r="Q79" s="1174">
        <f>SUMIFS(Q63:Q74,$B$63:$B$74,42826)</f>
        <v>0</v>
      </c>
    </row>
    <row r="80" spans="2:21" ht="14.25">
      <c r="B80" s="117" t="s">
        <v>940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941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942</v>
      </c>
      <c r="C82" s="103">
        <f t="shared" ca="1" si="8"/>
        <v>0</v>
      </c>
    </row>
    <row r="83" spans="2:13" ht="14.25">
      <c r="B83" s="117" t="s">
        <v>943</v>
      </c>
      <c r="C83" s="103">
        <f t="shared" ca="1" si="8"/>
        <v>1407350.1886632086</v>
      </c>
    </row>
    <row r="84" spans="2:13" ht="14.25">
      <c r="B84" s="117" t="s">
        <v>942</v>
      </c>
      <c r="C84" s="103">
        <f t="shared" ca="1" si="8"/>
        <v>0</v>
      </c>
    </row>
    <row r="85" spans="2:13" ht="14.25">
      <c r="B85" s="1175"/>
      <c r="C85" s="1176"/>
    </row>
    <row r="86" spans="2:13" ht="14.25"/>
    <row r="87" spans="2:13" ht="14.25">
      <c r="B87" s="1172" t="s">
        <v>944</v>
      </c>
      <c r="C87" s="1173">
        <f t="shared" ref="C87:C97" ca="1" si="9">SUM(INDIRECT("dados_MercadoBase["&amp;B87&amp;"]"))</f>
        <v>0</v>
      </c>
    </row>
    <row r="88" spans="2:13" ht="14.25">
      <c r="B88" s="117" t="s">
        <v>945</v>
      </c>
      <c r="C88" s="103">
        <f t="shared" ca="1" si="9"/>
        <v>0</v>
      </c>
    </row>
    <row r="89" spans="2:13" ht="14.25">
      <c r="B89" s="117" t="s">
        <v>946</v>
      </c>
      <c r="C89" s="103">
        <f t="shared" ca="1" si="9"/>
        <v>0</v>
      </c>
    </row>
    <row r="90" spans="2:13" ht="14.25">
      <c r="B90" s="117" t="s">
        <v>947</v>
      </c>
      <c r="C90" s="103">
        <f t="shared" ca="1" si="9"/>
        <v>0</v>
      </c>
    </row>
    <row r="91" spans="2:13" ht="14.25">
      <c r="B91" s="117" t="s">
        <v>948</v>
      </c>
      <c r="C91" s="103">
        <f t="shared" ca="1" si="9"/>
        <v>0</v>
      </c>
    </row>
    <row r="92" spans="2:13" ht="14.25">
      <c r="B92" s="117" t="s">
        <v>949</v>
      </c>
      <c r="C92" s="103">
        <f t="shared" ca="1" si="9"/>
        <v>0</v>
      </c>
      <c r="G92" s="104"/>
    </row>
    <row r="93" spans="2:13" ht="14.25">
      <c r="B93" s="117" t="s">
        <v>950</v>
      </c>
      <c r="C93" s="103">
        <f t="shared" ca="1" si="9"/>
        <v>0</v>
      </c>
      <c r="E93" s="105"/>
      <c r="G93" s="79"/>
    </row>
    <row r="94" spans="2:13" ht="14.25">
      <c r="B94" s="117" t="s">
        <v>951</v>
      </c>
      <c r="C94" s="103">
        <f t="shared" ca="1" si="9"/>
        <v>0</v>
      </c>
      <c r="E94" s="105"/>
      <c r="G94" s="105"/>
    </row>
    <row r="95" spans="2:13" ht="14.25">
      <c r="B95" s="117" t="s">
        <v>952</v>
      </c>
      <c r="C95" s="103">
        <f t="shared" ca="1" si="9"/>
        <v>0</v>
      </c>
      <c r="E95" s="105"/>
      <c r="G95" s="105"/>
    </row>
    <row r="96" spans="2:13" ht="14.25">
      <c r="B96" s="117" t="s">
        <v>953</v>
      </c>
      <c r="C96" s="103">
        <f ca="1">SUM(INDIRECT("dados_MercadoBase["&amp;B96&amp;"]"))</f>
        <v>10588624.163059883</v>
      </c>
      <c r="E96" s="105"/>
      <c r="G96" s="105"/>
    </row>
    <row r="97" spans="1:7" ht="14.25">
      <c r="B97" s="1175" t="s">
        <v>954</v>
      </c>
      <c r="C97" s="1176">
        <f t="shared" ca="1" si="9"/>
        <v>27455136.741417404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955</v>
      </c>
      <c r="C100" s="229"/>
      <c r="D100" s="230"/>
      <c r="E100" s="105"/>
      <c r="G100" s="250"/>
    </row>
    <row r="101" spans="1:7" ht="12.75" customHeight="1">
      <c r="A101" s="230"/>
      <c r="B101" s="1164" t="s">
        <v>956</v>
      </c>
      <c r="C101" s="1165" t="s">
        <v>875</v>
      </c>
      <c r="D101" s="230"/>
    </row>
    <row r="102" spans="1:7" ht="12.75" customHeight="1">
      <c r="A102" s="230"/>
      <c r="B102" s="1166" t="s">
        <v>957</v>
      </c>
      <c r="C102" s="1177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958</v>
      </c>
      <c r="E109" s="110"/>
    </row>
    <row r="111" spans="1:7" ht="12.75" customHeight="1">
      <c r="B111" s="1136" t="s">
        <v>779</v>
      </c>
      <c r="C111" s="1136" t="s">
        <v>108</v>
      </c>
      <c r="D111" s="1136" t="s">
        <v>885</v>
      </c>
    </row>
    <row r="112" spans="1:7" ht="12.75" customHeight="1">
      <c r="B112" s="1138" t="s">
        <v>910</v>
      </c>
      <c r="C112" s="1139"/>
      <c r="D112" s="1140"/>
    </row>
    <row r="113" spans="2:4" ht="12.75" customHeight="1">
      <c r="B113" s="112"/>
      <c r="C113" s="98"/>
      <c r="D113" s="113"/>
    </row>
    <row r="114" spans="2:4" ht="12.75" customHeight="1">
      <c r="B114" s="112" t="s">
        <v>539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536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538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534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898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541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1" t="s">
        <v>770</v>
      </c>
      <c r="C120" s="1162">
        <f ca="1">SUM(C114:C119)</f>
        <v>0</v>
      </c>
      <c r="D120" s="1163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F1" zoomScaleNormal="100" workbookViewId="0">
      <pane ySplit="2" topLeftCell="A533" activePane="bottomLeft" state="frozen"/>
      <selection pane="bottomLeft" activeCell="M539" sqref="M539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959</v>
      </c>
      <c r="B2" s="259" t="s">
        <v>956</v>
      </c>
      <c r="C2" s="260" t="s">
        <v>58</v>
      </c>
      <c r="D2" s="259" t="s">
        <v>876</v>
      </c>
      <c r="E2" s="260" t="s">
        <v>525</v>
      </c>
      <c r="F2" s="260" t="s">
        <v>905</v>
      </c>
      <c r="G2" s="260" t="s">
        <v>960</v>
      </c>
      <c r="H2" s="260" t="s">
        <v>961</v>
      </c>
      <c r="I2" s="260" t="s">
        <v>962</v>
      </c>
      <c r="J2" s="260" t="s">
        <v>963</v>
      </c>
      <c r="K2" s="485" t="s">
        <v>875</v>
      </c>
      <c r="L2" s="286" t="s">
        <v>964</v>
      </c>
      <c r="M2" s="286" t="s">
        <v>965</v>
      </c>
      <c r="N2" s="286" t="s">
        <v>966</v>
      </c>
      <c r="O2" s="286" t="s">
        <v>967</v>
      </c>
      <c r="P2" s="286" t="s">
        <v>968</v>
      </c>
      <c r="Q2" s="286" t="s">
        <v>969</v>
      </c>
      <c r="R2" s="260" t="s">
        <v>970</v>
      </c>
      <c r="S2" s="260" t="s">
        <v>971</v>
      </c>
      <c r="T2" s="260" t="s">
        <v>972</v>
      </c>
      <c r="U2" s="260" t="s">
        <v>973</v>
      </c>
      <c r="V2" s="260" t="s">
        <v>974</v>
      </c>
      <c r="W2" s="260" t="s">
        <v>770</v>
      </c>
      <c r="X2" s="260" t="s">
        <v>975</v>
      </c>
      <c r="Y2" s="260" t="s">
        <v>39</v>
      </c>
      <c r="Z2" s="260" t="s">
        <v>41</v>
      </c>
      <c r="AA2" s="260" t="s">
        <v>112</v>
      </c>
      <c r="AB2" s="260" t="s">
        <v>951</v>
      </c>
      <c r="AC2" s="260" t="s">
        <v>952</v>
      </c>
      <c r="AD2" s="260" t="s">
        <v>953</v>
      </c>
      <c r="AE2" s="260" t="s">
        <v>954</v>
      </c>
      <c r="AF2" s="260" t="s">
        <v>938</v>
      </c>
      <c r="AG2" s="260" t="s">
        <v>892</v>
      </c>
      <c r="AH2" s="260" t="s">
        <v>976</v>
      </c>
      <c r="AI2" s="260" t="s">
        <v>49</v>
      </c>
      <c r="AJ2" s="260" t="s">
        <v>950</v>
      </c>
      <c r="AK2" s="260" t="s">
        <v>889</v>
      </c>
      <c r="AL2" s="260" t="s">
        <v>47</v>
      </c>
      <c r="AM2" s="260" t="s">
        <v>38</v>
      </c>
      <c r="AN2" s="260" t="s">
        <v>40</v>
      </c>
      <c r="AO2" s="260" t="s">
        <v>946</v>
      </c>
      <c r="AP2" s="260" t="s">
        <v>948</v>
      </c>
      <c r="AQ2" s="260" t="s">
        <v>947</v>
      </c>
      <c r="AR2" s="260" t="s">
        <v>944</v>
      </c>
      <c r="AS2" s="260" t="s">
        <v>945</v>
      </c>
      <c r="AT2" s="260" t="s">
        <v>949</v>
      </c>
      <c r="AU2" s="260" t="s">
        <v>977</v>
      </c>
      <c r="AV2" s="260" t="s">
        <v>978</v>
      </c>
      <c r="AW2" s="260" t="s">
        <v>979</v>
      </c>
      <c r="AX2" s="260" t="s">
        <v>980</v>
      </c>
      <c r="AY2" s="260" t="s">
        <v>981</v>
      </c>
      <c r="AZ2" s="260" t="s">
        <v>982</v>
      </c>
      <c r="BA2" s="260" t="s">
        <v>983</v>
      </c>
      <c r="BB2" s="260" t="s">
        <v>984</v>
      </c>
      <c r="BC2" s="260" t="s">
        <v>985</v>
      </c>
      <c r="BD2" s="260" t="s">
        <v>986</v>
      </c>
      <c r="BE2" s="260" t="s">
        <v>987</v>
      </c>
      <c r="BF2" s="260" t="s">
        <v>988</v>
      </c>
      <c r="BG2" s="260" t="s">
        <v>989</v>
      </c>
      <c r="BH2" s="260" t="s">
        <v>990</v>
      </c>
      <c r="BI2" s="260" t="s">
        <v>991</v>
      </c>
      <c r="BJ2" s="260" t="s">
        <v>992</v>
      </c>
      <c r="BK2" s="260" t="s">
        <v>193</v>
      </c>
      <c r="BL2" s="260" t="s">
        <v>993</v>
      </c>
      <c r="BM2" s="260" t="s">
        <v>994</v>
      </c>
      <c r="BN2" s="260" t="s">
        <v>927</v>
      </c>
      <c r="BO2" s="260" t="s">
        <v>928</v>
      </c>
      <c r="BP2" s="260" t="s">
        <v>929</v>
      </c>
      <c r="BQ2" s="260" t="s">
        <v>930</v>
      </c>
      <c r="BR2" s="286" t="s">
        <v>931</v>
      </c>
      <c r="BS2" s="286" t="s">
        <v>932</v>
      </c>
      <c r="BT2" s="286" t="s">
        <v>933</v>
      </c>
      <c r="BU2" s="286" t="s">
        <v>995</v>
      </c>
      <c r="BV2" s="286" t="s">
        <v>996</v>
      </c>
      <c r="BW2" s="261" t="s">
        <v>997</v>
      </c>
      <c r="BX2" s="261" t="s">
        <v>998</v>
      </c>
      <c r="BY2" s="261" t="s">
        <v>999</v>
      </c>
      <c r="BZ2" s="261" t="s">
        <v>1000</v>
      </c>
      <c r="CA2" s="261" t="s">
        <v>1001</v>
      </c>
      <c r="CB2" s="261" t="s">
        <v>1002</v>
      </c>
      <c r="CC2" s="261" t="s">
        <v>1003</v>
      </c>
      <c r="CD2" s="261" t="s">
        <v>1004</v>
      </c>
      <c r="CE2" s="261" t="s">
        <v>1005</v>
      </c>
      <c r="CF2" s="261" t="s">
        <v>1006</v>
      </c>
      <c r="CG2" s="261" t="s">
        <v>1007</v>
      </c>
      <c r="CH2" s="261" t="s">
        <v>1008</v>
      </c>
      <c r="CI2" s="261" t="s">
        <v>1009</v>
      </c>
      <c r="CJ2" s="286" t="s">
        <v>1010</v>
      </c>
      <c r="CK2" s="261" t="s">
        <v>1011</v>
      </c>
      <c r="CL2" s="261" t="s">
        <v>1012</v>
      </c>
      <c r="CM2" s="261" t="s">
        <v>1013</v>
      </c>
      <c r="CN2" s="261" t="s">
        <v>1014</v>
      </c>
      <c r="CO2" s="286" t="s">
        <v>1015</v>
      </c>
      <c r="CP2" s="286" t="s">
        <v>1016</v>
      </c>
      <c r="CQ2" s="286" t="s">
        <v>1017</v>
      </c>
      <c r="CR2" s="286" t="s">
        <v>1018</v>
      </c>
      <c r="CS2" s="286" t="s">
        <v>1019</v>
      </c>
      <c r="CT2" s="286" t="s">
        <v>1020</v>
      </c>
      <c r="CU2" s="286" t="s">
        <v>1021</v>
      </c>
      <c r="CV2" s="286" t="s">
        <v>1022</v>
      </c>
      <c r="CW2" s="286" t="s">
        <v>1023</v>
      </c>
      <c r="CX2" s="286" t="s">
        <v>1024</v>
      </c>
      <c r="CY2" s="286" t="s">
        <v>1025</v>
      </c>
      <c r="CZ2" s="286" t="s">
        <v>1026</v>
      </c>
      <c r="DA2" s="286" t="s">
        <v>1027</v>
      </c>
      <c r="DB2" s="286" t="s">
        <v>1028</v>
      </c>
      <c r="DC2" s="286" t="s">
        <v>1029</v>
      </c>
      <c r="DD2" s="286" t="s">
        <v>1030</v>
      </c>
      <c r="DE2" s="286" t="s">
        <v>1031</v>
      </c>
      <c r="DF2" s="286" t="s">
        <v>1032</v>
      </c>
      <c r="DG2" s="286" t="s">
        <v>1033</v>
      </c>
      <c r="DH2" s="286" t="s">
        <v>1034</v>
      </c>
      <c r="DI2" s="286" t="s">
        <v>1035</v>
      </c>
      <c r="DJ2" s="286" t="s">
        <v>1036</v>
      </c>
      <c r="DK2" s="286" t="s">
        <v>1037</v>
      </c>
      <c r="DL2" s="286" t="s">
        <v>1038</v>
      </c>
      <c r="DM2" s="286" t="s">
        <v>1039</v>
      </c>
      <c r="DN2" s="286" t="s">
        <v>1040</v>
      </c>
      <c r="DO2" s="286" t="s">
        <v>1041</v>
      </c>
      <c r="DP2" s="286" t="s">
        <v>1042</v>
      </c>
      <c r="DQ2" s="286" t="s">
        <v>1043</v>
      </c>
      <c r="DR2" s="286" t="s">
        <v>2085</v>
      </c>
      <c r="DS2" s="286" t="s">
        <v>1044</v>
      </c>
      <c r="DT2" s="261" t="s">
        <v>1045</v>
      </c>
      <c r="DU2" s="261" t="s">
        <v>1046</v>
      </c>
      <c r="DV2" s="261" t="s">
        <v>1047</v>
      </c>
      <c r="DW2" s="261" t="s">
        <v>1048</v>
      </c>
      <c r="DX2" s="261" t="s">
        <v>1049</v>
      </c>
      <c r="DY2" s="286" t="s">
        <v>1050</v>
      </c>
      <c r="DZ2" s="261" t="s">
        <v>1051</v>
      </c>
      <c r="EA2" s="261" t="s">
        <v>1052</v>
      </c>
      <c r="EB2" s="261" t="s">
        <v>1053</v>
      </c>
      <c r="EC2" s="286" t="s">
        <v>1054</v>
      </c>
      <c r="ED2" s="261" t="s">
        <v>1055</v>
      </c>
      <c r="EE2" s="261" t="s">
        <v>1056</v>
      </c>
      <c r="EF2" s="261" t="s">
        <v>1057</v>
      </c>
      <c r="EG2" s="261" t="s">
        <v>1058</v>
      </c>
      <c r="EH2" s="261" t="s">
        <v>1059</v>
      </c>
      <c r="EI2" s="261" t="s">
        <v>1060</v>
      </c>
      <c r="EJ2" s="261" t="s">
        <v>1061</v>
      </c>
      <c r="EK2" s="261" t="s">
        <v>1062</v>
      </c>
      <c r="EL2" s="261" t="s">
        <v>1063</v>
      </c>
      <c r="EM2" s="261" t="s">
        <v>1064</v>
      </c>
      <c r="EN2" s="261" t="s">
        <v>1065</v>
      </c>
      <c r="EO2" s="261" t="s">
        <v>1066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1067</v>
      </c>
      <c r="EW2" s="261" t="s">
        <v>1068</v>
      </c>
      <c r="EX2" s="261" t="s">
        <v>1069</v>
      </c>
      <c r="EY2" s="261" t="s">
        <v>1070</v>
      </c>
      <c r="EZ2" s="261" t="s">
        <v>1071</v>
      </c>
      <c r="FA2" s="261" t="s">
        <v>1072</v>
      </c>
      <c r="FB2" s="261" t="s">
        <v>1073</v>
      </c>
      <c r="FC2" s="261" t="s">
        <v>1074</v>
      </c>
      <c r="FD2" s="261" t="s">
        <v>1075</v>
      </c>
      <c r="FE2" s="261" t="s">
        <v>1076</v>
      </c>
      <c r="FF2" s="261" t="s">
        <v>1077</v>
      </c>
      <c r="FG2" s="261" t="s">
        <v>1078</v>
      </c>
      <c r="FH2" s="261" t="s">
        <v>1079</v>
      </c>
      <c r="FI2" s="261" t="s">
        <v>1080</v>
      </c>
    </row>
    <row r="3" spans="1:165" customFormat="1">
      <c r="A3" s="399">
        <v>1</v>
      </c>
      <c r="B3" s="399" t="s">
        <v>957</v>
      </c>
      <c r="C3" s="399" t="s">
        <v>2357</v>
      </c>
      <c r="D3" s="399" t="s">
        <v>1823</v>
      </c>
      <c r="E3" s="399" t="s">
        <v>890</v>
      </c>
      <c r="F3" s="399" t="s">
        <v>890</v>
      </c>
      <c r="G3" s="399" t="s">
        <v>1240</v>
      </c>
      <c r="H3" s="399" t="s">
        <v>1240</v>
      </c>
      <c r="I3" s="399" t="s">
        <v>1240</v>
      </c>
      <c r="J3" s="399" t="s">
        <v>2358</v>
      </c>
      <c r="K3" s="789">
        <v>44440</v>
      </c>
      <c r="L3" s="399">
        <v>0</v>
      </c>
      <c r="M3" s="399">
        <v>0</v>
      </c>
      <c r="N3" s="399">
        <v>2353.8519999999999</v>
      </c>
      <c r="O3" s="399">
        <v>2353.8519999999999</v>
      </c>
      <c r="P3" s="399">
        <v>2353.8519999999999</v>
      </c>
      <c r="Q3" s="399">
        <v>2353.8519999999999</v>
      </c>
      <c r="R3" s="399"/>
      <c r="S3" s="399">
        <v>522.37</v>
      </c>
      <c r="T3" s="399">
        <v>144.41999999999999</v>
      </c>
      <c r="U3" s="399"/>
      <c r="V3" s="399">
        <v>1569524.9750799998</v>
      </c>
      <c r="W3" s="399">
        <v>1569524.9750799998</v>
      </c>
      <c r="X3" s="399">
        <v>1534099.50248</v>
      </c>
      <c r="Y3" s="399">
        <v>0</v>
      </c>
      <c r="Z3" s="399">
        <v>144528.80882980497</v>
      </c>
      <c r="AA3" s="399">
        <v>0</v>
      </c>
      <c r="AB3" s="399">
        <v>0</v>
      </c>
      <c r="AC3" s="399">
        <v>0</v>
      </c>
      <c r="AD3" s="399">
        <v>240007.34962568615</v>
      </c>
      <c r="AE3" s="399">
        <v>781260.46984937717</v>
      </c>
      <c r="AF3" s="399">
        <v>339947.59839626669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22321.003359263519</v>
      </c>
      <c r="AM3" s="399"/>
      <c r="AN3" s="399">
        <v>3424.5137991849883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38034.303985062761</v>
      </c>
      <c r="BH3" s="399">
        <v>0</v>
      </c>
      <c r="BI3" s="399">
        <v>464</v>
      </c>
      <c r="BJ3" s="399">
        <v>2156.02</v>
      </c>
      <c r="BK3" s="399">
        <v>323504.09999999998</v>
      </c>
      <c r="BL3" s="399">
        <v>11922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377981.90238132945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1534098.199</v>
      </c>
      <c r="CJ3" s="399">
        <v>-35426.806079999777</v>
      </c>
      <c r="CK3" s="399"/>
      <c r="CL3" s="399"/>
      <c r="CM3" s="399"/>
      <c r="CN3" s="399"/>
      <c r="CO3" s="399">
        <v>-49171.968279999965</v>
      </c>
      <c r="CP3" s="399">
        <v>13746.495680000007</v>
      </c>
      <c r="CQ3" s="399">
        <v>30</v>
      </c>
      <c r="CR3" s="399">
        <v>-225.91978551750071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10044.631980091042</v>
      </c>
      <c r="DA3" s="399">
        <v>0</v>
      </c>
      <c r="DB3" s="399">
        <v>0</v>
      </c>
      <c r="DC3" s="399">
        <v>13746.007016417454</v>
      </c>
      <c r="DD3" s="399">
        <v>0</v>
      </c>
      <c r="DE3" s="399">
        <v>0</v>
      </c>
      <c r="DF3" s="399">
        <v>0</v>
      </c>
      <c r="DG3" s="399">
        <v>1537.9423532027213</v>
      </c>
      <c r="DH3" s="399">
        <v>0</v>
      </c>
      <c r="DI3" s="399">
        <v>-22204.122058605542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-2937.0993984775341</v>
      </c>
      <c r="DP3" s="399">
        <v>-413.2796781456268</v>
      </c>
      <c r="DQ3" s="399">
        <v>0</v>
      </c>
      <c r="DR3" s="399">
        <v>0</v>
      </c>
      <c r="DS3" s="399"/>
      <c r="DT3" s="399"/>
      <c r="DU3" s="399"/>
      <c r="DV3" s="399">
        <v>781260.46984937717</v>
      </c>
      <c r="DW3" s="399">
        <v>0</v>
      </c>
      <c r="DX3" s="399">
        <v>0</v>
      </c>
      <c r="DY3" s="399">
        <v>-49171.968279999914</v>
      </c>
      <c r="DZ3" s="399">
        <v>13746.495680000051</v>
      </c>
      <c r="EA3" s="399">
        <v>0</v>
      </c>
      <c r="EB3" s="399">
        <v>0</v>
      </c>
      <c r="EC3" s="399">
        <v>-35185.807868467411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225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2359</v>
      </c>
      <c r="C4" s="399" t="s">
        <v>2357</v>
      </c>
      <c r="D4" s="399" t="s">
        <v>1823</v>
      </c>
      <c r="E4" s="399" t="s">
        <v>890</v>
      </c>
      <c r="F4" s="399" t="s">
        <v>890</v>
      </c>
      <c r="G4" s="399" t="s">
        <v>1240</v>
      </c>
      <c r="H4" s="399" t="s">
        <v>1240</v>
      </c>
      <c r="I4" s="399" t="s">
        <v>1240</v>
      </c>
      <c r="J4" s="399" t="s">
        <v>2358</v>
      </c>
      <c r="K4" s="789">
        <v>44440</v>
      </c>
      <c r="L4" s="399">
        <v>0</v>
      </c>
      <c r="M4" s="399">
        <v>0</v>
      </c>
      <c r="N4" s="399">
        <v>-3.2450000000000001</v>
      </c>
      <c r="O4" s="399">
        <v>-3.2450000000000001</v>
      </c>
      <c r="P4" s="399">
        <v>-3.2450000000000001</v>
      </c>
      <c r="Q4" s="399">
        <v>-3.2450000000000001</v>
      </c>
      <c r="R4" s="399"/>
      <c r="S4" s="399">
        <v>522.37</v>
      </c>
      <c r="T4" s="399">
        <v>144.41999999999999</v>
      </c>
      <c r="U4" s="399"/>
      <c r="V4" s="399">
        <v>-2163.7335499999999</v>
      </c>
      <c r="W4" s="399">
        <v>-2163.7335499999999</v>
      </c>
      <c r="X4" s="399">
        <v>-2114.8963000000003</v>
      </c>
      <c r="Y4" s="399">
        <v>0</v>
      </c>
      <c r="Z4" s="399">
        <v>-199.24616528682228</v>
      </c>
      <c r="AA4" s="399">
        <v>0</v>
      </c>
      <c r="AB4" s="399">
        <v>0</v>
      </c>
      <c r="AC4" s="399">
        <v>0</v>
      </c>
      <c r="AD4" s="399">
        <v>-330.8720554798482</v>
      </c>
      <c r="AE4" s="399">
        <v>-1077.0389237136528</v>
      </c>
      <c r="AF4" s="399">
        <v>-468.64881768092704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-30.771542093899754</v>
      </c>
      <c r="AM4" s="399"/>
      <c r="AN4" s="399">
        <v>-4.7210050922297953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-52.433762373984713</v>
      </c>
      <c r="BH4" s="399">
        <v>0</v>
      </c>
      <c r="BI4" s="399">
        <v>0</v>
      </c>
      <c r="BJ4" s="399">
        <v>0</v>
      </c>
      <c r="BK4" s="399">
        <v>-455.27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-521.08258005491177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-2118.1549999999997</v>
      </c>
      <c r="CJ4" s="399">
        <v>45.548549999999977</v>
      </c>
      <c r="CK4" s="399"/>
      <c r="CL4" s="399"/>
      <c r="CM4" s="399"/>
      <c r="CN4" s="399"/>
      <c r="CO4" s="399">
        <v>67.788049999999956</v>
      </c>
      <c r="CP4" s="399">
        <v>-18.950800000000012</v>
      </c>
      <c r="CQ4" s="399">
        <v>30</v>
      </c>
      <c r="CR4" s="399">
        <v>0.31145106149574531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-13.847442734460572</v>
      </c>
      <c r="DA4" s="399">
        <v>0</v>
      </c>
      <c r="DB4" s="399">
        <v>0</v>
      </c>
      <c r="DC4" s="399">
        <v>-18.950126332613365</v>
      </c>
      <c r="DD4" s="399">
        <v>0</v>
      </c>
      <c r="DE4" s="399">
        <v>0</v>
      </c>
      <c r="DF4" s="399">
        <v>0</v>
      </c>
      <c r="DG4" s="399">
        <v>-2.120194020755271</v>
      </c>
      <c r="DH4" s="399">
        <v>0</v>
      </c>
      <c r="DI4" s="399">
        <v>30.610410544152728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4.0490598168702157</v>
      </c>
      <c r="DP4" s="399">
        <v>0.56974378830213634</v>
      </c>
      <c r="DQ4" s="399">
        <v>0</v>
      </c>
      <c r="DR4" s="399">
        <v>0</v>
      </c>
      <c r="DS4" s="399"/>
      <c r="DT4" s="399"/>
      <c r="DU4" s="399"/>
      <c r="DV4" s="399">
        <v>-1077.0389237136528</v>
      </c>
      <c r="DW4" s="399">
        <v>0</v>
      </c>
      <c r="DX4" s="399">
        <v>0</v>
      </c>
      <c r="DY4" s="399">
        <v>67.788049999999885</v>
      </c>
      <c r="DZ4" s="399">
        <v>-18.950800000000015</v>
      </c>
      <c r="EA4" s="399">
        <v>0</v>
      </c>
      <c r="EB4" s="399">
        <v>0</v>
      </c>
      <c r="EC4" s="399">
        <v>48.506850274858607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225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2360</v>
      </c>
      <c r="C5" s="399" t="s">
        <v>2357</v>
      </c>
      <c r="D5" s="399" t="s">
        <v>1823</v>
      </c>
      <c r="E5" s="399" t="s">
        <v>890</v>
      </c>
      <c r="F5" s="399" t="s">
        <v>890</v>
      </c>
      <c r="G5" s="399" t="s">
        <v>1240</v>
      </c>
      <c r="H5" s="399" t="s">
        <v>1240</v>
      </c>
      <c r="I5" s="399" t="s">
        <v>1240</v>
      </c>
      <c r="J5" s="399" t="s">
        <v>2358</v>
      </c>
      <c r="K5" s="789">
        <v>44440</v>
      </c>
      <c r="L5" s="399">
        <v>0</v>
      </c>
      <c r="M5" s="399">
        <v>0</v>
      </c>
      <c r="N5" s="399">
        <v>6.4290000000000003</v>
      </c>
      <c r="O5" s="399">
        <v>6.4290000000000003</v>
      </c>
      <c r="P5" s="399">
        <v>6.4290000000000003</v>
      </c>
      <c r="Q5" s="399">
        <v>6.4290000000000003</v>
      </c>
      <c r="R5" s="399"/>
      <c r="S5" s="399">
        <v>522.37</v>
      </c>
      <c r="T5" s="399">
        <v>144.41999999999999</v>
      </c>
      <c r="U5" s="399"/>
      <c r="V5" s="399">
        <v>4286.7929100000001</v>
      </c>
      <c r="W5" s="399">
        <v>4286.7929100000001</v>
      </c>
      <c r="X5" s="399">
        <v>4190.0364600000003</v>
      </c>
      <c r="Y5" s="399">
        <v>0</v>
      </c>
      <c r="Z5" s="399">
        <v>394.74687107210491</v>
      </c>
      <c r="AA5" s="399">
        <v>0</v>
      </c>
      <c r="AB5" s="399">
        <v>0</v>
      </c>
      <c r="AC5" s="399">
        <v>0</v>
      </c>
      <c r="AD5" s="399">
        <v>655.52432809859602</v>
      </c>
      <c r="AE5" s="399">
        <v>2133.8315071047996</v>
      </c>
      <c r="AF5" s="399">
        <v>928.48790412039443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60.964636092968107</v>
      </c>
      <c r="AM5" s="399"/>
      <c r="AN5" s="399">
        <v>9.3532640178568105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103.88186696528436</v>
      </c>
      <c r="BH5" s="399">
        <v>0</v>
      </c>
      <c r="BI5" s="399">
        <v>2.0299999999999998</v>
      </c>
      <c r="BJ5" s="399">
        <v>9.42</v>
      </c>
      <c r="BK5" s="399">
        <v>2809.77</v>
      </c>
      <c r="BL5" s="399">
        <v>52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1032.3697710856788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4190.6881999999996</v>
      </c>
      <c r="CJ5" s="399">
        <v>-96.134710000001178</v>
      </c>
      <c r="CK5" s="399"/>
      <c r="CL5" s="399"/>
      <c r="CM5" s="399"/>
      <c r="CN5" s="399"/>
      <c r="CO5" s="399">
        <v>-134.3018099999999</v>
      </c>
      <c r="CP5" s="399">
        <v>37.545360000000024</v>
      </c>
      <c r="CQ5" s="399">
        <v>30</v>
      </c>
      <c r="CR5" s="399">
        <v>-0.61704741890844161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27.434579149413594</v>
      </c>
      <c r="DA5" s="399">
        <v>0</v>
      </c>
      <c r="DB5" s="399">
        <v>0</v>
      </c>
      <c r="DC5" s="399">
        <v>37.544025328928001</v>
      </c>
      <c r="DD5" s="399">
        <v>0</v>
      </c>
      <c r="DE5" s="399">
        <v>0</v>
      </c>
      <c r="DF5" s="399">
        <v>0</v>
      </c>
      <c r="DG5" s="399">
        <v>4.2005323141558222</v>
      </c>
      <c r="DH5" s="399">
        <v>0</v>
      </c>
      <c r="DI5" s="399">
        <v>-60.645401968677334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-8.0220047958886269</v>
      </c>
      <c r="DP5" s="399">
        <v>-1.1287774468395764</v>
      </c>
      <c r="DQ5" s="399">
        <v>0</v>
      </c>
      <c r="DR5" s="399">
        <v>0</v>
      </c>
      <c r="DS5" s="399"/>
      <c r="DT5" s="399"/>
      <c r="DU5" s="399"/>
      <c r="DV5" s="399">
        <v>2133.8315071047996</v>
      </c>
      <c r="DW5" s="399">
        <v>0</v>
      </c>
      <c r="DX5" s="399">
        <v>0</v>
      </c>
      <c r="DY5" s="399">
        <v>-134.30180999999993</v>
      </c>
      <c r="DZ5" s="399">
        <v>37.54535999999996</v>
      </c>
      <c r="EA5" s="399">
        <v>0</v>
      </c>
      <c r="EB5" s="399">
        <v>0</v>
      </c>
      <c r="EC5" s="399">
        <v>-96.101861453641504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225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957</v>
      </c>
      <c r="C6" s="399" t="s">
        <v>2357</v>
      </c>
      <c r="D6" s="399" t="s">
        <v>1823</v>
      </c>
      <c r="E6" s="399" t="s">
        <v>890</v>
      </c>
      <c r="F6" s="399" t="s">
        <v>2361</v>
      </c>
      <c r="G6" s="399" t="s">
        <v>1240</v>
      </c>
      <c r="H6" s="399" t="s">
        <v>1240</v>
      </c>
      <c r="I6" s="399" t="s">
        <v>1240</v>
      </c>
      <c r="J6" s="399" t="s">
        <v>2358</v>
      </c>
      <c r="K6" s="789">
        <v>44440</v>
      </c>
      <c r="L6" s="399">
        <v>0</v>
      </c>
      <c r="M6" s="399">
        <v>0</v>
      </c>
      <c r="N6" s="399">
        <v>15.03</v>
      </c>
      <c r="O6" s="399">
        <v>15.03</v>
      </c>
      <c r="P6" s="399">
        <v>15.03</v>
      </c>
      <c r="Q6" s="399">
        <v>15.03</v>
      </c>
      <c r="R6" s="399"/>
      <c r="S6" s="399">
        <v>451.48</v>
      </c>
      <c r="T6" s="399">
        <v>144.41999999999999</v>
      </c>
      <c r="U6" s="399"/>
      <c r="V6" s="399">
        <v>8956.3770000000004</v>
      </c>
      <c r="W6" s="399">
        <v>8956.3770000000004</v>
      </c>
      <c r="X6" s="399">
        <v>8890.8462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1532.5137115137497</v>
      </c>
      <c r="AE6" s="399">
        <v>4988.5654925781819</v>
      </c>
      <c r="AF6" s="399">
        <v>2170.6600091662044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21.866473508848632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242.85961432387987</v>
      </c>
      <c r="BH6" s="399">
        <v>0</v>
      </c>
      <c r="BI6" s="399">
        <v>0.72</v>
      </c>
      <c r="BJ6" s="399">
        <v>3.84</v>
      </c>
      <c r="BK6" s="399">
        <v>347.99</v>
      </c>
      <c r="BL6" s="399">
        <v>14</v>
      </c>
      <c r="BM6" s="399"/>
      <c r="BN6" s="399"/>
      <c r="BO6" s="399"/>
      <c r="BP6" s="399"/>
      <c r="BQ6" s="399"/>
      <c r="BR6" s="399"/>
      <c r="BS6" s="399"/>
      <c r="BT6" s="399">
        <v>5779.0349999999989</v>
      </c>
      <c r="BU6" s="399"/>
      <c r="BV6" s="399">
        <v>2413.5196234900841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3111.8112000000001</v>
      </c>
      <c r="CJ6" s="399">
        <v>-23.025900000000547</v>
      </c>
      <c r="CK6" s="399"/>
      <c r="CL6" s="399"/>
      <c r="CM6" s="399"/>
      <c r="CN6" s="399"/>
      <c r="CO6" s="399">
        <v>-153.30600000000067</v>
      </c>
      <c r="CP6" s="399">
        <v>87.775200000000041</v>
      </c>
      <c r="CQ6" s="399">
        <v>30</v>
      </c>
      <c r="CR6" s="399">
        <v>159.09113407454333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64.137770199982242</v>
      </c>
      <c r="DA6" s="399">
        <v>0</v>
      </c>
      <c r="DB6" s="399">
        <v>0</v>
      </c>
      <c r="DC6" s="399">
        <v>87.772079747050611</v>
      </c>
      <c r="DD6" s="399">
        <v>0</v>
      </c>
      <c r="DE6" s="399">
        <v>0</v>
      </c>
      <c r="DF6" s="399">
        <v>0</v>
      </c>
      <c r="DG6" s="399">
        <v>9.8201898711715785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-2.6389057436613541</v>
      </c>
      <c r="DQ6" s="399">
        <v>0</v>
      </c>
      <c r="DR6" s="399">
        <v>0</v>
      </c>
      <c r="DS6" s="399"/>
      <c r="DT6" s="399"/>
      <c r="DU6" s="399"/>
      <c r="DV6" s="399">
        <v>4988.5654925781819</v>
      </c>
      <c r="DW6" s="399">
        <v>0</v>
      </c>
      <c r="DX6" s="399">
        <v>0</v>
      </c>
      <c r="DY6" s="399">
        <v>-153.30600000000049</v>
      </c>
      <c r="DZ6" s="399">
        <v>87.775200000000041</v>
      </c>
      <c r="EA6" s="399">
        <v>0</v>
      </c>
      <c r="EB6" s="399">
        <v>0</v>
      </c>
      <c r="EC6" s="399">
        <v>-224.67117400034658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225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957</v>
      </c>
      <c r="C7" s="399" t="s">
        <v>2357</v>
      </c>
      <c r="D7" s="399" t="s">
        <v>1823</v>
      </c>
      <c r="E7" s="399" t="s">
        <v>890</v>
      </c>
      <c r="F7" s="399" t="s">
        <v>2362</v>
      </c>
      <c r="G7" s="399" t="s">
        <v>1240</v>
      </c>
      <c r="H7" s="399" t="s">
        <v>1240</v>
      </c>
      <c r="I7" s="399" t="s">
        <v>1240</v>
      </c>
      <c r="J7" s="399" t="s">
        <v>2358</v>
      </c>
      <c r="K7" s="789">
        <v>44440</v>
      </c>
      <c r="L7" s="399">
        <v>0</v>
      </c>
      <c r="M7" s="399">
        <v>0</v>
      </c>
      <c r="N7" s="399">
        <v>32.567999999999998</v>
      </c>
      <c r="O7" s="399">
        <v>32.567999999999998</v>
      </c>
      <c r="P7" s="399">
        <v>32.567999999999998</v>
      </c>
      <c r="Q7" s="399">
        <v>32.567999999999998</v>
      </c>
      <c r="R7" s="399"/>
      <c r="S7" s="399">
        <v>451.48</v>
      </c>
      <c r="T7" s="399">
        <v>144.41999999999999</v>
      </c>
      <c r="U7" s="399"/>
      <c r="V7" s="399">
        <v>19407.271199999999</v>
      </c>
      <c r="W7" s="399">
        <v>19407.271199999999</v>
      </c>
      <c r="X7" s="399">
        <v>19265.274719999998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3320.75226590684</v>
      </c>
      <c r="AE7" s="399">
        <v>10809.554288907933</v>
      </c>
      <c r="AF7" s="399">
        <v>4703.529951997667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47.381723834742665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526.24430600799201</v>
      </c>
      <c r="BH7" s="399">
        <v>0</v>
      </c>
      <c r="BI7" s="399">
        <v>2.94</v>
      </c>
      <c r="BJ7" s="399">
        <v>13.88</v>
      </c>
      <c r="BK7" s="399">
        <v>1317.81</v>
      </c>
      <c r="BL7" s="399">
        <v>64</v>
      </c>
      <c r="BM7" s="399"/>
      <c r="BN7" s="399"/>
      <c r="BO7" s="399"/>
      <c r="BP7" s="399"/>
      <c r="BQ7" s="399"/>
      <c r="BR7" s="399"/>
      <c r="BS7" s="399"/>
      <c r="BT7" s="399">
        <v>7705.9144799999995</v>
      </c>
      <c r="BU7" s="399"/>
      <c r="BV7" s="399">
        <v>5229.7742580056592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11560.070100000001</v>
      </c>
      <c r="CJ7" s="399">
        <v>-84.322619999999006</v>
      </c>
      <c r="CK7" s="399"/>
      <c r="CL7" s="399"/>
      <c r="CM7" s="399"/>
      <c r="CN7" s="399"/>
      <c r="CO7" s="399">
        <v>-332.19360000000148</v>
      </c>
      <c r="CP7" s="399">
        <v>190.1971200000001</v>
      </c>
      <c r="CQ7" s="399">
        <v>30</v>
      </c>
      <c r="CR7" s="399">
        <v>344.72921187889006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138.97797071676769</v>
      </c>
      <c r="DA7" s="399">
        <v>0</v>
      </c>
      <c r="DB7" s="399">
        <v>0</v>
      </c>
      <c r="DC7" s="399">
        <v>190.19035882913795</v>
      </c>
      <c r="DD7" s="399">
        <v>0</v>
      </c>
      <c r="DE7" s="399">
        <v>0</v>
      </c>
      <c r="DF7" s="399">
        <v>0</v>
      </c>
      <c r="DG7" s="399">
        <v>21.279038171943739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-5.7181558389596177</v>
      </c>
      <c r="DQ7" s="399">
        <v>0</v>
      </c>
      <c r="DR7" s="399">
        <v>0</v>
      </c>
      <c r="DS7" s="399"/>
      <c r="DT7" s="399"/>
      <c r="DU7" s="399"/>
      <c r="DV7" s="399">
        <v>10809.554288907933</v>
      </c>
      <c r="DW7" s="399">
        <v>0</v>
      </c>
      <c r="DX7" s="399">
        <v>0</v>
      </c>
      <c r="DY7" s="399">
        <v>-332.19360000000052</v>
      </c>
      <c r="DZ7" s="399">
        <v>190.19712000000072</v>
      </c>
      <c r="EA7" s="399">
        <v>0</v>
      </c>
      <c r="EB7" s="399">
        <v>0</v>
      </c>
      <c r="EC7" s="399">
        <v>-486.83238821312807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225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957</v>
      </c>
      <c r="C8" s="399" t="s">
        <v>2357</v>
      </c>
      <c r="D8" s="399" t="s">
        <v>1823</v>
      </c>
      <c r="E8" s="399" t="s">
        <v>890</v>
      </c>
      <c r="F8" s="399" t="s">
        <v>2363</v>
      </c>
      <c r="G8" s="399" t="s">
        <v>1240</v>
      </c>
      <c r="H8" s="399" t="s">
        <v>1240</v>
      </c>
      <c r="I8" s="399" t="s">
        <v>1240</v>
      </c>
      <c r="J8" s="399" t="s">
        <v>2358</v>
      </c>
      <c r="K8" s="789">
        <v>44440</v>
      </c>
      <c r="L8" s="399">
        <v>0</v>
      </c>
      <c r="M8" s="399">
        <v>0</v>
      </c>
      <c r="N8" s="399">
        <v>37.183</v>
      </c>
      <c r="O8" s="399">
        <v>37.183</v>
      </c>
      <c r="P8" s="399">
        <v>37.183</v>
      </c>
      <c r="Q8" s="399">
        <v>37.183</v>
      </c>
      <c r="R8" s="399"/>
      <c r="S8" s="399">
        <v>451.48</v>
      </c>
      <c r="T8" s="399">
        <v>144.41999999999999</v>
      </c>
      <c r="U8" s="399"/>
      <c r="V8" s="399">
        <v>22157.349700000002</v>
      </c>
      <c r="W8" s="399">
        <v>22157.349700000002</v>
      </c>
      <c r="X8" s="399">
        <v>21995.231820000001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3791.3145266277952</v>
      </c>
      <c r="AE8" s="399">
        <v>12341.306101831973</v>
      </c>
      <c r="AF8" s="399">
        <v>5370.0366680523603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54.095880537559466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600.81497268162514</v>
      </c>
      <c r="BH8" s="399">
        <v>0</v>
      </c>
      <c r="BI8" s="399">
        <v>5.77</v>
      </c>
      <c r="BJ8" s="399">
        <v>26.62</v>
      </c>
      <c r="BK8" s="399">
        <v>4132.76</v>
      </c>
      <c r="BL8" s="399">
        <v>237</v>
      </c>
      <c r="BM8" s="399"/>
      <c r="BN8" s="399"/>
      <c r="BO8" s="399"/>
      <c r="BP8" s="399"/>
      <c r="BQ8" s="399"/>
      <c r="BR8" s="399"/>
      <c r="BS8" s="399"/>
      <c r="BT8" s="399">
        <v>2199.3744499999993</v>
      </c>
      <c r="BU8" s="399"/>
      <c r="BV8" s="399">
        <v>5970.8516407339857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19794.260199999997</v>
      </c>
      <c r="CJ8" s="399">
        <v>-147.7563599999994</v>
      </c>
      <c r="CK8" s="399"/>
      <c r="CL8" s="399"/>
      <c r="CM8" s="399"/>
      <c r="CN8" s="399"/>
      <c r="CO8" s="399">
        <v>-379.26660000000169</v>
      </c>
      <c r="CP8" s="399">
        <v>217.14872000000014</v>
      </c>
      <c r="CQ8" s="399">
        <v>30</v>
      </c>
      <c r="CR8" s="399">
        <v>393.57855211534843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158.67163734836549</v>
      </c>
      <c r="DA8" s="399">
        <v>0</v>
      </c>
      <c r="DB8" s="399">
        <v>0</v>
      </c>
      <c r="DC8" s="399">
        <v>217.14100074747694</v>
      </c>
      <c r="DD8" s="399">
        <v>0</v>
      </c>
      <c r="DE8" s="399">
        <v>0</v>
      </c>
      <c r="DF8" s="399">
        <v>0</v>
      </c>
      <c r="DG8" s="399">
        <v>24.294352626731325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-6.5284386072229026</v>
      </c>
      <c r="DQ8" s="399">
        <v>0</v>
      </c>
      <c r="DR8" s="399">
        <v>0</v>
      </c>
      <c r="DS8" s="399"/>
      <c r="DT8" s="399"/>
      <c r="DU8" s="399"/>
      <c r="DV8" s="399">
        <v>12341.306101831973</v>
      </c>
      <c r="DW8" s="399">
        <v>0</v>
      </c>
      <c r="DX8" s="399">
        <v>0</v>
      </c>
      <c r="DY8" s="399">
        <v>-379.26660000000265</v>
      </c>
      <c r="DZ8" s="399">
        <v>217.14872000000014</v>
      </c>
      <c r="EA8" s="399">
        <v>0</v>
      </c>
      <c r="EB8" s="399">
        <v>0</v>
      </c>
      <c r="EC8" s="399">
        <v>-555.81824769493687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225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957</v>
      </c>
      <c r="C9" s="399" t="s">
        <v>2357</v>
      </c>
      <c r="D9" s="399" t="s">
        <v>1823</v>
      </c>
      <c r="E9" s="399" t="s">
        <v>890</v>
      </c>
      <c r="F9" s="399" t="s">
        <v>2364</v>
      </c>
      <c r="G9" s="399" t="s">
        <v>1240</v>
      </c>
      <c r="H9" s="399" t="s">
        <v>1240</v>
      </c>
      <c r="I9" s="399" t="s">
        <v>1240</v>
      </c>
      <c r="J9" s="399" t="s">
        <v>2358</v>
      </c>
      <c r="K9" s="789">
        <v>44440</v>
      </c>
      <c r="L9" s="399">
        <v>0</v>
      </c>
      <c r="M9" s="399">
        <v>0</v>
      </c>
      <c r="N9" s="399">
        <v>14.227</v>
      </c>
      <c r="O9" s="399">
        <v>14.227</v>
      </c>
      <c r="P9" s="399">
        <v>14.227</v>
      </c>
      <c r="Q9" s="399">
        <v>14.227</v>
      </c>
      <c r="R9" s="399"/>
      <c r="S9" s="399">
        <v>451.48</v>
      </c>
      <c r="T9" s="399">
        <v>144.41999999999999</v>
      </c>
      <c r="U9" s="399"/>
      <c r="V9" s="399">
        <v>8477.8693000000003</v>
      </c>
      <c r="W9" s="399">
        <v>8477.8693000000003</v>
      </c>
      <c r="X9" s="399">
        <v>8415.8395799999998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1450.6368977848383</v>
      </c>
      <c r="AE9" s="399">
        <v>4722.0439962015835</v>
      </c>
      <c r="AF9" s="399">
        <v>2054.6892847909244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20.698224791110412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229.88447990591078</v>
      </c>
      <c r="BH9" s="399">
        <v>0</v>
      </c>
      <c r="BI9" s="399">
        <v>3.34</v>
      </c>
      <c r="BJ9" s="399">
        <v>15.25</v>
      </c>
      <c r="BK9" s="399">
        <v>3275.89</v>
      </c>
      <c r="BL9" s="399">
        <v>186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2284.573764696835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8417.6142</v>
      </c>
      <c r="CJ9" s="399">
        <v>-60.285100000000966</v>
      </c>
      <c r="CK9" s="399"/>
      <c r="CL9" s="399"/>
      <c r="CM9" s="399"/>
      <c r="CN9" s="399"/>
      <c r="CO9" s="399">
        <v>-145.11540000000065</v>
      </c>
      <c r="CP9" s="399">
        <v>83.085680000000053</v>
      </c>
      <c r="CQ9" s="399">
        <v>30</v>
      </c>
      <c r="CR9" s="399">
        <v>150.59145472245609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60.711114879251227</v>
      </c>
      <c r="DA9" s="399">
        <v>0</v>
      </c>
      <c r="DB9" s="399">
        <v>0</v>
      </c>
      <c r="DC9" s="399">
        <v>83.082726451183134</v>
      </c>
      <c r="DD9" s="399">
        <v>0</v>
      </c>
      <c r="DE9" s="399">
        <v>0</v>
      </c>
      <c r="DF9" s="399">
        <v>0</v>
      </c>
      <c r="DG9" s="399">
        <v>9.2955316897643456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-2.4979182977425225</v>
      </c>
      <c r="DQ9" s="399">
        <v>0</v>
      </c>
      <c r="DR9" s="399">
        <v>0</v>
      </c>
      <c r="DS9" s="399"/>
      <c r="DT9" s="399"/>
      <c r="DU9" s="399"/>
      <c r="DV9" s="399">
        <v>4722.0439962015835</v>
      </c>
      <c r="DW9" s="399">
        <v>0</v>
      </c>
      <c r="DX9" s="399">
        <v>0</v>
      </c>
      <c r="DY9" s="399">
        <v>-145.11540000000059</v>
      </c>
      <c r="DZ9" s="399">
        <v>83.085679999999684</v>
      </c>
      <c r="EA9" s="399">
        <v>0</v>
      </c>
      <c r="EB9" s="399">
        <v>0</v>
      </c>
      <c r="EC9" s="399">
        <v>-212.66778393233108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225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957</v>
      </c>
      <c r="C10" s="399" t="s">
        <v>2357</v>
      </c>
      <c r="D10" s="399" t="s">
        <v>1826</v>
      </c>
      <c r="E10" s="399" t="s">
        <v>891</v>
      </c>
      <c r="F10" s="399" t="s">
        <v>1240</v>
      </c>
      <c r="G10" s="399" t="s">
        <v>1240</v>
      </c>
      <c r="H10" s="399" t="s">
        <v>1240</v>
      </c>
      <c r="I10" s="399" t="s">
        <v>1240</v>
      </c>
      <c r="J10" s="399" t="s">
        <v>2358</v>
      </c>
      <c r="K10" s="789">
        <v>44440</v>
      </c>
      <c r="L10" s="399">
        <v>0</v>
      </c>
      <c r="M10" s="399">
        <v>0</v>
      </c>
      <c r="N10" s="399">
        <v>356.65600000000001</v>
      </c>
      <c r="O10" s="399">
        <v>356.65600000000001</v>
      </c>
      <c r="P10" s="399">
        <v>356.65600000000001</v>
      </c>
      <c r="Q10" s="399">
        <v>356.65600000000001</v>
      </c>
      <c r="R10" s="399"/>
      <c r="S10" s="399">
        <v>522.37</v>
      </c>
      <c r="T10" s="399">
        <v>144.41999999999999</v>
      </c>
      <c r="U10" s="399"/>
      <c r="V10" s="399">
        <v>237814.65424</v>
      </c>
      <c r="W10" s="399">
        <v>237814.65424</v>
      </c>
      <c r="X10" s="399">
        <v>232446.98144</v>
      </c>
      <c r="Y10" s="399">
        <v>0</v>
      </c>
      <c r="Z10" s="399">
        <v>21899.026294772535</v>
      </c>
      <c r="AA10" s="399">
        <v>0</v>
      </c>
      <c r="AB10" s="399">
        <v>0</v>
      </c>
      <c r="AC10" s="399">
        <v>0</v>
      </c>
      <c r="AD10" s="399">
        <v>36365.948788665868</v>
      </c>
      <c r="AE10" s="399">
        <v>118376.7008862917</v>
      </c>
      <c r="AF10" s="399">
        <v>51508.909928754612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3382.0817001669984</v>
      </c>
      <c r="AM10" s="399"/>
      <c r="AN10" s="399">
        <v>518.88283271935586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5762.9633137922629</v>
      </c>
      <c r="BH10" s="399">
        <v>0</v>
      </c>
      <c r="BI10" s="399">
        <v>24.56</v>
      </c>
      <c r="BJ10" s="399">
        <v>115.1</v>
      </c>
      <c r="BK10" s="399">
        <v>80092.31</v>
      </c>
      <c r="BL10" s="399">
        <v>541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57271.873242546877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232449.58840000001</v>
      </c>
      <c r="CJ10" s="399">
        <v>-5365.0958400000236</v>
      </c>
      <c r="CK10" s="399"/>
      <c r="CL10" s="399"/>
      <c r="CM10" s="399"/>
      <c r="CN10" s="399"/>
      <c r="CO10" s="399">
        <v>-7450.5438399999948</v>
      </c>
      <c r="CP10" s="399">
        <v>2082.8710400000014</v>
      </c>
      <c r="CQ10" s="399">
        <v>30</v>
      </c>
      <c r="CR10" s="399">
        <v>-34.231399010430323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1521.9641096769701</v>
      </c>
      <c r="DA10" s="399">
        <v>0</v>
      </c>
      <c r="DB10" s="399">
        <v>0</v>
      </c>
      <c r="DC10" s="399">
        <v>2082.7969976223612</v>
      </c>
      <c r="DD10" s="399">
        <v>0</v>
      </c>
      <c r="DE10" s="399">
        <v>0</v>
      </c>
      <c r="DF10" s="399">
        <v>0</v>
      </c>
      <c r="DG10" s="399">
        <v>233.02925074468112</v>
      </c>
      <c r="DH10" s="399">
        <v>0</v>
      </c>
      <c r="DI10" s="399">
        <v>-3364.3718283621965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-445.02973129296242</v>
      </c>
      <c r="DP10" s="399">
        <v>-62.620197399287065</v>
      </c>
      <c r="DQ10" s="399">
        <v>0</v>
      </c>
      <c r="DR10" s="399">
        <v>0</v>
      </c>
      <c r="DS10" s="399"/>
      <c r="DT10" s="399"/>
      <c r="DU10" s="399"/>
      <c r="DV10" s="399">
        <v>118376.7008862917</v>
      </c>
      <c r="DW10" s="399">
        <v>0</v>
      </c>
      <c r="DX10" s="399">
        <v>0</v>
      </c>
      <c r="DY10" s="399">
        <v>-7450.5438399999985</v>
      </c>
      <c r="DZ10" s="399">
        <v>2082.8710399999982</v>
      </c>
      <c r="EA10" s="399">
        <v>0</v>
      </c>
      <c r="EB10" s="399">
        <v>0</v>
      </c>
      <c r="EC10" s="399">
        <v>-5331.3587647550012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225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2359</v>
      </c>
      <c r="C11" s="399" t="s">
        <v>2357</v>
      </c>
      <c r="D11" s="399" t="s">
        <v>1826</v>
      </c>
      <c r="E11" s="399" t="s">
        <v>891</v>
      </c>
      <c r="F11" s="399" t="s">
        <v>1240</v>
      </c>
      <c r="G11" s="399" t="s">
        <v>1240</v>
      </c>
      <c r="H11" s="399" t="s">
        <v>1240</v>
      </c>
      <c r="I11" s="399" t="s">
        <v>1240</v>
      </c>
      <c r="J11" s="399" t="s">
        <v>2358</v>
      </c>
      <c r="K11" s="789">
        <v>44440</v>
      </c>
      <c r="L11" s="399">
        <v>0</v>
      </c>
      <c r="M11" s="399">
        <v>0</v>
      </c>
      <c r="N11" s="399">
        <v>-0.03</v>
      </c>
      <c r="O11" s="399">
        <v>-0.03</v>
      </c>
      <c r="P11" s="399">
        <v>-0.03</v>
      </c>
      <c r="Q11" s="399">
        <v>-0.03</v>
      </c>
      <c r="R11" s="399"/>
      <c r="S11" s="399">
        <v>522.37</v>
      </c>
      <c r="T11" s="399">
        <v>144.41999999999999</v>
      </c>
      <c r="U11" s="399"/>
      <c r="V11" s="399">
        <v>-20.003699999999998</v>
      </c>
      <c r="W11" s="399">
        <v>-20.003699999999998</v>
      </c>
      <c r="X11" s="399">
        <v>-19.552199999999999</v>
      </c>
      <c r="Y11" s="399">
        <v>0</v>
      </c>
      <c r="Z11" s="399">
        <v>-1.8420292630522859</v>
      </c>
      <c r="AA11" s="399">
        <v>0</v>
      </c>
      <c r="AB11" s="399">
        <v>0</v>
      </c>
      <c r="AC11" s="399">
        <v>0</v>
      </c>
      <c r="AD11" s="399">
        <v>-3.0589096038198598</v>
      </c>
      <c r="AE11" s="399">
        <v>-9.9572165520522589</v>
      </c>
      <c r="AF11" s="399">
        <v>-4.3326547089145793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-0.28448266958921187</v>
      </c>
      <c r="AM11" s="399"/>
      <c r="AN11" s="399">
        <v>-4.3645655706284696E-2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-0.48474972918938097</v>
      </c>
      <c r="BH11" s="399">
        <v>0</v>
      </c>
      <c r="BI11" s="399">
        <v>0</v>
      </c>
      <c r="BJ11" s="399">
        <v>0</v>
      </c>
      <c r="BK11" s="399">
        <v>-5.47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-4.81740443810396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-19.552199999999999</v>
      </c>
      <c r="CJ11" s="399">
        <v>0.42149999999999821</v>
      </c>
      <c r="CK11" s="399"/>
      <c r="CL11" s="399"/>
      <c r="CM11" s="399"/>
      <c r="CN11" s="399"/>
      <c r="CO11" s="399">
        <v>0.62669999999999959</v>
      </c>
      <c r="CP11" s="399">
        <v>-0.17520000000000011</v>
      </c>
      <c r="CQ11" s="399">
        <v>30</v>
      </c>
      <c r="CR11" s="399">
        <v>2.8793626640606362E-3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-0.12801950139717011</v>
      </c>
      <c r="DA11" s="399">
        <v>0</v>
      </c>
      <c r="DB11" s="399">
        <v>0</v>
      </c>
      <c r="DC11" s="399">
        <v>-0.17519377195020081</v>
      </c>
      <c r="DD11" s="399">
        <v>0</v>
      </c>
      <c r="DE11" s="399">
        <v>0</v>
      </c>
      <c r="DF11" s="399">
        <v>0</v>
      </c>
      <c r="DG11" s="399">
        <v>-1.9601177387568058E-2</v>
      </c>
      <c r="DH11" s="399">
        <v>0</v>
      </c>
      <c r="DI11" s="399">
        <v>0.28299300965318386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3.7433526812359452E-2</v>
      </c>
      <c r="DP11" s="399">
        <v>5.2672769334558001E-3</v>
      </c>
      <c r="DQ11" s="399">
        <v>0</v>
      </c>
      <c r="DR11" s="399">
        <v>0</v>
      </c>
      <c r="DS11" s="399"/>
      <c r="DT11" s="399"/>
      <c r="DU11" s="399"/>
      <c r="DV11" s="399">
        <v>-9.9572165520522589</v>
      </c>
      <c r="DW11" s="399">
        <v>0</v>
      </c>
      <c r="DX11" s="399">
        <v>0</v>
      </c>
      <c r="DY11" s="399">
        <v>0.62669999999999959</v>
      </c>
      <c r="DZ11" s="399">
        <v>-0.17520000000000024</v>
      </c>
      <c r="EA11" s="399">
        <v>0</v>
      </c>
      <c r="EB11" s="399">
        <v>0</v>
      </c>
      <c r="EC11" s="399">
        <v>0.44844545708651928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225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2360</v>
      </c>
      <c r="C12" s="399" t="s">
        <v>2357</v>
      </c>
      <c r="D12" s="399" t="s">
        <v>1826</v>
      </c>
      <c r="E12" s="399" t="s">
        <v>891</v>
      </c>
      <c r="F12" s="399" t="s">
        <v>1240</v>
      </c>
      <c r="G12" s="399" t="s">
        <v>1240</v>
      </c>
      <c r="H12" s="399" t="s">
        <v>1240</v>
      </c>
      <c r="I12" s="399" t="s">
        <v>1240</v>
      </c>
      <c r="J12" s="399" t="s">
        <v>2358</v>
      </c>
      <c r="K12" s="789">
        <v>44440</v>
      </c>
      <c r="L12" s="399">
        <v>0</v>
      </c>
      <c r="M12" s="399">
        <v>0</v>
      </c>
      <c r="N12" s="399">
        <v>9.1750000000000007</v>
      </c>
      <c r="O12" s="399">
        <v>9.1750000000000007</v>
      </c>
      <c r="P12" s="399">
        <v>9.1750000000000007</v>
      </c>
      <c r="Q12" s="399">
        <v>9.1750000000000007</v>
      </c>
      <c r="R12" s="399"/>
      <c r="S12" s="399">
        <v>522.37</v>
      </c>
      <c r="T12" s="399">
        <v>144.41999999999999</v>
      </c>
      <c r="U12" s="399"/>
      <c r="V12" s="399">
        <v>6117.7982500000007</v>
      </c>
      <c r="W12" s="399">
        <v>6117.7982500000007</v>
      </c>
      <c r="X12" s="399">
        <v>5979.714500000001</v>
      </c>
      <c r="Y12" s="399">
        <v>0</v>
      </c>
      <c r="Z12" s="399">
        <v>563.35394961682414</v>
      </c>
      <c r="AA12" s="399">
        <v>0</v>
      </c>
      <c r="AB12" s="399">
        <v>0</v>
      </c>
      <c r="AC12" s="399">
        <v>0</v>
      </c>
      <c r="AD12" s="399">
        <v>935.51652050157395</v>
      </c>
      <c r="AE12" s="399">
        <v>3045.248728835983</v>
      </c>
      <c r="AF12" s="399">
        <v>1325.070231809709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87.004283116033974</v>
      </c>
      <c r="AM12" s="399"/>
      <c r="AN12" s="399">
        <v>13.348296370172072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148.25262551041902</v>
      </c>
      <c r="BH12" s="399">
        <v>0</v>
      </c>
      <c r="BI12" s="399">
        <v>0</v>
      </c>
      <c r="BJ12" s="399">
        <v>0</v>
      </c>
      <c r="BK12" s="399">
        <v>3255.09</v>
      </c>
      <c r="BL12" s="399">
        <v>6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1473.3228573201279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5982.9732000000004</v>
      </c>
      <c r="CJ12" s="399">
        <v>-134.85505000000103</v>
      </c>
      <c r="CK12" s="399"/>
      <c r="CL12" s="399"/>
      <c r="CM12" s="399"/>
      <c r="CN12" s="399"/>
      <c r="CO12" s="399">
        <v>-191.66574999999989</v>
      </c>
      <c r="CP12" s="399">
        <v>53.582000000000036</v>
      </c>
      <c r="CQ12" s="399">
        <v>30</v>
      </c>
      <c r="CR12" s="399">
        <v>-0.88060508142507388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39.152630843967813</v>
      </c>
      <c r="DA12" s="399">
        <v>0</v>
      </c>
      <c r="DB12" s="399">
        <v>0</v>
      </c>
      <c r="DC12" s="399">
        <v>53.580095254769731</v>
      </c>
      <c r="DD12" s="399">
        <v>0</v>
      </c>
      <c r="DE12" s="399">
        <v>0</v>
      </c>
      <c r="DF12" s="399">
        <v>0</v>
      </c>
      <c r="DG12" s="399">
        <v>5.9946934176979028</v>
      </c>
      <c r="DH12" s="399">
        <v>0</v>
      </c>
      <c r="DI12" s="399">
        <v>-86.548695452265406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-11.448420283446609</v>
      </c>
      <c r="DP12" s="399">
        <v>-1.6109088621485661</v>
      </c>
      <c r="DQ12" s="399">
        <v>0</v>
      </c>
      <c r="DR12" s="399">
        <v>0</v>
      </c>
      <c r="DS12" s="399"/>
      <c r="DT12" s="399"/>
      <c r="DU12" s="399"/>
      <c r="DV12" s="399">
        <v>3045.248728835983</v>
      </c>
      <c r="DW12" s="399">
        <v>0</v>
      </c>
      <c r="DX12" s="399">
        <v>0</v>
      </c>
      <c r="DY12" s="399">
        <v>-191.66575000000012</v>
      </c>
      <c r="DZ12" s="399">
        <v>53.582000000000107</v>
      </c>
      <c r="EA12" s="399">
        <v>0</v>
      </c>
      <c r="EB12" s="399">
        <v>0</v>
      </c>
      <c r="EC12" s="399">
        <v>-137.14956895896057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225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957</v>
      </c>
      <c r="C13" s="399" t="s">
        <v>2365</v>
      </c>
      <c r="D13" s="399" t="s">
        <v>534</v>
      </c>
      <c r="E13" s="399" t="s">
        <v>891</v>
      </c>
      <c r="F13" s="399" t="s">
        <v>1240</v>
      </c>
      <c r="G13" s="399" t="s">
        <v>1240</v>
      </c>
      <c r="H13" s="399" t="s">
        <v>1240</v>
      </c>
      <c r="I13" s="399" t="s">
        <v>894</v>
      </c>
      <c r="J13" s="399" t="s">
        <v>2358</v>
      </c>
      <c r="K13" s="789">
        <v>44440</v>
      </c>
      <c r="L13" s="399">
        <v>1227</v>
      </c>
      <c r="M13" s="399">
        <v>1227</v>
      </c>
      <c r="N13" s="399">
        <v>65.489000000000004</v>
      </c>
      <c r="O13" s="399">
        <v>65.489000000000004</v>
      </c>
      <c r="P13" s="399">
        <v>65.489000000000004</v>
      </c>
      <c r="Q13" s="399">
        <v>65.489000000000004</v>
      </c>
      <c r="R13" s="399">
        <v>111</v>
      </c>
      <c r="S13" s="399">
        <v>69.64</v>
      </c>
      <c r="T13" s="399">
        <v>144.41999999999999</v>
      </c>
      <c r="U13" s="399">
        <v>136197</v>
      </c>
      <c r="V13" s="399">
        <v>14018.575339999999</v>
      </c>
      <c r="W13" s="399">
        <v>150215.57533999998</v>
      </c>
      <c r="X13" s="399">
        <v>147181.77295999997</v>
      </c>
      <c r="Y13" s="399">
        <v>0</v>
      </c>
      <c r="Z13" s="399">
        <v>3498.3469778329045</v>
      </c>
      <c r="AA13" s="399">
        <v>0</v>
      </c>
      <c r="AB13" s="399">
        <v>0</v>
      </c>
      <c r="AC13" s="399">
        <v>0</v>
      </c>
      <c r="AD13" s="399">
        <v>38337.996255462218</v>
      </c>
      <c r="AE13" s="399">
        <v>97854.569434569785</v>
      </c>
      <c r="AF13" s="399">
        <v>9458.0408077368975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621.01618495759658</v>
      </c>
      <c r="AM13" s="399"/>
      <c r="AN13" s="399">
        <v>32.592906288746349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408.55983226795433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9866.6006400048518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147181.98359999998</v>
      </c>
      <c r="CJ13" s="399">
        <v>-3033.6217400000314</v>
      </c>
      <c r="CK13" s="399"/>
      <c r="CL13" s="399"/>
      <c r="CM13" s="399"/>
      <c r="CN13" s="399"/>
      <c r="CO13" s="399">
        <v>-3416.2581400000076</v>
      </c>
      <c r="CP13" s="399">
        <v>382.45576000000023</v>
      </c>
      <c r="CQ13" s="399">
        <v>30</v>
      </c>
      <c r="CR13" s="399">
        <v>1380.3550250134867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1604.4969616170929</v>
      </c>
      <c r="DA13" s="399">
        <v>0</v>
      </c>
      <c r="DB13" s="399">
        <v>0</v>
      </c>
      <c r="DC13" s="399">
        <v>382.44216437489013</v>
      </c>
      <c r="DD13" s="399">
        <v>0</v>
      </c>
      <c r="DE13" s="399">
        <v>0</v>
      </c>
      <c r="DF13" s="399">
        <v>0</v>
      </c>
      <c r="DG13" s="399">
        <v>16.520388281826627</v>
      </c>
      <c r="DH13" s="399">
        <v>0</v>
      </c>
      <c r="DI13" s="399">
        <v>-537.45494706614136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-81.716141247153587</v>
      </c>
      <c r="DP13" s="399">
        <v>-3.9334009470336291</v>
      </c>
      <c r="DQ13" s="399">
        <v>0</v>
      </c>
      <c r="DR13" s="399">
        <v>0</v>
      </c>
      <c r="DS13" s="399"/>
      <c r="DT13" s="399"/>
      <c r="DU13" s="399">
        <v>97854.569434569785</v>
      </c>
      <c r="DV13" s="399">
        <v>0</v>
      </c>
      <c r="DW13" s="399">
        <v>0</v>
      </c>
      <c r="DX13" s="399">
        <v>0</v>
      </c>
      <c r="DY13" s="399">
        <v>-3416.2581400000199</v>
      </c>
      <c r="DZ13" s="399">
        <v>382.45576000000074</v>
      </c>
      <c r="EA13" s="399">
        <v>0</v>
      </c>
      <c r="EB13" s="399">
        <v>0</v>
      </c>
      <c r="EC13" s="399">
        <v>-4407.0988000203943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225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957</v>
      </c>
      <c r="C14" s="399" t="s">
        <v>2365</v>
      </c>
      <c r="D14" s="399" t="s">
        <v>534</v>
      </c>
      <c r="E14" s="399" t="s">
        <v>891</v>
      </c>
      <c r="F14" s="399" t="s">
        <v>1240</v>
      </c>
      <c r="G14" s="399" t="s">
        <v>1240</v>
      </c>
      <c r="H14" s="399" t="s">
        <v>1240</v>
      </c>
      <c r="I14" s="399" t="s">
        <v>2328</v>
      </c>
      <c r="J14" s="399" t="s">
        <v>2358</v>
      </c>
      <c r="K14" s="789">
        <v>44440</v>
      </c>
      <c r="L14" s="399">
        <v>3256</v>
      </c>
      <c r="M14" s="399">
        <v>3256</v>
      </c>
      <c r="N14" s="399">
        <v>1435.625</v>
      </c>
      <c r="O14" s="399">
        <v>1435.625</v>
      </c>
      <c r="P14" s="399">
        <v>1435.625</v>
      </c>
      <c r="Q14" s="399">
        <v>1435.625</v>
      </c>
      <c r="R14" s="399">
        <v>34.950000000000003</v>
      </c>
      <c r="S14" s="399">
        <v>69.64</v>
      </c>
      <c r="T14" s="399">
        <v>144.41999999999999</v>
      </c>
      <c r="U14" s="399">
        <v>113797.20000000001</v>
      </c>
      <c r="V14" s="399">
        <v>307309.88750000001</v>
      </c>
      <c r="W14" s="399">
        <v>421107.08750000002</v>
      </c>
      <c r="X14" s="399">
        <v>414666.92999999993</v>
      </c>
      <c r="Y14" s="399">
        <v>0</v>
      </c>
      <c r="Z14" s="399">
        <v>76689.43456231372</v>
      </c>
      <c r="AA14" s="399">
        <v>0</v>
      </c>
      <c r="AB14" s="399">
        <v>0</v>
      </c>
      <c r="AC14" s="399">
        <v>0</v>
      </c>
      <c r="AD14" s="399">
        <v>41252.802089238874</v>
      </c>
      <c r="AE14" s="399">
        <v>72559.334823883793</v>
      </c>
      <c r="AF14" s="399">
        <v>207335.58054951645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13613.68108430041</v>
      </c>
      <c r="AM14" s="399"/>
      <c r="AN14" s="399">
        <v>714.48932020311008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8956.2935637997507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216291.87411331621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414667.98320000002</v>
      </c>
      <c r="CJ14" s="399">
        <v>-6439.1343000000343</v>
      </c>
      <c r="CK14" s="399"/>
      <c r="CL14" s="399"/>
      <c r="CM14" s="399"/>
      <c r="CN14" s="399"/>
      <c r="CO14" s="399">
        <v>-14824.207500000017</v>
      </c>
      <c r="CP14" s="399">
        <v>8384.0500000000047</v>
      </c>
      <c r="CQ14" s="399">
        <v>30</v>
      </c>
      <c r="CR14" s="399">
        <v>-3187.0689300404047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1726.4855254645518</v>
      </c>
      <c r="DA14" s="399">
        <v>0</v>
      </c>
      <c r="DB14" s="399">
        <v>0</v>
      </c>
      <c r="DC14" s="399">
        <v>8383.7519618668885</v>
      </c>
      <c r="DD14" s="399">
        <v>0</v>
      </c>
      <c r="DE14" s="399">
        <v>0</v>
      </c>
      <c r="DF14" s="399">
        <v>0</v>
      </c>
      <c r="DG14" s="399">
        <v>362.15368118458719</v>
      </c>
      <c r="DH14" s="399">
        <v>0</v>
      </c>
      <c r="DI14" s="399">
        <v>-11781.883345017173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-1791.3502309997839</v>
      </c>
      <c r="DP14" s="399">
        <v>-86.226522539436473</v>
      </c>
      <c r="DQ14" s="399">
        <v>0</v>
      </c>
      <c r="DR14" s="399">
        <v>0</v>
      </c>
      <c r="DS14" s="399"/>
      <c r="DT14" s="399"/>
      <c r="DU14" s="399">
        <v>72559.334823883793</v>
      </c>
      <c r="DV14" s="399">
        <v>0</v>
      </c>
      <c r="DW14" s="399">
        <v>0</v>
      </c>
      <c r="DX14" s="399">
        <v>0</v>
      </c>
      <c r="DY14" s="399">
        <v>-14824.207500000019</v>
      </c>
      <c r="DZ14" s="399">
        <v>8384.0499999999884</v>
      </c>
      <c r="EA14" s="399">
        <v>0</v>
      </c>
      <c r="EB14" s="399">
        <v>0</v>
      </c>
      <c r="EC14" s="399">
        <v>-3267.8714880698972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225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957</v>
      </c>
      <c r="C15" s="399" t="s">
        <v>2365</v>
      </c>
      <c r="D15" s="399" t="s">
        <v>534</v>
      </c>
      <c r="E15" s="399" t="s">
        <v>891</v>
      </c>
      <c r="F15" s="399" t="s">
        <v>1240</v>
      </c>
      <c r="G15" s="399" t="s">
        <v>1240</v>
      </c>
      <c r="H15" s="399" t="s">
        <v>1240</v>
      </c>
      <c r="I15" s="399" t="s">
        <v>1240</v>
      </c>
      <c r="J15" s="399" t="s">
        <v>2358</v>
      </c>
      <c r="K15" s="789">
        <v>44440</v>
      </c>
      <c r="L15" s="399">
        <v>0</v>
      </c>
      <c r="M15" s="399">
        <v>0</v>
      </c>
      <c r="N15" s="399">
        <v>0</v>
      </c>
      <c r="O15" s="399">
        <v>0</v>
      </c>
      <c r="P15" s="399">
        <v>0</v>
      </c>
      <c r="Q15" s="399">
        <v>0</v>
      </c>
      <c r="R15" s="399"/>
      <c r="S15" s="399"/>
      <c r="T15" s="399"/>
      <c r="U15" s="399"/>
      <c r="V15" s="399"/>
      <c r="W15" s="399"/>
      <c r="X15" s="399"/>
      <c r="Y15" s="399"/>
      <c r="Z15" s="399"/>
      <c r="AA15" s="399">
        <v>0</v>
      </c>
      <c r="AB15" s="399"/>
      <c r="AC15" s="399"/>
      <c r="AD15" s="399"/>
      <c r="AE15" s="399"/>
      <c r="AF15" s="399"/>
      <c r="AG15" s="399"/>
      <c r="AH15" s="399"/>
      <c r="AI15" s="399"/>
      <c r="AJ15" s="399"/>
      <c r="AK15" s="399"/>
      <c r="AL15" s="399"/>
      <c r="AM15" s="399"/>
      <c r="AN15" s="399"/>
      <c r="AO15" s="399"/>
      <c r="AP15" s="399"/>
      <c r="AQ15" s="399"/>
      <c r="AR15" s="399"/>
      <c r="AS15" s="399"/>
      <c r="AT15" s="399"/>
      <c r="AU15" s="399"/>
      <c r="AV15" s="399"/>
      <c r="AW15" s="399"/>
      <c r="AX15" s="399"/>
      <c r="AY15" s="399"/>
      <c r="AZ15" s="399">
        <v>0</v>
      </c>
      <c r="BA15" s="399"/>
      <c r="BB15" s="399"/>
      <c r="BC15" s="399"/>
      <c r="BD15" s="399"/>
      <c r="BE15" s="399"/>
      <c r="BF15" s="399"/>
      <c r="BG15" s="399"/>
      <c r="BH15" s="399"/>
      <c r="BI15" s="399">
        <v>0</v>
      </c>
      <c r="BJ15" s="399">
        <v>0</v>
      </c>
      <c r="BK15" s="399">
        <v>202589.79</v>
      </c>
      <c r="BL15" s="399">
        <v>2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/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/>
      <c r="CJ15" s="399">
        <v>-0.03</v>
      </c>
      <c r="CK15" s="399"/>
      <c r="CL15" s="399"/>
      <c r="CM15" s="399"/>
      <c r="CN15" s="399"/>
      <c r="CO15" s="399">
        <v>0</v>
      </c>
      <c r="CP15" s="399">
        <v>0</v>
      </c>
      <c r="CQ15" s="399">
        <v>30</v>
      </c>
      <c r="CR15" s="399"/>
      <c r="CS15" s="399"/>
      <c r="CT15" s="399"/>
      <c r="CU15" s="399"/>
      <c r="CV15" s="399"/>
      <c r="CW15" s="399"/>
      <c r="CX15" s="399"/>
      <c r="CY15" s="399"/>
      <c r="CZ15" s="399"/>
      <c r="DA15" s="399"/>
      <c r="DB15" s="399"/>
      <c r="DC15" s="399"/>
      <c r="DD15" s="399"/>
      <c r="DE15" s="399"/>
      <c r="DF15" s="399"/>
      <c r="DG15" s="399"/>
      <c r="DH15" s="399"/>
      <c r="DI15" s="399"/>
      <c r="DJ15" s="399"/>
      <c r="DK15" s="399">
        <v>0</v>
      </c>
      <c r="DL15" s="399"/>
      <c r="DM15" s="399"/>
      <c r="DN15" s="399"/>
      <c r="DO15" s="399"/>
      <c r="DP15" s="399"/>
      <c r="DQ15" s="399"/>
      <c r="DR15" s="399"/>
      <c r="DS15" s="399"/>
      <c r="DT15" s="399"/>
      <c r="DU15" s="399"/>
      <c r="DV15" s="399"/>
      <c r="DW15" s="399"/>
      <c r="DX15" s="399"/>
      <c r="DY15" s="399"/>
      <c r="DZ15" s="399"/>
      <c r="EA15" s="399"/>
      <c r="EB15" s="399"/>
      <c r="EC15" s="399"/>
      <c r="ED15" s="399"/>
      <c r="EE15" s="399"/>
      <c r="EF15" s="399"/>
      <c r="EG15" s="399"/>
      <c r="EH15" s="399"/>
      <c r="EI15" s="399"/>
      <c r="EJ15" s="399"/>
      <c r="EK15" s="399"/>
      <c r="EL15" s="399"/>
      <c r="EM15" s="399"/>
      <c r="EN15" s="399"/>
      <c r="EO15" s="399"/>
      <c r="EP15" s="399"/>
      <c r="EQ15" s="399"/>
      <c r="ER15" s="399"/>
      <c r="ES15" s="399"/>
      <c r="ET15" s="399"/>
      <c r="EU15" s="399"/>
      <c r="EV15" s="399">
        <v>225</v>
      </c>
      <c r="EW15" s="399"/>
      <c r="EX15" s="399"/>
      <c r="EY15" s="399"/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957</v>
      </c>
      <c r="C16" s="399" t="s">
        <v>2366</v>
      </c>
      <c r="D16" s="399" t="s">
        <v>534</v>
      </c>
      <c r="E16" s="399" t="s">
        <v>891</v>
      </c>
      <c r="F16" s="399" t="s">
        <v>1240</v>
      </c>
      <c r="G16" s="399" t="s">
        <v>1240</v>
      </c>
      <c r="H16" s="399" t="s">
        <v>1240</v>
      </c>
      <c r="I16" s="399" t="s">
        <v>894</v>
      </c>
      <c r="J16" s="399" t="s">
        <v>2358</v>
      </c>
      <c r="K16" s="789">
        <v>44440</v>
      </c>
      <c r="L16" s="399">
        <v>0</v>
      </c>
      <c r="M16" s="399">
        <v>0</v>
      </c>
      <c r="N16" s="399">
        <v>84.843999999999994</v>
      </c>
      <c r="O16" s="399">
        <v>84.843999999999994</v>
      </c>
      <c r="P16" s="399">
        <v>84.843999999999994</v>
      </c>
      <c r="Q16" s="399">
        <v>84.843999999999994</v>
      </c>
      <c r="R16" s="399"/>
      <c r="S16" s="399">
        <v>2740.31</v>
      </c>
      <c r="T16" s="399">
        <v>144.41999999999999</v>
      </c>
      <c r="U16" s="399"/>
      <c r="V16" s="399">
        <v>244752.03211999999</v>
      </c>
      <c r="W16" s="399">
        <v>244752.03211999999</v>
      </c>
      <c r="X16" s="399">
        <v>239804.77847999995</v>
      </c>
      <c r="Y16" s="399">
        <v>0</v>
      </c>
      <c r="Z16" s="399">
        <v>4532.268793037837</v>
      </c>
      <c r="AA16" s="399">
        <v>0</v>
      </c>
      <c r="AB16" s="399">
        <v>0</v>
      </c>
      <c r="AC16" s="399">
        <v>0</v>
      </c>
      <c r="AD16" s="399">
        <v>63858.923727158668</v>
      </c>
      <c r="AE16" s="399">
        <v>162731.43392932983</v>
      </c>
      <c r="AF16" s="399">
        <v>12253.325204104953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804.55492062090309</v>
      </c>
      <c r="AM16" s="399"/>
      <c r="AN16" s="399">
        <v>42.225603401523848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529.30798162962196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12782.633185734574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239793.47280000002</v>
      </c>
      <c r="CJ16" s="399">
        <v>-4958.5893199999991</v>
      </c>
      <c r="CK16" s="399"/>
      <c r="CL16" s="399"/>
      <c r="CM16" s="399"/>
      <c r="CN16" s="399"/>
      <c r="CO16" s="399">
        <v>-5442.7426000000078</v>
      </c>
      <c r="CP16" s="399">
        <v>495.48896000000025</v>
      </c>
      <c r="CQ16" s="399">
        <v>30</v>
      </c>
      <c r="CR16" s="399">
        <v>2382.1961225040577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2672.582270852603</v>
      </c>
      <c r="DA16" s="399">
        <v>0</v>
      </c>
      <c r="DB16" s="399">
        <v>0</v>
      </c>
      <c r="DC16" s="399">
        <v>495.47134624475984</v>
      </c>
      <c r="DD16" s="399">
        <v>0</v>
      </c>
      <c r="DE16" s="399">
        <v>0</v>
      </c>
      <c r="DF16" s="399">
        <v>0</v>
      </c>
      <c r="DG16" s="399">
        <v>21.402919931336555</v>
      </c>
      <c r="DH16" s="399">
        <v>0</v>
      </c>
      <c r="DI16" s="399">
        <v>-696.29750841942496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-105.86700496226092</v>
      </c>
      <c r="DP16" s="399">
        <v>-5.0959011429418908</v>
      </c>
      <c r="DQ16" s="399">
        <v>0</v>
      </c>
      <c r="DR16" s="399">
        <v>0</v>
      </c>
      <c r="DS16" s="399"/>
      <c r="DT16" s="399"/>
      <c r="DU16" s="399"/>
      <c r="DV16" s="399">
        <v>162731.43392932983</v>
      </c>
      <c r="DW16" s="399">
        <v>0</v>
      </c>
      <c r="DX16" s="399">
        <v>0</v>
      </c>
      <c r="DY16" s="399">
        <v>-5442.7426000000269</v>
      </c>
      <c r="DZ16" s="399">
        <v>495.48895999999877</v>
      </c>
      <c r="EA16" s="399">
        <v>0</v>
      </c>
      <c r="EB16" s="399">
        <v>0</v>
      </c>
      <c r="EC16" s="399">
        <v>-7328.9731009964598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225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2360</v>
      </c>
      <c r="C17" s="399" t="s">
        <v>2366</v>
      </c>
      <c r="D17" s="399" t="s">
        <v>534</v>
      </c>
      <c r="E17" s="399" t="s">
        <v>891</v>
      </c>
      <c r="F17" s="399" t="s">
        <v>1240</v>
      </c>
      <c r="G17" s="399" t="s">
        <v>1240</v>
      </c>
      <c r="H17" s="399" t="s">
        <v>1240</v>
      </c>
      <c r="I17" s="399" t="s">
        <v>894</v>
      </c>
      <c r="J17" s="399" t="s">
        <v>2358</v>
      </c>
      <c r="K17" s="789">
        <v>44440</v>
      </c>
      <c r="L17" s="399">
        <v>0</v>
      </c>
      <c r="M17" s="399">
        <v>0</v>
      </c>
      <c r="N17" s="399">
        <v>0.59099999999999997</v>
      </c>
      <c r="O17" s="399">
        <v>0.59099999999999997</v>
      </c>
      <c r="P17" s="399">
        <v>0.59099999999999997</v>
      </c>
      <c r="Q17" s="399">
        <v>0.59099999999999997</v>
      </c>
      <c r="R17" s="399"/>
      <c r="S17" s="399">
        <v>2740.31</v>
      </c>
      <c r="T17" s="399">
        <v>144.41999999999999</v>
      </c>
      <c r="U17" s="399"/>
      <c r="V17" s="399">
        <v>1704.8754299999998</v>
      </c>
      <c r="W17" s="399">
        <v>1704.8754299999998</v>
      </c>
      <c r="X17" s="399">
        <v>1670.4142199999999</v>
      </c>
      <c r="Y17" s="399">
        <v>0</v>
      </c>
      <c r="Z17" s="399">
        <v>31.570539539453133</v>
      </c>
      <c r="AA17" s="399">
        <v>0</v>
      </c>
      <c r="AB17" s="399">
        <v>0</v>
      </c>
      <c r="AC17" s="399">
        <v>0</v>
      </c>
      <c r="AD17" s="399">
        <v>444.82372262918739</v>
      </c>
      <c r="AE17" s="399">
        <v>1133.5424715033937</v>
      </c>
      <c r="AF17" s="399">
        <v>85.353297765617214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5.6043085909074737</v>
      </c>
      <c r="AM17" s="399"/>
      <c r="AN17" s="399">
        <v>0.2941319552390339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3.6870140156417257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89.040311781258936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1667.5877999999998</v>
      </c>
      <c r="CJ17" s="399">
        <v>-37.317630000000008</v>
      </c>
      <c r="CK17" s="399"/>
      <c r="CL17" s="399"/>
      <c r="CM17" s="399"/>
      <c r="CN17" s="399"/>
      <c r="CO17" s="399">
        <v>-37.912650000000049</v>
      </c>
      <c r="CP17" s="399">
        <v>3.4514400000000016</v>
      </c>
      <c r="CQ17" s="399">
        <v>30</v>
      </c>
      <c r="CR17" s="399">
        <v>16.593723874403622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18.616474023783439</v>
      </c>
      <c r="DA17" s="399">
        <v>0</v>
      </c>
      <c r="DB17" s="399">
        <v>0</v>
      </c>
      <c r="DC17" s="399">
        <v>3.4513173074189609</v>
      </c>
      <c r="DD17" s="399">
        <v>0</v>
      </c>
      <c r="DE17" s="399">
        <v>0</v>
      </c>
      <c r="DF17" s="399">
        <v>0</v>
      </c>
      <c r="DG17" s="399">
        <v>0.14908686152727268</v>
      </c>
      <c r="DH17" s="399">
        <v>0</v>
      </c>
      <c r="DI17" s="399">
        <v>-4.8502171924458999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-0.73744047820348158</v>
      </c>
      <c r="DP17" s="399">
        <v>-3.5496647676661386E-2</v>
      </c>
      <c r="DQ17" s="399">
        <v>0</v>
      </c>
      <c r="DR17" s="399">
        <v>0</v>
      </c>
      <c r="DS17" s="399"/>
      <c r="DT17" s="399"/>
      <c r="DU17" s="399"/>
      <c r="DV17" s="399">
        <v>1133.5424715033937</v>
      </c>
      <c r="DW17" s="399">
        <v>0</v>
      </c>
      <c r="DX17" s="399">
        <v>0</v>
      </c>
      <c r="DY17" s="399">
        <v>-37.912649999999985</v>
      </c>
      <c r="DZ17" s="399">
        <v>3.4514400000000052</v>
      </c>
      <c r="EA17" s="399">
        <v>0</v>
      </c>
      <c r="EB17" s="399">
        <v>0</v>
      </c>
      <c r="EC17" s="399">
        <v>-51.051613581265883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225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957</v>
      </c>
      <c r="C18" s="399" t="s">
        <v>2366</v>
      </c>
      <c r="D18" s="399" t="s">
        <v>534</v>
      </c>
      <c r="E18" s="399" t="s">
        <v>891</v>
      </c>
      <c r="F18" s="399" t="s">
        <v>1240</v>
      </c>
      <c r="G18" s="399" t="s">
        <v>1240</v>
      </c>
      <c r="H18" s="399" t="s">
        <v>1240</v>
      </c>
      <c r="I18" s="399" t="s">
        <v>2328</v>
      </c>
      <c r="J18" s="399" t="s">
        <v>2358</v>
      </c>
      <c r="K18" s="789">
        <v>44440</v>
      </c>
      <c r="L18" s="399">
        <v>0</v>
      </c>
      <c r="M18" s="399">
        <v>0</v>
      </c>
      <c r="N18" s="399">
        <v>5616.2790000000005</v>
      </c>
      <c r="O18" s="399">
        <v>5616.2790000000005</v>
      </c>
      <c r="P18" s="399">
        <v>5616.2790000000005</v>
      </c>
      <c r="Q18" s="399">
        <v>5616.2790000000005</v>
      </c>
      <c r="R18" s="399"/>
      <c r="S18" s="399">
        <v>69.64</v>
      </c>
      <c r="T18" s="399">
        <v>144.41999999999999</v>
      </c>
      <c r="U18" s="399"/>
      <c r="V18" s="399">
        <v>1202220.6827400001</v>
      </c>
      <c r="W18" s="399">
        <v>1202220.6827400001</v>
      </c>
      <c r="X18" s="399">
        <v>1183013.00856</v>
      </c>
      <c r="Y18" s="399">
        <v>0</v>
      </c>
      <c r="Z18" s="399">
        <v>300015.15775651491</v>
      </c>
      <c r="AA18" s="399">
        <v>0</v>
      </c>
      <c r="AB18" s="399">
        <v>0</v>
      </c>
      <c r="AC18" s="399">
        <v>0</v>
      </c>
      <c r="AD18" s="399">
        <v>0</v>
      </c>
      <c r="AE18" s="399">
        <v>0</v>
      </c>
      <c r="AF18" s="399">
        <v>811113.25519760232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53257.801435927649</v>
      </c>
      <c r="AM18" s="399"/>
      <c r="AN18" s="399">
        <v>2795.1389567477604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35037.731622257699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846150.98681986006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1183013.2191999999</v>
      </c>
      <c r="CJ18" s="399">
        <v>-19207.49354000017</v>
      </c>
      <c r="CK18" s="399"/>
      <c r="CL18" s="399"/>
      <c r="CM18" s="399"/>
      <c r="CN18" s="399"/>
      <c r="CO18" s="399">
        <v>-52006.743539999996</v>
      </c>
      <c r="CP18" s="399">
        <v>32799.069360000023</v>
      </c>
      <c r="CQ18" s="399">
        <v>30</v>
      </c>
      <c r="CR18" s="399">
        <v>-19222.215205091052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0</v>
      </c>
      <c r="DA18" s="399">
        <v>0</v>
      </c>
      <c r="DB18" s="399">
        <v>0</v>
      </c>
      <c r="DC18" s="399">
        <v>32797.903411156614</v>
      </c>
      <c r="DD18" s="399">
        <v>0</v>
      </c>
      <c r="DE18" s="399">
        <v>0</v>
      </c>
      <c r="DF18" s="399">
        <v>0</v>
      </c>
      <c r="DG18" s="399">
        <v>1416.7739586658645</v>
      </c>
      <c r="DH18" s="399">
        <v>0</v>
      </c>
      <c r="DI18" s="399">
        <v>-46091.663220597053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-7007.904351073048</v>
      </c>
      <c r="DP18" s="399">
        <v>-337.3250032433707</v>
      </c>
      <c r="DQ18" s="399">
        <v>0</v>
      </c>
      <c r="DR18" s="399">
        <v>0</v>
      </c>
      <c r="DS18" s="399"/>
      <c r="DT18" s="399"/>
      <c r="DU18" s="399"/>
      <c r="DV18" s="399">
        <v>0</v>
      </c>
      <c r="DW18" s="399">
        <v>0</v>
      </c>
      <c r="DX18" s="399">
        <v>0</v>
      </c>
      <c r="DY18" s="399">
        <v>-52006.743539999996</v>
      </c>
      <c r="DZ18" s="399">
        <v>32799.069359999965</v>
      </c>
      <c r="EA18" s="399">
        <v>0</v>
      </c>
      <c r="EB18" s="399">
        <v>0</v>
      </c>
      <c r="EC18" s="399">
        <v>0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225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2360</v>
      </c>
      <c r="C19" s="399" t="s">
        <v>2366</v>
      </c>
      <c r="D19" s="399" t="s">
        <v>534</v>
      </c>
      <c r="E19" s="399" t="s">
        <v>891</v>
      </c>
      <c r="F19" s="399" t="s">
        <v>1240</v>
      </c>
      <c r="G19" s="399" t="s">
        <v>1240</v>
      </c>
      <c r="H19" s="399" t="s">
        <v>1240</v>
      </c>
      <c r="I19" s="399" t="s">
        <v>2328</v>
      </c>
      <c r="J19" s="399" t="s">
        <v>2358</v>
      </c>
      <c r="K19" s="789">
        <v>44440</v>
      </c>
      <c r="L19" s="399">
        <v>0</v>
      </c>
      <c r="M19" s="399">
        <v>0</v>
      </c>
      <c r="N19" s="399">
        <v>7.6340000000000003</v>
      </c>
      <c r="O19" s="399">
        <v>7.6340000000000003</v>
      </c>
      <c r="P19" s="399">
        <v>7.6340000000000003</v>
      </c>
      <c r="Q19" s="399">
        <v>7.6340000000000003</v>
      </c>
      <c r="R19" s="399"/>
      <c r="S19" s="399">
        <v>69.64</v>
      </c>
      <c r="T19" s="399">
        <v>144.41999999999999</v>
      </c>
      <c r="U19" s="399"/>
      <c r="V19" s="399">
        <v>1634.1340399999999</v>
      </c>
      <c r="W19" s="399">
        <v>1634.1340399999999</v>
      </c>
      <c r="X19" s="399">
        <v>1608.02576</v>
      </c>
      <c r="Y19" s="399">
        <v>0</v>
      </c>
      <c r="Z19" s="399">
        <v>407.79949043009344</v>
      </c>
      <c r="AA19" s="399">
        <v>0</v>
      </c>
      <c r="AB19" s="399">
        <v>0</v>
      </c>
      <c r="AC19" s="399">
        <v>0</v>
      </c>
      <c r="AD19" s="399">
        <v>0</v>
      </c>
      <c r="AE19" s="399">
        <v>0</v>
      </c>
      <c r="AF19" s="399">
        <v>1102.51620159513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72.391356654801456</v>
      </c>
      <c r="AM19" s="399"/>
      <c r="AN19" s="399">
        <v>3.799328843138384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47.62549068597113</v>
      </c>
      <c r="BH19" s="399">
        <v>0</v>
      </c>
      <c r="BI19" s="399">
        <v>0</v>
      </c>
      <c r="BJ19" s="399">
        <v>0</v>
      </c>
      <c r="BK19" s="399">
        <v>0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1150.1416922811011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1607.1831999999999</v>
      </c>
      <c r="CJ19" s="399">
        <v>-26.980839999999944</v>
      </c>
      <c r="CK19" s="399"/>
      <c r="CL19" s="399"/>
      <c r="CM19" s="399"/>
      <c r="CN19" s="399"/>
      <c r="CO19" s="399">
        <v>-70.690839999999994</v>
      </c>
      <c r="CP19" s="399">
        <v>44.582560000000029</v>
      </c>
      <c r="CQ19" s="399">
        <v>30</v>
      </c>
      <c r="CR19" s="399">
        <v>-26.128045076760827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0</v>
      </c>
      <c r="DA19" s="399">
        <v>0</v>
      </c>
      <c r="DB19" s="399">
        <v>0</v>
      </c>
      <c r="DC19" s="399">
        <v>44.580975168927807</v>
      </c>
      <c r="DD19" s="399">
        <v>0</v>
      </c>
      <c r="DE19" s="399">
        <v>0</v>
      </c>
      <c r="DF19" s="399">
        <v>0</v>
      </c>
      <c r="DG19" s="399">
        <v>1.92576836023553</v>
      </c>
      <c r="DH19" s="399">
        <v>0</v>
      </c>
      <c r="DI19" s="399">
        <v>-62.650690435079525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-9.5255847895184047</v>
      </c>
      <c r="DP19" s="399">
        <v>-0.4585133813259441</v>
      </c>
      <c r="DQ19" s="399">
        <v>0</v>
      </c>
      <c r="DR19" s="399">
        <v>0</v>
      </c>
      <c r="DS19" s="399"/>
      <c r="DT19" s="399"/>
      <c r="DU19" s="399"/>
      <c r="DV19" s="399">
        <v>0</v>
      </c>
      <c r="DW19" s="399">
        <v>0</v>
      </c>
      <c r="DX19" s="399">
        <v>0</v>
      </c>
      <c r="DY19" s="399">
        <v>-70.690839999999923</v>
      </c>
      <c r="DZ19" s="399">
        <v>44.582560000000058</v>
      </c>
      <c r="EA19" s="399">
        <v>0</v>
      </c>
      <c r="EB19" s="399">
        <v>0</v>
      </c>
      <c r="EC19" s="399">
        <v>0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225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957</v>
      </c>
      <c r="C20" s="399" t="s">
        <v>2366</v>
      </c>
      <c r="D20" s="399" t="s">
        <v>534</v>
      </c>
      <c r="E20" s="399" t="s">
        <v>891</v>
      </c>
      <c r="F20" s="399" t="s">
        <v>1240</v>
      </c>
      <c r="G20" s="399" t="s">
        <v>1240</v>
      </c>
      <c r="H20" s="399" t="s">
        <v>1240</v>
      </c>
      <c r="I20" s="399" t="s">
        <v>1240</v>
      </c>
      <c r="J20" s="399" t="s">
        <v>2358</v>
      </c>
      <c r="K20" s="789">
        <v>44440</v>
      </c>
      <c r="L20" s="399">
        <v>21263</v>
      </c>
      <c r="M20" s="399">
        <v>21263</v>
      </c>
      <c r="N20" s="399">
        <v>0</v>
      </c>
      <c r="O20" s="399">
        <v>0</v>
      </c>
      <c r="P20" s="399">
        <v>0</v>
      </c>
      <c r="Q20" s="399">
        <v>0</v>
      </c>
      <c r="R20" s="399">
        <v>34.950000000000003</v>
      </c>
      <c r="S20" s="399"/>
      <c r="T20" s="399"/>
      <c r="U20" s="399">
        <v>743141.85000000009</v>
      </c>
      <c r="V20" s="399"/>
      <c r="W20" s="399">
        <v>743141.85000000009</v>
      </c>
      <c r="X20" s="399">
        <v>733148.24</v>
      </c>
      <c r="Y20" s="399">
        <v>0</v>
      </c>
      <c r="Z20" s="399">
        <v>0</v>
      </c>
      <c r="AA20" s="399">
        <v>0</v>
      </c>
      <c r="AB20" s="399">
        <v>0</v>
      </c>
      <c r="AC20" s="399">
        <v>0</v>
      </c>
      <c r="AD20" s="399">
        <v>269397.52175168489</v>
      </c>
      <c r="AE20" s="399">
        <v>473841.87234651134</v>
      </c>
      <c r="AF20" s="399"/>
      <c r="AG20" s="399"/>
      <c r="AH20" s="399"/>
      <c r="AI20" s="399">
        <v>0</v>
      </c>
      <c r="AJ20" s="399">
        <v>0</v>
      </c>
      <c r="AK20" s="399">
        <v>0</v>
      </c>
      <c r="AL20" s="399">
        <v>0</v>
      </c>
      <c r="AM20" s="399"/>
      <c r="AN20" s="399">
        <v>0</v>
      </c>
      <c r="AO20" s="399">
        <v>0</v>
      </c>
      <c r="AP20" s="399">
        <v>0</v>
      </c>
      <c r="AQ20" s="399">
        <v>0</v>
      </c>
      <c r="AR20" s="399">
        <v>0</v>
      </c>
      <c r="AS20" s="399"/>
      <c r="AT20" s="399"/>
      <c r="AU20" s="399">
        <v>0</v>
      </c>
      <c r="AV20" s="399">
        <v>0</v>
      </c>
      <c r="AW20" s="399">
        <v>0</v>
      </c>
      <c r="AX20" s="399"/>
      <c r="AY20" s="399"/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/>
      <c r="BG20" s="399">
        <v>0</v>
      </c>
      <c r="BH20" s="399">
        <v>0</v>
      </c>
      <c r="BI20" s="399">
        <v>152.59</v>
      </c>
      <c r="BJ20" s="399">
        <v>704.29</v>
      </c>
      <c r="BK20" s="399">
        <v>771292.66</v>
      </c>
      <c r="BL20" s="399">
        <v>69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0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733148.24</v>
      </c>
      <c r="CJ20" s="399">
        <v>-9993.6400000001304</v>
      </c>
      <c r="CK20" s="399"/>
      <c r="CL20" s="399"/>
      <c r="CM20" s="399"/>
      <c r="CN20" s="399"/>
      <c r="CO20" s="399">
        <v>-9993.6100000001261</v>
      </c>
      <c r="CP20" s="399">
        <v>0</v>
      </c>
      <c r="CQ20" s="399">
        <v>30</v>
      </c>
      <c r="CR20" s="399">
        <v>11274.650407847948</v>
      </c>
      <c r="CS20" s="399">
        <v>0</v>
      </c>
      <c r="CT20" s="399">
        <v>0</v>
      </c>
      <c r="CU20" s="399">
        <v>0</v>
      </c>
      <c r="CV20" s="399">
        <v>0</v>
      </c>
      <c r="CW20" s="399"/>
      <c r="CX20" s="399"/>
      <c r="CY20" s="399"/>
      <c r="CZ20" s="399">
        <v>11274.650407847948</v>
      </c>
      <c r="DA20" s="399">
        <v>0</v>
      </c>
      <c r="DB20" s="399">
        <v>0</v>
      </c>
      <c r="DC20" s="399"/>
      <c r="DD20" s="399"/>
      <c r="DE20" s="399">
        <v>0</v>
      </c>
      <c r="DF20" s="399">
        <v>0</v>
      </c>
      <c r="DG20" s="399">
        <v>0</v>
      </c>
      <c r="DH20" s="399">
        <v>0</v>
      </c>
      <c r="DI20" s="399">
        <v>0</v>
      </c>
      <c r="DJ20" s="399"/>
      <c r="DK20" s="399">
        <v>0</v>
      </c>
      <c r="DL20" s="399">
        <v>0</v>
      </c>
      <c r="DM20" s="399"/>
      <c r="DN20" s="399">
        <v>0</v>
      </c>
      <c r="DO20" s="399">
        <v>0</v>
      </c>
      <c r="DP20" s="399">
        <v>0</v>
      </c>
      <c r="DQ20" s="399">
        <v>0</v>
      </c>
      <c r="DR20" s="399">
        <v>0</v>
      </c>
      <c r="DS20" s="399"/>
      <c r="DT20" s="399"/>
      <c r="DU20" s="399">
        <v>473841.87234651134</v>
      </c>
      <c r="DV20" s="399"/>
      <c r="DW20" s="399">
        <v>0</v>
      </c>
      <c r="DX20" s="399">
        <v>0</v>
      </c>
      <c r="DY20" s="399">
        <v>-9993.6100000001024</v>
      </c>
      <c r="DZ20" s="399"/>
      <c r="EA20" s="399">
        <v>0</v>
      </c>
      <c r="EB20" s="399"/>
      <c r="EC20" s="399">
        <v>-21340.525629861804</v>
      </c>
      <c r="ED20" s="399"/>
      <c r="EE20" s="399">
        <v>0</v>
      </c>
      <c r="EF20" s="399">
        <v>0</v>
      </c>
      <c r="EG20" s="399"/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/>
      <c r="EN20" s="399"/>
      <c r="EO20" s="399">
        <v>0</v>
      </c>
      <c r="EP20" s="399">
        <v>0</v>
      </c>
      <c r="EQ20" s="399"/>
      <c r="ER20" s="399">
        <v>0</v>
      </c>
      <c r="ES20" s="399"/>
      <c r="ET20" s="399">
        <v>0</v>
      </c>
      <c r="EU20" s="399"/>
      <c r="EV20" s="399">
        <v>225</v>
      </c>
      <c r="EW20" s="399"/>
      <c r="EX20" s="399"/>
      <c r="EY20" s="399"/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2360</v>
      </c>
      <c r="C21" s="399" t="s">
        <v>2366</v>
      </c>
      <c r="D21" s="399" t="s">
        <v>534</v>
      </c>
      <c r="E21" s="399" t="s">
        <v>891</v>
      </c>
      <c r="F21" s="399" t="s">
        <v>1240</v>
      </c>
      <c r="G21" s="399" t="s">
        <v>1240</v>
      </c>
      <c r="H21" s="399" t="s">
        <v>1240</v>
      </c>
      <c r="I21" s="399" t="s">
        <v>1240</v>
      </c>
      <c r="J21" s="399" t="s">
        <v>2358</v>
      </c>
      <c r="K21" s="789">
        <v>44440</v>
      </c>
      <c r="L21" s="399">
        <v>227</v>
      </c>
      <c r="M21" s="399">
        <v>227</v>
      </c>
      <c r="N21" s="399">
        <v>0</v>
      </c>
      <c r="O21" s="399">
        <v>0</v>
      </c>
      <c r="P21" s="399">
        <v>0</v>
      </c>
      <c r="Q21" s="399">
        <v>0</v>
      </c>
      <c r="R21" s="399">
        <v>34.950000000000003</v>
      </c>
      <c r="S21" s="399"/>
      <c r="T21" s="399"/>
      <c r="U21" s="399">
        <v>7933.6500000000005</v>
      </c>
      <c r="V21" s="399"/>
      <c r="W21" s="399">
        <v>7933.6500000000005</v>
      </c>
      <c r="X21" s="399">
        <v>7826.9599999999991</v>
      </c>
      <c r="Y21" s="399">
        <v>0</v>
      </c>
      <c r="Z21" s="399">
        <v>0</v>
      </c>
      <c r="AA21" s="399">
        <v>0</v>
      </c>
      <c r="AB21" s="399">
        <v>0</v>
      </c>
      <c r="AC21" s="399">
        <v>0</v>
      </c>
      <c r="AD21" s="399">
        <v>2876.0399490961991</v>
      </c>
      <c r="AE21" s="399">
        <v>5058.6514143186796</v>
      </c>
      <c r="AF21" s="399"/>
      <c r="AG21" s="399"/>
      <c r="AH21" s="399"/>
      <c r="AI21" s="399">
        <v>0</v>
      </c>
      <c r="AJ21" s="399">
        <v>0</v>
      </c>
      <c r="AK21" s="399">
        <v>0</v>
      </c>
      <c r="AL21" s="399">
        <v>0</v>
      </c>
      <c r="AM21" s="399"/>
      <c r="AN21" s="399">
        <v>0</v>
      </c>
      <c r="AO21" s="399">
        <v>0</v>
      </c>
      <c r="AP21" s="399">
        <v>0</v>
      </c>
      <c r="AQ21" s="399">
        <v>0</v>
      </c>
      <c r="AR21" s="399">
        <v>0</v>
      </c>
      <c r="AS21" s="399"/>
      <c r="AT21" s="399"/>
      <c r="AU21" s="399">
        <v>0</v>
      </c>
      <c r="AV21" s="399">
        <v>0</v>
      </c>
      <c r="AW21" s="399">
        <v>0</v>
      </c>
      <c r="AX21" s="399"/>
      <c r="AY21" s="399"/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/>
      <c r="BG21" s="399">
        <v>0</v>
      </c>
      <c r="BH21" s="399">
        <v>0</v>
      </c>
      <c r="BI21" s="399">
        <v>0</v>
      </c>
      <c r="BJ21" s="399">
        <v>0</v>
      </c>
      <c r="BK21" s="399">
        <v>3852.01</v>
      </c>
      <c r="BL21" s="399">
        <v>2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0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7826.9599999999991</v>
      </c>
      <c r="CJ21" s="399">
        <v>-106.72000000000207</v>
      </c>
      <c r="CK21" s="399"/>
      <c r="CL21" s="399"/>
      <c r="CM21" s="399"/>
      <c r="CN21" s="399"/>
      <c r="CO21" s="399">
        <v>-106.69000000000136</v>
      </c>
      <c r="CP21" s="399">
        <v>0</v>
      </c>
      <c r="CQ21" s="399">
        <v>30</v>
      </c>
      <c r="CR21" s="399">
        <v>120.36615917704376</v>
      </c>
      <c r="CS21" s="399">
        <v>0</v>
      </c>
      <c r="CT21" s="399">
        <v>0</v>
      </c>
      <c r="CU21" s="399">
        <v>0</v>
      </c>
      <c r="CV21" s="399">
        <v>0</v>
      </c>
      <c r="CW21" s="399"/>
      <c r="CX21" s="399"/>
      <c r="CY21" s="399"/>
      <c r="CZ21" s="399">
        <v>120.36615917704376</v>
      </c>
      <c r="DA21" s="399">
        <v>0</v>
      </c>
      <c r="DB21" s="399">
        <v>0</v>
      </c>
      <c r="DC21" s="399"/>
      <c r="DD21" s="399"/>
      <c r="DE21" s="399">
        <v>0</v>
      </c>
      <c r="DF21" s="399">
        <v>0</v>
      </c>
      <c r="DG21" s="399">
        <v>0</v>
      </c>
      <c r="DH21" s="399">
        <v>0</v>
      </c>
      <c r="DI21" s="399">
        <v>0</v>
      </c>
      <c r="DJ21" s="399"/>
      <c r="DK21" s="399">
        <v>0</v>
      </c>
      <c r="DL21" s="399">
        <v>0</v>
      </c>
      <c r="DM21" s="399"/>
      <c r="DN21" s="399">
        <v>0</v>
      </c>
      <c r="DO21" s="399">
        <v>0</v>
      </c>
      <c r="DP21" s="399">
        <v>0</v>
      </c>
      <c r="DQ21" s="399">
        <v>0</v>
      </c>
      <c r="DR21" s="399">
        <v>0</v>
      </c>
      <c r="DS21" s="399"/>
      <c r="DT21" s="399"/>
      <c r="DU21" s="399">
        <v>5058.6514143186796</v>
      </c>
      <c r="DV21" s="399"/>
      <c r="DW21" s="399">
        <v>0</v>
      </c>
      <c r="DX21" s="399">
        <v>0</v>
      </c>
      <c r="DY21" s="399">
        <v>-106.69000000000142</v>
      </c>
      <c r="DZ21" s="399"/>
      <c r="EA21" s="399">
        <v>0</v>
      </c>
      <c r="EB21" s="399"/>
      <c r="EC21" s="399">
        <v>-227.82764981322725</v>
      </c>
      <c r="ED21" s="399"/>
      <c r="EE21" s="399">
        <v>0</v>
      </c>
      <c r="EF21" s="399">
        <v>0</v>
      </c>
      <c r="EG21" s="399"/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/>
      <c r="EN21" s="399"/>
      <c r="EO21" s="399">
        <v>0</v>
      </c>
      <c r="EP21" s="399">
        <v>0</v>
      </c>
      <c r="EQ21" s="399"/>
      <c r="ER21" s="399">
        <v>0</v>
      </c>
      <c r="ES21" s="399"/>
      <c r="ET21" s="399">
        <v>0</v>
      </c>
      <c r="EU21" s="399"/>
      <c r="EV21" s="399">
        <v>225</v>
      </c>
      <c r="EW21" s="399"/>
      <c r="EX21" s="399"/>
      <c r="EY21" s="399"/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957</v>
      </c>
      <c r="C22" s="399" t="s">
        <v>2357</v>
      </c>
      <c r="D22" s="399" t="s">
        <v>1826</v>
      </c>
      <c r="E22" s="399" t="s">
        <v>919</v>
      </c>
      <c r="F22" s="399" t="s">
        <v>1240</v>
      </c>
      <c r="G22" s="399" t="s">
        <v>1240</v>
      </c>
      <c r="H22" s="399" t="s">
        <v>1240</v>
      </c>
      <c r="I22" s="399" t="s">
        <v>1240</v>
      </c>
      <c r="J22" s="399" t="s">
        <v>2358</v>
      </c>
      <c r="K22" s="789">
        <v>44440</v>
      </c>
      <c r="L22" s="399">
        <v>0</v>
      </c>
      <c r="M22" s="399">
        <v>0</v>
      </c>
      <c r="N22" s="399">
        <v>660.53899999999999</v>
      </c>
      <c r="O22" s="399">
        <v>660.53899999999999</v>
      </c>
      <c r="P22" s="399">
        <v>660.53899999999999</v>
      </c>
      <c r="Q22" s="399">
        <v>660.53899999999999</v>
      </c>
      <c r="R22" s="399"/>
      <c r="S22" s="399">
        <v>522.37</v>
      </c>
      <c r="T22" s="399">
        <v>144.41999999999999</v>
      </c>
      <c r="U22" s="399"/>
      <c r="V22" s="399">
        <v>440440.79981</v>
      </c>
      <c r="W22" s="399">
        <v>440440.79981</v>
      </c>
      <c r="X22" s="399">
        <v>430499.68786000001</v>
      </c>
      <c r="Y22" s="399">
        <v>0</v>
      </c>
      <c r="Z22" s="399">
        <v>40557.738912909794</v>
      </c>
      <c r="AA22" s="399">
        <v>0</v>
      </c>
      <c r="AB22" s="399">
        <v>0</v>
      </c>
      <c r="AC22" s="399">
        <v>0</v>
      </c>
      <c r="AD22" s="399">
        <v>67350.96969325222</v>
      </c>
      <c r="AE22" s="399">
        <v>219237.66213586825</v>
      </c>
      <c r="AF22" s="399">
        <v>95396.246959057578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6263.7299362596141</v>
      </c>
      <c r="AM22" s="399"/>
      <c r="AN22" s="399">
        <v>960.98859248578628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10673.203378967484</v>
      </c>
      <c r="BH22" s="399">
        <v>0</v>
      </c>
      <c r="BI22" s="399">
        <v>200.65</v>
      </c>
      <c r="BJ22" s="399">
        <v>927.69</v>
      </c>
      <c r="BK22" s="399">
        <v>147878.12</v>
      </c>
      <c r="BL22" s="399">
        <v>1195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106069.45033802507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430500.33960000001</v>
      </c>
      <c r="CJ22" s="399">
        <v>-9940.4902100000181</v>
      </c>
      <c r="CK22" s="399"/>
      <c r="CL22" s="399"/>
      <c r="CM22" s="399"/>
      <c r="CN22" s="399"/>
      <c r="CO22" s="399">
        <v>-13798.659709999991</v>
      </c>
      <c r="CP22" s="399">
        <v>3857.5477600000022</v>
      </c>
      <c r="CQ22" s="399">
        <v>30</v>
      </c>
      <c r="CR22" s="399">
        <v>-63.397711158526363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2818.7291144461778</v>
      </c>
      <c r="DA22" s="399">
        <v>0</v>
      </c>
      <c r="DB22" s="399">
        <v>0</v>
      </c>
      <c r="DC22" s="399">
        <v>3857.410631007122</v>
      </c>
      <c r="DD22" s="399">
        <v>0</v>
      </c>
      <c r="DE22" s="399">
        <v>0</v>
      </c>
      <c r="DF22" s="399">
        <v>0</v>
      </c>
      <c r="DG22" s="399">
        <v>431.57807034689358</v>
      </c>
      <c r="DH22" s="399">
        <v>0</v>
      </c>
      <c r="DI22" s="399">
        <v>-6230.93065344348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-824.21014557030321</v>
      </c>
      <c r="DP22" s="399">
        <v>-115.97472794493206</v>
      </c>
      <c r="DQ22" s="399">
        <v>0</v>
      </c>
      <c r="DR22" s="399">
        <v>0</v>
      </c>
      <c r="DS22" s="399"/>
      <c r="DT22" s="399"/>
      <c r="DU22" s="399"/>
      <c r="DV22" s="399">
        <v>219237.66213586825</v>
      </c>
      <c r="DW22" s="399">
        <v>0</v>
      </c>
      <c r="DX22" s="399">
        <v>0</v>
      </c>
      <c r="DY22" s="399">
        <v>-13798.659709999978</v>
      </c>
      <c r="DZ22" s="399">
        <v>3857.5477600000013</v>
      </c>
      <c r="EA22" s="399">
        <v>0</v>
      </c>
      <c r="EB22" s="399">
        <v>0</v>
      </c>
      <c r="EC22" s="399">
        <v>-9873.8571259490855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225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2359</v>
      </c>
      <c r="C23" s="399" t="s">
        <v>2357</v>
      </c>
      <c r="D23" s="399" t="s">
        <v>1826</v>
      </c>
      <c r="E23" s="399" t="s">
        <v>919</v>
      </c>
      <c r="F23" s="399" t="s">
        <v>1240</v>
      </c>
      <c r="G23" s="399" t="s">
        <v>1240</v>
      </c>
      <c r="H23" s="399" t="s">
        <v>1240</v>
      </c>
      <c r="I23" s="399" t="s">
        <v>1240</v>
      </c>
      <c r="J23" s="399" t="s">
        <v>2358</v>
      </c>
      <c r="K23" s="789">
        <v>44440</v>
      </c>
      <c r="L23" s="399">
        <v>0</v>
      </c>
      <c r="M23" s="399">
        <v>0</v>
      </c>
      <c r="N23" s="399">
        <v>-0.156</v>
      </c>
      <c r="O23" s="399">
        <v>-0.156</v>
      </c>
      <c r="P23" s="399">
        <v>-0.156</v>
      </c>
      <c r="Q23" s="399">
        <v>-0.156</v>
      </c>
      <c r="R23" s="399"/>
      <c r="S23" s="399">
        <v>522.37</v>
      </c>
      <c r="T23" s="399">
        <v>144.41999999999999</v>
      </c>
      <c r="U23" s="399"/>
      <c r="V23" s="399">
        <v>-104.01924</v>
      </c>
      <c r="W23" s="399">
        <v>-104.01924</v>
      </c>
      <c r="X23" s="399">
        <v>-101.67143999999999</v>
      </c>
      <c r="Y23" s="399">
        <v>0</v>
      </c>
      <c r="Z23" s="399">
        <v>-9.5785521678718872</v>
      </c>
      <c r="AA23" s="399">
        <v>0</v>
      </c>
      <c r="AB23" s="399">
        <v>0</v>
      </c>
      <c r="AC23" s="399">
        <v>0</v>
      </c>
      <c r="AD23" s="399">
        <v>-15.906329939863273</v>
      </c>
      <c r="AE23" s="399">
        <v>-51.777526070671755</v>
      </c>
      <c r="AF23" s="399">
        <v>-22.529804486355815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-1.4793098818639019</v>
      </c>
      <c r="AM23" s="399"/>
      <c r="AN23" s="399">
        <v>-0.22695740967268044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-2.5206985917847811</v>
      </c>
      <c r="BH23" s="399">
        <v>0</v>
      </c>
      <c r="BI23" s="399">
        <v>0</v>
      </c>
      <c r="BJ23" s="399">
        <v>0</v>
      </c>
      <c r="BK23" s="399">
        <v>-34.58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-25.050503078140597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-104.2784</v>
      </c>
      <c r="CJ23" s="399">
        <v>-0.28916000000002384</v>
      </c>
      <c r="CK23" s="399"/>
      <c r="CL23" s="399"/>
      <c r="CM23" s="399"/>
      <c r="CN23" s="399"/>
      <c r="CO23" s="399">
        <v>3.258839999999998</v>
      </c>
      <c r="CP23" s="399">
        <v>-0.91104000000000052</v>
      </c>
      <c r="CQ23" s="399">
        <v>30</v>
      </c>
      <c r="CR23" s="399">
        <v>1.4972685853123835E-2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-0.66570140726528138</v>
      </c>
      <c r="DA23" s="399">
        <v>0</v>
      </c>
      <c r="DB23" s="399">
        <v>0</v>
      </c>
      <c r="DC23" s="399">
        <v>-0.9110076141410417</v>
      </c>
      <c r="DD23" s="399">
        <v>0</v>
      </c>
      <c r="DE23" s="399">
        <v>0</v>
      </c>
      <c r="DF23" s="399">
        <v>0</v>
      </c>
      <c r="DG23" s="399">
        <v>-0.10192612241535359</v>
      </c>
      <c r="DH23" s="399">
        <v>0</v>
      </c>
      <c r="DI23" s="399">
        <v>1.4715636501965577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0.19465433942426924</v>
      </c>
      <c r="DP23" s="399">
        <v>2.738984005397016E-2</v>
      </c>
      <c r="DQ23" s="399">
        <v>0</v>
      </c>
      <c r="DR23" s="399">
        <v>0</v>
      </c>
      <c r="DS23" s="399"/>
      <c r="DT23" s="399"/>
      <c r="DU23" s="399"/>
      <c r="DV23" s="399">
        <v>-51.777526070671755</v>
      </c>
      <c r="DW23" s="399">
        <v>0</v>
      </c>
      <c r="DX23" s="399">
        <v>0</v>
      </c>
      <c r="DY23" s="399">
        <v>3.2588400000000064</v>
      </c>
      <c r="DZ23" s="399">
        <v>-0.91103999999999985</v>
      </c>
      <c r="EA23" s="399">
        <v>0</v>
      </c>
      <c r="EB23" s="399">
        <v>0</v>
      </c>
      <c r="EC23" s="399">
        <v>2.3319163768499109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225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2360</v>
      </c>
      <c r="C24" s="399" t="s">
        <v>2357</v>
      </c>
      <c r="D24" s="399" t="s">
        <v>1826</v>
      </c>
      <c r="E24" s="399" t="s">
        <v>919</v>
      </c>
      <c r="F24" s="399" t="s">
        <v>1240</v>
      </c>
      <c r="G24" s="399" t="s">
        <v>1240</v>
      </c>
      <c r="H24" s="399" t="s">
        <v>1240</v>
      </c>
      <c r="I24" s="399" t="s">
        <v>1240</v>
      </c>
      <c r="J24" s="399" t="s">
        <v>2358</v>
      </c>
      <c r="K24" s="789">
        <v>44440</v>
      </c>
      <c r="L24" s="399">
        <v>0</v>
      </c>
      <c r="M24" s="399">
        <v>0</v>
      </c>
      <c r="N24" s="399">
        <v>25.408000000000001</v>
      </c>
      <c r="O24" s="399">
        <v>25.408000000000001</v>
      </c>
      <c r="P24" s="399">
        <v>25.408000000000001</v>
      </c>
      <c r="Q24" s="399">
        <v>25.408000000000001</v>
      </c>
      <c r="R24" s="399"/>
      <c r="S24" s="399">
        <v>522.37</v>
      </c>
      <c r="T24" s="399">
        <v>144.41999999999999</v>
      </c>
      <c r="U24" s="399"/>
      <c r="V24" s="399">
        <v>16941.800320000002</v>
      </c>
      <c r="W24" s="399">
        <v>16941.800320000002</v>
      </c>
      <c r="X24" s="399">
        <v>16559.409920000002</v>
      </c>
      <c r="Y24" s="399">
        <v>0</v>
      </c>
      <c r="Z24" s="399">
        <v>1560.0759838544161</v>
      </c>
      <c r="AA24" s="399">
        <v>0</v>
      </c>
      <c r="AB24" s="399">
        <v>0</v>
      </c>
      <c r="AC24" s="399">
        <v>0</v>
      </c>
      <c r="AD24" s="399">
        <v>2590.6925071285004</v>
      </c>
      <c r="AE24" s="399">
        <v>8433.098605151461</v>
      </c>
      <c r="AF24" s="399">
        <v>3669.4696948033884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240.93785563075653</v>
      </c>
      <c r="AM24" s="399"/>
      <c r="AN24" s="399">
        <v>36.964960672842722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410.55070397479312</v>
      </c>
      <c r="BH24" s="399">
        <v>0</v>
      </c>
      <c r="BI24" s="399">
        <v>0.45</v>
      </c>
      <c r="BJ24" s="399">
        <v>2.1</v>
      </c>
      <c r="BK24" s="399">
        <v>9131.6200000000008</v>
      </c>
      <c r="BL24" s="399">
        <v>30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4080.0203987781815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16560.713400000001</v>
      </c>
      <c r="CJ24" s="399">
        <v>-381.11692000000039</v>
      </c>
      <c r="CK24" s="399"/>
      <c r="CL24" s="399"/>
      <c r="CM24" s="399"/>
      <c r="CN24" s="399"/>
      <c r="CO24" s="399">
        <v>-530.77311999999972</v>
      </c>
      <c r="CP24" s="399">
        <v>148.38272000000009</v>
      </c>
      <c r="CQ24" s="399">
        <v>30</v>
      </c>
      <c r="CR24" s="399">
        <v>-2.4386282189479971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108.42398304997641</v>
      </c>
      <c r="DA24" s="399">
        <v>0</v>
      </c>
      <c r="DB24" s="399">
        <v>0</v>
      </c>
      <c r="DC24" s="399">
        <v>148.37744525702328</v>
      </c>
      <c r="DD24" s="399">
        <v>0</v>
      </c>
      <c r="DE24" s="399">
        <v>0</v>
      </c>
      <c r="DF24" s="399">
        <v>0</v>
      </c>
      <c r="DG24" s="399">
        <v>16.600890502110929</v>
      </c>
      <c r="DH24" s="399">
        <v>0</v>
      </c>
      <c r="DI24" s="399">
        <v>-239.67621297560322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-31.703701641614316</v>
      </c>
      <c r="DP24" s="399">
        <v>-4.4610324108414972</v>
      </c>
      <c r="DQ24" s="399">
        <v>0</v>
      </c>
      <c r="DR24" s="399">
        <v>0</v>
      </c>
      <c r="DS24" s="399"/>
      <c r="DT24" s="399"/>
      <c r="DU24" s="399"/>
      <c r="DV24" s="399">
        <v>8433.098605151461</v>
      </c>
      <c r="DW24" s="399">
        <v>0</v>
      </c>
      <c r="DX24" s="399">
        <v>0</v>
      </c>
      <c r="DY24" s="399">
        <v>-530.77311999999984</v>
      </c>
      <c r="DZ24" s="399">
        <v>148.38272000000006</v>
      </c>
      <c r="EA24" s="399">
        <v>0</v>
      </c>
      <c r="EB24" s="399">
        <v>0</v>
      </c>
      <c r="EC24" s="399">
        <v>-379.80340578847699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225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957</v>
      </c>
      <c r="C25" s="399" t="s">
        <v>2366</v>
      </c>
      <c r="D25" s="399" t="s">
        <v>534</v>
      </c>
      <c r="E25" s="399" t="s">
        <v>919</v>
      </c>
      <c r="F25" s="399" t="s">
        <v>1240</v>
      </c>
      <c r="G25" s="399" t="s">
        <v>1240</v>
      </c>
      <c r="H25" s="399" t="s">
        <v>1240</v>
      </c>
      <c r="I25" s="399" t="s">
        <v>894</v>
      </c>
      <c r="J25" s="399" t="s">
        <v>2358</v>
      </c>
      <c r="K25" s="789">
        <v>44440</v>
      </c>
      <c r="L25" s="399">
        <v>0</v>
      </c>
      <c r="M25" s="399">
        <v>0</v>
      </c>
      <c r="N25" s="399">
        <v>6.7729999999999997</v>
      </c>
      <c r="O25" s="399">
        <v>6.7729999999999997</v>
      </c>
      <c r="P25" s="399">
        <v>6.7729999999999997</v>
      </c>
      <c r="Q25" s="399">
        <v>6.7729999999999997</v>
      </c>
      <c r="R25" s="399"/>
      <c r="S25" s="399">
        <v>2740.31</v>
      </c>
      <c r="T25" s="399">
        <v>144.41999999999999</v>
      </c>
      <c r="U25" s="399"/>
      <c r="V25" s="399">
        <v>19538.276289999998</v>
      </c>
      <c r="W25" s="399">
        <v>19538.276289999998</v>
      </c>
      <c r="X25" s="399">
        <v>19143.342659999998</v>
      </c>
      <c r="Y25" s="399">
        <v>0</v>
      </c>
      <c r="Z25" s="399">
        <v>361.8058617609409</v>
      </c>
      <c r="AA25" s="399">
        <v>0</v>
      </c>
      <c r="AB25" s="399">
        <v>0</v>
      </c>
      <c r="AC25" s="399">
        <v>0</v>
      </c>
      <c r="AD25" s="399">
        <v>5097.7852341243415</v>
      </c>
      <c r="AE25" s="399">
        <v>12990.665244488131</v>
      </c>
      <c r="AF25" s="399">
        <v>978.16901144928158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64.226704037591063</v>
      </c>
      <c r="AM25" s="399"/>
      <c r="AN25" s="399">
        <v>3.3708218829678116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42.254054023589525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1020.4230654728711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19134.863399999998</v>
      </c>
      <c r="CJ25" s="399">
        <v>-403.4428899999948</v>
      </c>
      <c r="CK25" s="399"/>
      <c r="CL25" s="399"/>
      <c r="CM25" s="399"/>
      <c r="CN25" s="399"/>
      <c r="CO25" s="399">
        <v>-434.48795000000058</v>
      </c>
      <c r="CP25" s="399">
        <v>39.554320000000018</v>
      </c>
      <c r="CQ25" s="399">
        <v>30</v>
      </c>
      <c r="CR25" s="399">
        <v>190.16800643204078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213.34920230640546</v>
      </c>
      <c r="DA25" s="399">
        <v>0</v>
      </c>
      <c r="DB25" s="399">
        <v>0</v>
      </c>
      <c r="DC25" s="399">
        <v>39.5529139139569</v>
      </c>
      <c r="DD25" s="399">
        <v>0</v>
      </c>
      <c r="DE25" s="399">
        <v>0</v>
      </c>
      <c r="DF25" s="399">
        <v>0</v>
      </c>
      <c r="DG25" s="399">
        <v>1.7085707497871709</v>
      </c>
      <c r="DH25" s="399">
        <v>0</v>
      </c>
      <c r="DI25" s="399">
        <v>-55.584637977049226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-8.4512425700036857</v>
      </c>
      <c r="DP25" s="399">
        <v>-0.40679999105588394</v>
      </c>
      <c r="DQ25" s="399">
        <v>0</v>
      </c>
      <c r="DR25" s="399">
        <v>0</v>
      </c>
      <c r="DS25" s="399"/>
      <c r="DT25" s="399"/>
      <c r="DU25" s="399"/>
      <c r="DV25" s="399">
        <v>12990.665244488131</v>
      </c>
      <c r="DW25" s="399">
        <v>0</v>
      </c>
      <c r="DX25" s="399">
        <v>0</v>
      </c>
      <c r="DY25" s="399">
        <v>-434.48794999999882</v>
      </c>
      <c r="DZ25" s="399">
        <v>39.554319999999962</v>
      </c>
      <c r="EA25" s="399">
        <v>0</v>
      </c>
      <c r="EB25" s="399">
        <v>0</v>
      </c>
      <c r="EC25" s="399">
        <v>-585.06358508614903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225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957</v>
      </c>
      <c r="C26" s="399" t="s">
        <v>2366</v>
      </c>
      <c r="D26" s="399" t="s">
        <v>534</v>
      </c>
      <c r="E26" s="399" t="s">
        <v>919</v>
      </c>
      <c r="F26" s="399" t="s">
        <v>1240</v>
      </c>
      <c r="G26" s="399" t="s">
        <v>1240</v>
      </c>
      <c r="H26" s="399" t="s">
        <v>1240</v>
      </c>
      <c r="I26" s="399" t="s">
        <v>2328</v>
      </c>
      <c r="J26" s="399" t="s">
        <v>2358</v>
      </c>
      <c r="K26" s="789">
        <v>44440</v>
      </c>
      <c r="L26" s="399">
        <v>0</v>
      </c>
      <c r="M26" s="399">
        <v>0</v>
      </c>
      <c r="N26" s="399">
        <v>376.36799999999999</v>
      </c>
      <c r="O26" s="399">
        <v>376.36799999999999</v>
      </c>
      <c r="P26" s="399">
        <v>376.36799999999999</v>
      </c>
      <c r="Q26" s="399">
        <v>376.36799999999999</v>
      </c>
      <c r="R26" s="399"/>
      <c r="S26" s="399">
        <v>69.64</v>
      </c>
      <c r="T26" s="399">
        <v>144.41999999999999</v>
      </c>
      <c r="U26" s="399"/>
      <c r="V26" s="399">
        <v>80565.334080000001</v>
      </c>
      <c r="W26" s="399">
        <v>80565.334080000001</v>
      </c>
      <c r="X26" s="399">
        <v>79278.15552</v>
      </c>
      <c r="Y26" s="399">
        <v>0</v>
      </c>
      <c r="Z26" s="399">
        <v>20105.145220617422</v>
      </c>
      <c r="AA26" s="399">
        <v>0</v>
      </c>
      <c r="AB26" s="399">
        <v>0</v>
      </c>
      <c r="AC26" s="399">
        <v>0</v>
      </c>
      <c r="AD26" s="399">
        <v>0</v>
      </c>
      <c r="AE26" s="399">
        <v>0</v>
      </c>
      <c r="AF26" s="399">
        <v>54355.752916158752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3569.0057795984167</v>
      </c>
      <c r="AM26" s="399"/>
      <c r="AN26" s="399">
        <v>187.31278465212304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2348.0103063266415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56703.763222485395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79278.576799999995</v>
      </c>
      <c r="CJ26" s="399">
        <v>-1286.7872799999896</v>
      </c>
      <c r="CK26" s="399"/>
      <c r="CL26" s="399"/>
      <c r="CM26" s="399"/>
      <c r="CN26" s="399"/>
      <c r="CO26" s="399">
        <v>-3485.1676799999991</v>
      </c>
      <c r="CP26" s="399">
        <v>2197.9891200000011</v>
      </c>
      <c r="CQ26" s="399">
        <v>30</v>
      </c>
      <c r="CR26" s="399">
        <v>-1288.1530088354921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0</v>
      </c>
      <c r="DA26" s="399">
        <v>0</v>
      </c>
      <c r="DB26" s="399">
        <v>0</v>
      </c>
      <c r="DC26" s="399">
        <v>2197.9109853784394</v>
      </c>
      <c r="DD26" s="399">
        <v>0</v>
      </c>
      <c r="DE26" s="399">
        <v>0</v>
      </c>
      <c r="DF26" s="399">
        <v>0</v>
      </c>
      <c r="DG26" s="399">
        <v>94.943356851601493</v>
      </c>
      <c r="DH26" s="399">
        <v>0</v>
      </c>
      <c r="DI26" s="399">
        <v>-3088.7758786573213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-469.62605397713696</v>
      </c>
      <c r="DP26" s="399">
        <v>-22.60541843108237</v>
      </c>
      <c r="DQ26" s="399">
        <v>0</v>
      </c>
      <c r="DR26" s="399">
        <v>0</v>
      </c>
      <c r="DS26" s="399"/>
      <c r="DT26" s="399"/>
      <c r="DU26" s="399"/>
      <c r="DV26" s="399">
        <v>0</v>
      </c>
      <c r="DW26" s="399">
        <v>0</v>
      </c>
      <c r="DX26" s="399">
        <v>0</v>
      </c>
      <c r="DY26" s="399">
        <v>-3485.1676800000023</v>
      </c>
      <c r="DZ26" s="399">
        <v>2197.9891200000056</v>
      </c>
      <c r="EA26" s="399">
        <v>0</v>
      </c>
      <c r="EB26" s="399">
        <v>0</v>
      </c>
      <c r="EC26" s="399">
        <v>0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225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957</v>
      </c>
      <c r="C27" s="399" t="s">
        <v>2366</v>
      </c>
      <c r="D27" s="399" t="s">
        <v>534</v>
      </c>
      <c r="E27" s="399" t="s">
        <v>919</v>
      </c>
      <c r="F27" s="399" t="s">
        <v>1240</v>
      </c>
      <c r="G27" s="399" t="s">
        <v>1240</v>
      </c>
      <c r="H27" s="399" t="s">
        <v>1240</v>
      </c>
      <c r="I27" s="399" t="s">
        <v>1240</v>
      </c>
      <c r="J27" s="399" t="s">
        <v>2358</v>
      </c>
      <c r="K27" s="789">
        <v>44440</v>
      </c>
      <c r="L27" s="399">
        <v>1808</v>
      </c>
      <c r="M27" s="399">
        <v>1808</v>
      </c>
      <c r="N27" s="399">
        <v>0</v>
      </c>
      <c r="O27" s="399">
        <v>0</v>
      </c>
      <c r="P27" s="399">
        <v>0</v>
      </c>
      <c r="Q27" s="399">
        <v>0</v>
      </c>
      <c r="R27" s="399">
        <v>34.950000000000003</v>
      </c>
      <c r="S27" s="399"/>
      <c r="T27" s="399"/>
      <c r="U27" s="399">
        <v>63189.600000000006</v>
      </c>
      <c r="V27" s="399"/>
      <c r="W27" s="399">
        <v>63189.600000000006</v>
      </c>
      <c r="X27" s="399">
        <v>62339.839999999997</v>
      </c>
      <c r="Y27" s="399">
        <v>0</v>
      </c>
      <c r="Z27" s="399">
        <v>0</v>
      </c>
      <c r="AA27" s="399">
        <v>0</v>
      </c>
      <c r="AB27" s="399">
        <v>0</v>
      </c>
      <c r="AC27" s="399">
        <v>0</v>
      </c>
      <c r="AD27" s="399">
        <v>22906.961356678094</v>
      </c>
      <c r="AE27" s="399">
        <v>40290.932850608689</v>
      </c>
      <c r="AF27" s="399"/>
      <c r="AG27" s="399"/>
      <c r="AH27" s="399"/>
      <c r="AI27" s="399">
        <v>0</v>
      </c>
      <c r="AJ27" s="399">
        <v>0</v>
      </c>
      <c r="AK27" s="399">
        <v>0</v>
      </c>
      <c r="AL27" s="399">
        <v>0</v>
      </c>
      <c r="AM27" s="399"/>
      <c r="AN27" s="399">
        <v>0</v>
      </c>
      <c r="AO27" s="399">
        <v>0</v>
      </c>
      <c r="AP27" s="399">
        <v>0</v>
      </c>
      <c r="AQ27" s="399">
        <v>0</v>
      </c>
      <c r="AR27" s="399">
        <v>0</v>
      </c>
      <c r="AS27" s="399"/>
      <c r="AT27" s="399"/>
      <c r="AU27" s="399">
        <v>0</v>
      </c>
      <c r="AV27" s="399">
        <v>0</v>
      </c>
      <c r="AW27" s="399">
        <v>0</v>
      </c>
      <c r="AX27" s="399"/>
      <c r="AY27" s="399"/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/>
      <c r="BG27" s="399">
        <v>0</v>
      </c>
      <c r="BH27" s="399">
        <v>0</v>
      </c>
      <c r="BI27" s="399">
        <v>0</v>
      </c>
      <c r="BJ27" s="399">
        <v>0</v>
      </c>
      <c r="BK27" s="399">
        <v>53893.24</v>
      </c>
      <c r="BL27" s="399">
        <v>15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0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62339.839999999997</v>
      </c>
      <c r="CJ27" s="399">
        <v>-849.79000000001543</v>
      </c>
      <c r="CK27" s="399"/>
      <c r="CL27" s="399"/>
      <c r="CM27" s="399"/>
      <c r="CN27" s="399"/>
      <c r="CO27" s="399">
        <v>-849.76000000001079</v>
      </c>
      <c r="CP27" s="399">
        <v>0</v>
      </c>
      <c r="CQ27" s="399">
        <v>30</v>
      </c>
      <c r="CR27" s="399">
        <v>958.68729423830518</v>
      </c>
      <c r="CS27" s="399">
        <v>0</v>
      </c>
      <c r="CT27" s="399">
        <v>0</v>
      </c>
      <c r="CU27" s="399">
        <v>0</v>
      </c>
      <c r="CV27" s="399">
        <v>0</v>
      </c>
      <c r="CW27" s="399"/>
      <c r="CX27" s="399"/>
      <c r="CY27" s="399"/>
      <c r="CZ27" s="399">
        <v>958.68729423830518</v>
      </c>
      <c r="DA27" s="399">
        <v>0</v>
      </c>
      <c r="DB27" s="399">
        <v>0</v>
      </c>
      <c r="DC27" s="399"/>
      <c r="DD27" s="399"/>
      <c r="DE27" s="399">
        <v>0</v>
      </c>
      <c r="DF27" s="399">
        <v>0</v>
      </c>
      <c r="DG27" s="399">
        <v>0</v>
      </c>
      <c r="DH27" s="399">
        <v>0</v>
      </c>
      <c r="DI27" s="399">
        <v>0</v>
      </c>
      <c r="DJ27" s="399"/>
      <c r="DK27" s="399">
        <v>0</v>
      </c>
      <c r="DL27" s="399">
        <v>0</v>
      </c>
      <c r="DM27" s="399"/>
      <c r="DN27" s="399">
        <v>0</v>
      </c>
      <c r="DO27" s="399">
        <v>0</v>
      </c>
      <c r="DP27" s="399">
        <v>0</v>
      </c>
      <c r="DQ27" s="399">
        <v>0</v>
      </c>
      <c r="DR27" s="399">
        <v>0</v>
      </c>
      <c r="DS27" s="399"/>
      <c r="DT27" s="399"/>
      <c r="DU27" s="399">
        <v>40290.932850608689</v>
      </c>
      <c r="DV27" s="399"/>
      <c r="DW27" s="399">
        <v>0</v>
      </c>
      <c r="DX27" s="399">
        <v>0</v>
      </c>
      <c r="DY27" s="399">
        <v>-849.76000000000931</v>
      </c>
      <c r="DZ27" s="399"/>
      <c r="EA27" s="399">
        <v>0</v>
      </c>
      <c r="EB27" s="399"/>
      <c r="EC27" s="399">
        <v>-1814.5920302304585</v>
      </c>
      <c r="ED27" s="399"/>
      <c r="EE27" s="399">
        <v>0</v>
      </c>
      <c r="EF27" s="399">
        <v>0</v>
      </c>
      <c r="EG27" s="399"/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/>
      <c r="EN27" s="399"/>
      <c r="EO27" s="399">
        <v>0</v>
      </c>
      <c r="EP27" s="399">
        <v>0</v>
      </c>
      <c r="EQ27" s="399"/>
      <c r="ER27" s="399">
        <v>0</v>
      </c>
      <c r="ES27" s="399"/>
      <c r="ET27" s="399">
        <v>0</v>
      </c>
      <c r="EU27" s="399"/>
      <c r="EV27" s="399">
        <v>225</v>
      </c>
      <c r="EW27" s="399"/>
      <c r="EX27" s="399"/>
      <c r="EY27" s="399"/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957</v>
      </c>
      <c r="C28" s="399" t="s">
        <v>2367</v>
      </c>
      <c r="D28" s="399" t="s">
        <v>1826</v>
      </c>
      <c r="E28" s="399" t="s">
        <v>919</v>
      </c>
      <c r="F28" s="399" t="s">
        <v>1240</v>
      </c>
      <c r="G28" s="399" t="s">
        <v>1240</v>
      </c>
      <c r="H28" s="399" t="s">
        <v>1240</v>
      </c>
      <c r="I28" s="399" t="s">
        <v>894</v>
      </c>
      <c r="J28" s="399" t="s">
        <v>2358</v>
      </c>
      <c r="K28" s="789">
        <v>44440</v>
      </c>
      <c r="L28" s="399">
        <v>0</v>
      </c>
      <c r="M28" s="399">
        <v>0</v>
      </c>
      <c r="N28" s="399">
        <v>7.2999999999999995E-2</v>
      </c>
      <c r="O28" s="399">
        <v>7.2999999999999995E-2</v>
      </c>
      <c r="P28" s="399">
        <v>7.2999999999999995E-2</v>
      </c>
      <c r="Q28" s="399">
        <v>7.2999999999999995E-2</v>
      </c>
      <c r="R28" s="399"/>
      <c r="S28" s="399">
        <v>1585.55</v>
      </c>
      <c r="T28" s="399">
        <v>144.41999999999999</v>
      </c>
      <c r="U28" s="399"/>
      <c r="V28" s="399">
        <v>126.28780999999999</v>
      </c>
      <c r="W28" s="399">
        <v>126.28780999999999</v>
      </c>
      <c r="X28" s="399">
        <v>123.28021</v>
      </c>
      <c r="Y28" s="399">
        <v>0</v>
      </c>
      <c r="Z28" s="399">
        <v>4.4822712067605623</v>
      </c>
      <c r="AA28" s="399">
        <v>0</v>
      </c>
      <c r="AB28" s="399">
        <v>0</v>
      </c>
      <c r="AC28" s="399">
        <v>0</v>
      </c>
      <c r="AD28" s="399">
        <v>25.694263675950356</v>
      </c>
      <c r="AE28" s="399">
        <v>83.590775411001601</v>
      </c>
      <c r="AF28" s="399">
        <v>10.542793125025476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0.69224116266708224</v>
      </c>
      <c r="AM28" s="399"/>
      <c r="AN28" s="399">
        <v>0.10620442888529276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1.1795576743608269</v>
      </c>
      <c r="BH28" s="399">
        <v>0</v>
      </c>
      <c r="BI28" s="399">
        <v>0</v>
      </c>
      <c r="BJ28" s="399">
        <v>0</v>
      </c>
      <c r="BK28" s="399">
        <v>0</v>
      </c>
      <c r="BL28" s="399">
        <v>0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11.722350799386303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118.21390000000002</v>
      </c>
      <c r="CJ28" s="399">
        <v>-8.1039099999999848</v>
      </c>
      <c r="CK28" s="399"/>
      <c r="CL28" s="399"/>
      <c r="CM28" s="399"/>
      <c r="CN28" s="399"/>
      <c r="CO28" s="399">
        <v>-3.433919999999997</v>
      </c>
      <c r="CP28" s="399">
        <v>0.4263200000000002</v>
      </c>
      <c r="CQ28" s="399">
        <v>30</v>
      </c>
      <c r="CR28" s="399">
        <v>0.75681909445226125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1.0753396636679149</v>
      </c>
      <c r="DA28" s="399">
        <v>0</v>
      </c>
      <c r="DB28" s="399">
        <v>0</v>
      </c>
      <c r="DC28" s="399">
        <v>0.42630484507882294</v>
      </c>
      <c r="DD28" s="399">
        <v>0</v>
      </c>
      <c r="DE28" s="399">
        <v>0</v>
      </c>
      <c r="DF28" s="399">
        <v>0</v>
      </c>
      <c r="DG28" s="399">
        <v>4.7696198309748805E-2</v>
      </c>
      <c r="DH28" s="399">
        <v>0</v>
      </c>
      <c r="DI28" s="399">
        <v>-0.68861632348941448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-9.108824857674136E-2</v>
      </c>
      <c r="DP28" s="399">
        <v>-1.281704053807578E-2</v>
      </c>
      <c r="DQ28" s="399">
        <v>0</v>
      </c>
      <c r="DR28" s="399">
        <v>0</v>
      </c>
      <c r="DS28" s="399"/>
      <c r="DT28" s="399"/>
      <c r="DU28" s="399"/>
      <c r="DV28" s="399">
        <v>83.590775411001601</v>
      </c>
      <c r="DW28" s="399">
        <v>0</v>
      </c>
      <c r="DX28" s="399">
        <v>0</v>
      </c>
      <c r="DY28" s="399">
        <v>-3.4339200000000005</v>
      </c>
      <c r="DZ28" s="399">
        <v>0.42632000000000048</v>
      </c>
      <c r="EA28" s="399">
        <v>0</v>
      </c>
      <c r="EB28" s="399">
        <v>0</v>
      </c>
      <c r="EC28" s="399">
        <v>-3.7646970206427994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225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957</v>
      </c>
      <c r="C29" s="399" t="s">
        <v>2367</v>
      </c>
      <c r="D29" s="399" t="s">
        <v>1826</v>
      </c>
      <c r="E29" s="399" t="s">
        <v>919</v>
      </c>
      <c r="F29" s="399" t="s">
        <v>1240</v>
      </c>
      <c r="G29" s="399" t="s">
        <v>1240</v>
      </c>
      <c r="H29" s="399" t="s">
        <v>1240</v>
      </c>
      <c r="I29" s="399" t="s">
        <v>2328</v>
      </c>
      <c r="J29" s="399" t="s">
        <v>2358</v>
      </c>
      <c r="K29" s="789">
        <v>44440</v>
      </c>
      <c r="L29" s="399">
        <v>0</v>
      </c>
      <c r="M29" s="399">
        <v>0</v>
      </c>
      <c r="N29" s="399">
        <v>7.0810000000000004</v>
      </c>
      <c r="O29" s="399">
        <v>7.0810000000000004</v>
      </c>
      <c r="P29" s="399">
        <v>7.0810000000000004</v>
      </c>
      <c r="Q29" s="399">
        <v>7.0810000000000004</v>
      </c>
      <c r="R29" s="399"/>
      <c r="S29" s="399">
        <v>387.88</v>
      </c>
      <c r="T29" s="399">
        <v>144.41999999999999</v>
      </c>
      <c r="U29" s="399"/>
      <c r="V29" s="399">
        <v>3769.2163</v>
      </c>
      <c r="W29" s="399">
        <v>3769.2163</v>
      </c>
      <c r="X29" s="399">
        <v>3686.1561700000002</v>
      </c>
      <c r="Y29" s="399">
        <v>0</v>
      </c>
      <c r="Z29" s="399">
        <v>434.78030705577459</v>
      </c>
      <c r="AA29" s="399">
        <v>0</v>
      </c>
      <c r="AB29" s="399">
        <v>0</v>
      </c>
      <c r="AC29" s="399">
        <v>0</v>
      </c>
      <c r="AD29" s="399">
        <v>498.25452701669957</v>
      </c>
      <c r="AE29" s="399">
        <v>1621.6613292153434</v>
      </c>
      <c r="AF29" s="399">
        <v>1022.6509331274714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67.147392778706987</v>
      </c>
      <c r="AM29" s="399"/>
      <c r="AN29" s="399">
        <v>10.301829601873399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114.41709441300023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1137.0680275404716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3685.6356000000001</v>
      </c>
      <c r="CJ29" s="399">
        <v>-83.610700000000634</v>
      </c>
      <c r="CK29" s="399"/>
      <c r="CL29" s="399"/>
      <c r="CM29" s="399"/>
      <c r="CN29" s="399"/>
      <c r="CO29" s="399">
        <v>-124.41316999999997</v>
      </c>
      <c r="CP29" s="399">
        <v>41.353040000000028</v>
      </c>
      <c r="CQ29" s="399">
        <v>30</v>
      </c>
      <c r="CR29" s="399">
        <v>-10.043869808480849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20.852625405438459</v>
      </c>
      <c r="DA29" s="399">
        <v>0</v>
      </c>
      <c r="DB29" s="399">
        <v>0</v>
      </c>
      <c r="DC29" s="399">
        <v>41.351569972645734</v>
      </c>
      <c r="DD29" s="399">
        <v>0</v>
      </c>
      <c r="DE29" s="399">
        <v>0</v>
      </c>
      <c r="DF29" s="399">
        <v>0</v>
      </c>
      <c r="DG29" s="399">
        <v>4.6265312360456363</v>
      </c>
      <c r="DH29" s="399">
        <v>0</v>
      </c>
      <c r="DI29" s="399">
        <v>-66.795783378473175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-8.8355601119439129</v>
      </c>
      <c r="DP29" s="399">
        <v>-1.2432529321933501</v>
      </c>
      <c r="DQ29" s="399">
        <v>0</v>
      </c>
      <c r="DR29" s="399">
        <v>0</v>
      </c>
      <c r="DS29" s="399"/>
      <c r="DT29" s="399"/>
      <c r="DU29" s="399"/>
      <c r="DV29" s="399">
        <v>1621.6613292153434</v>
      </c>
      <c r="DW29" s="399">
        <v>0</v>
      </c>
      <c r="DX29" s="399">
        <v>0</v>
      </c>
      <c r="DY29" s="399">
        <v>-124.41316999999981</v>
      </c>
      <c r="DZ29" s="399">
        <v>41.353040000000078</v>
      </c>
      <c r="EA29" s="399">
        <v>0</v>
      </c>
      <c r="EB29" s="399">
        <v>0</v>
      </c>
      <c r="EC29" s="399">
        <v>-73.035135092011615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225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957</v>
      </c>
      <c r="C30" s="399" t="s">
        <v>2367</v>
      </c>
      <c r="D30" s="399" t="s">
        <v>1826</v>
      </c>
      <c r="E30" s="399" t="s">
        <v>919</v>
      </c>
      <c r="F30" s="399" t="s">
        <v>1240</v>
      </c>
      <c r="G30" s="399" t="s">
        <v>1240</v>
      </c>
      <c r="H30" s="399" t="s">
        <v>1240</v>
      </c>
      <c r="I30" s="399" t="s">
        <v>1240</v>
      </c>
      <c r="J30" s="399" t="s">
        <v>2358</v>
      </c>
      <c r="K30" s="789">
        <v>44440</v>
      </c>
      <c r="L30" s="399">
        <v>0</v>
      </c>
      <c r="M30" s="399">
        <v>0</v>
      </c>
      <c r="N30" s="399">
        <v>0</v>
      </c>
      <c r="O30" s="399">
        <v>0</v>
      </c>
      <c r="P30" s="399">
        <v>0</v>
      </c>
      <c r="Q30" s="399">
        <v>0</v>
      </c>
      <c r="R30" s="399"/>
      <c r="S30" s="399"/>
      <c r="T30" s="399"/>
      <c r="U30" s="399"/>
      <c r="V30" s="399"/>
      <c r="W30" s="399"/>
      <c r="X30" s="399"/>
      <c r="Y30" s="399"/>
      <c r="Z30" s="399"/>
      <c r="AA30" s="399">
        <v>0</v>
      </c>
      <c r="AB30" s="399"/>
      <c r="AC30" s="399"/>
      <c r="AD30" s="399"/>
      <c r="AE30" s="399"/>
      <c r="AF30" s="399"/>
      <c r="AG30" s="399"/>
      <c r="AH30" s="399"/>
      <c r="AI30" s="399"/>
      <c r="AJ30" s="399"/>
      <c r="AK30" s="399"/>
      <c r="AL30" s="399"/>
      <c r="AM30" s="399"/>
      <c r="AN30" s="399"/>
      <c r="AO30" s="399"/>
      <c r="AP30" s="399"/>
      <c r="AQ30" s="399"/>
      <c r="AR30" s="399"/>
      <c r="AS30" s="399"/>
      <c r="AT30" s="399"/>
      <c r="AU30" s="399"/>
      <c r="AV30" s="399"/>
      <c r="AW30" s="399"/>
      <c r="AX30" s="399"/>
      <c r="AY30" s="399"/>
      <c r="AZ30" s="399">
        <v>0</v>
      </c>
      <c r="BA30" s="399"/>
      <c r="BB30" s="399"/>
      <c r="BC30" s="399"/>
      <c r="BD30" s="399"/>
      <c r="BE30" s="399"/>
      <c r="BF30" s="399"/>
      <c r="BG30" s="399"/>
      <c r="BH30" s="399"/>
      <c r="BI30" s="399">
        <v>0</v>
      </c>
      <c r="BJ30" s="399">
        <v>0</v>
      </c>
      <c r="BK30" s="399">
        <v>1389.37</v>
      </c>
      <c r="BL30" s="399">
        <v>4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/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/>
      <c r="CJ30" s="399">
        <v>-0.03</v>
      </c>
      <c r="CK30" s="399"/>
      <c r="CL30" s="399"/>
      <c r="CM30" s="399"/>
      <c r="CN30" s="399"/>
      <c r="CO30" s="399">
        <v>0</v>
      </c>
      <c r="CP30" s="399">
        <v>0</v>
      </c>
      <c r="CQ30" s="399">
        <v>30</v>
      </c>
      <c r="CR30" s="399"/>
      <c r="CS30" s="399"/>
      <c r="CT30" s="399"/>
      <c r="CU30" s="399"/>
      <c r="CV30" s="399"/>
      <c r="CW30" s="399"/>
      <c r="CX30" s="399"/>
      <c r="CY30" s="399"/>
      <c r="CZ30" s="399"/>
      <c r="DA30" s="399"/>
      <c r="DB30" s="399"/>
      <c r="DC30" s="399"/>
      <c r="DD30" s="399"/>
      <c r="DE30" s="399"/>
      <c r="DF30" s="399"/>
      <c r="DG30" s="399"/>
      <c r="DH30" s="399"/>
      <c r="DI30" s="399"/>
      <c r="DJ30" s="399"/>
      <c r="DK30" s="399">
        <v>0</v>
      </c>
      <c r="DL30" s="399"/>
      <c r="DM30" s="399"/>
      <c r="DN30" s="399"/>
      <c r="DO30" s="399"/>
      <c r="DP30" s="399"/>
      <c r="DQ30" s="399"/>
      <c r="DR30" s="399"/>
      <c r="DS30" s="399"/>
      <c r="DT30" s="399"/>
      <c r="DU30" s="399"/>
      <c r="DV30" s="399"/>
      <c r="DW30" s="399"/>
      <c r="DX30" s="399"/>
      <c r="DY30" s="399"/>
      <c r="DZ30" s="399"/>
      <c r="EA30" s="399"/>
      <c r="EB30" s="399"/>
      <c r="EC30" s="399"/>
      <c r="ED30" s="399"/>
      <c r="EE30" s="399"/>
      <c r="EF30" s="399"/>
      <c r="EG30" s="399"/>
      <c r="EH30" s="399"/>
      <c r="EI30" s="399"/>
      <c r="EJ30" s="399"/>
      <c r="EK30" s="399"/>
      <c r="EL30" s="399"/>
      <c r="EM30" s="399"/>
      <c r="EN30" s="399"/>
      <c r="EO30" s="399"/>
      <c r="EP30" s="399"/>
      <c r="EQ30" s="399"/>
      <c r="ER30" s="399"/>
      <c r="ES30" s="399"/>
      <c r="ET30" s="399"/>
      <c r="EU30" s="399"/>
      <c r="EV30" s="399">
        <v>225</v>
      </c>
      <c r="EW30" s="399"/>
      <c r="EX30" s="399"/>
      <c r="EY30" s="399"/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957</v>
      </c>
      <c r="C31" s="399" t="s">
        <v>2367</v>
      </c>
      <c r="D31" s="399" t="s">
        <v>1826</v>
      </c>
      <c r="E31" s="399" t="s">
        <v>919</v>
      </c>
      <c r="F31" s="399" t="s">
        <v>1240</v>
      </c>
      <c r="G31" s="399" t="s">
        <v>1240</v>
      </c>
      <c r="H31" s="399" t="s">
        <v>1240</v>
      </c>
      <c r="I31" s="399" t="s">
        <v>2368</v>
      </c>
      <c r="J31" s="399" t="s">
        <v>2358</v>
      </c>
      <c r="K31" s="789">
        <v>44440</v>
      </c>
      <c r="L31" s="399">
        <v>0</v>
      </c>
      <c r="M31" s="399">
        <v>0</v>
      </c>
      <c r="N31" s="399">
        <v>0.08</v>
      </c>
      <c r="O31" s="399">
        <v>0.08</v>
      </c>
      <c r="P31" s="399">
        <v>0.08</v>
      </c>
      <c r="Q31" s="399">
        <v>0.08</v>
      </c>
      <c r="R31" s="399"/>
      <c r="S31" s="399">
        <v>986.74</v>
      </c>
      <c r="T31" s="399">
        <v>144.41999999999999</v>
      </c>
      <c r="U31" s="399"/>
      <c r="V31" s="399">
        <v>90.492800000000003</v>
      </c>
      <c r="W31" s="399">
        <v>90.492800000000003</v>
      </c>
      <c r="X31" s="399">
        <v>88.375199999999992</v>
      </c>
      <c r="Y31" s="399">
        <v>0</v>
      </c>
      <c r="Z31" s="399">
        <v>4.9120780348060959</v>
      </c>
      <c r="AA31" s="399">
        <v>0</v>
      </c>
      <c r="AB31" s="399">
        <v>0</v>
      </c>
      <c r="AC31" s="399">
        <v>0</v>
      </c>
      <c r="AD31" s="399">
        <v>16.89566492912552</v>
      </c>
      <c r="AE31" s="399">
        <v>54.963807232267037</v>
      </c>
      <c r="AF31" s="399">
        <v>11.553745890438879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0.75862045223789831</v>
      </c>
      <c r="AM31" s="399"/>
      <c r="AN31" s="399">
        <v>0.1163884152167592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1.2926659445050159</v>
      </c>
      <c r="BH31" s="399">
        <v>0</v>
      </c>
      <c r="BI31" s="399">
        <v>0</v>
      </c>
      <c r="BJ31" s="399">
        <v>0</v>
      </c>
      <c r="BK31" s="399">
        <v>0</v>
      </c>
      <c r="BL31" s="399">
        <v>0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12.846411834943895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88.375199999999992</v>
      </c>
      <c r="CJ31" s="399">
        <v>-2.1476000000000255</v>
      </c>
      <c r="CK31" s="399"/>
      <c r="CL31" s="399"/>
      <c r="CM31" s="399"/>
      <c r="CN31" s="399"/>
      <c r="CO31" s="399">
        <v>-2.5848000000000049</v>
      </c>
      <c r="CP31" s="399">
        <v>0.46720000000000028</v>
      </c>
      <c r="CQ31" s="399">
        <v>30</v>
      </c>
      <c r="CR31" s="399">
        <v>0.35804277627218539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0.7071064137688019</v>
      </c>
      <c r="DA31" s="399">
        <v>0</v>
      </c>
      <c r="DB31" s="399">
        <v>0</v>
      </c>
      <c r="DC31" s="399">
        <v>0.46718339186720215</v>
      </c>
      <c r="DD31" s="399">
        <v>0</v>
      </c>
      <c r="DE31" s="399">
        <v>0</v>
      </c>
      <c r="DF31" s="399">
        <v>0</v>
      </c>
      <c r="DG31" s="399">
        <v>5.2269806366848082E-2</v>
      </c>
      <c r="DH31" s="399">
        <v>0</v>
      </c>
      <c r="DI31" s="399">
        <v>-0.75464802574182421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-9.9822738166291836E-2</v>
      </c>
      <c r="DP31" s="399">
        <v>-1.40460718225488E-2</v>
      </c>
      <c r="DQ31" s="399">
        <v>0</v>
      </c>
      <c r="DR31" s="399">
        <v>0</v>
      </c>
      <c r="DS31" s="399"/>
      <c r="DT31" s="399"/>
      <c r="DU31" s="399"/>
      <c r="DV31" s="399">
        <v>54.963807232267037</v>
      </c>
      <c r="DW31" s="399">
        <v>0</v>
      </c>
      <c r="DX31" s="399">
        <v>0</v>
      </c>
      <c r="DY31" s="399">
        <v>-2.5848000000000013</v>
      </c>
      <c r="DZ31" s="399">
        <v>0.46720000000000006</v>
      </c>
      <c r="EA31" s="399">
        <v>0</v>
      </c>
      <c r="EB31" s="399">
        <v>0</v>
      </c>
      <c r="EC31" s="399">
        <v>-2.4754176559924801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225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957</v>
      </c>
      <c r="C32" s="399" t="s">
        <v>2357</v>
      </c>
      <c r="D32" s="399" t="s">
        <v>2369</v>
      </c>
      <c r="E32" s="399" t="s">
        <v>895</v>
      </c>
      <c r="F32" s="399" t="s">
        <v>1240</v>
      </c>
      <c r="G32" s="399" t="s">
        <v>1240</v>
      </c>
      <c r="H32" s="399" t="s">
        <v>1240</v>
      </c>
      <c r="I32" s="399" t="s">
        <v>1240</v>
      </c>
      <c r="J32" s="399" t="s">
        <v>2358</v>
      </c>
      <c r="K32" s="789">
        <v>44440</v>
      </c>
      <c r="L32" s="399">
        <v>0</v>
      </c>
      <c r="M32" s="399">
        <v>0</v>
      </c>
      <c r="N32" s="399">
        <v>244.33500000000001</v>
      </c>
      <c r="O32" s="399">
        <v>244.33500000000001</v>
      </c>
      <c r="P32" s="399">
        <v>244.33500000000001</v>
      </c>
      <c r="Q32" s="399">
        <v>244.33500000000001</v>
      </c>
      <c r="R32" s="399"/>
      <c r="S32" s="399">
        <v>522.37</v>
      </c>
      <c r="T32" s="399">
        <v>144.41999999999999</v>
      </c>
      <c r="U32" s="399"/>
      <c r="V32" s="399">
        <v>162920.13464999999</v>
      </c>
      <c r="W32" s="399">
        <v>162920.13464999999</v>
      </c>
      <c r="X32" s="399">
        <v>159242.89290000001</v>
      </c>
      <c r="Y32" s="399">
        <v>0</v>
      </c>
      <c r="Z32" s="399">
        <v>15002.407332929344</v>
      </c>
      <c r="AA32" s="399">
        <v>0</v>
      </c>
      <c r="AB32" s="399">
        <v>0</v>
      </c>
      <c r="AC32" s="399">
        <v>0</v>
      </c>
      <c r="AD32" s="399">
        <v>24913.289268310851</v>
      </c>
      <c r="AE32" s="399">
        <v>81096.550208189641</v>
      </c>
      <c r="AF32" s="399">
        <v>35287.306276754796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2316.9691024693361</v>
      </c>
      <c r="AM32" s="399"/>
      <c r="AN32" s="399">
        <v>355.47204289983574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3948.0441693829139</v>
      </c>
      <c r="BH32" s="399">
        <v>0</v>
      </c>
      <c r="BI32" s="399">
        <v>4.13</v>
      </c>
      <c r="BJ32" s="399">
        <v>19.14</v>
      </c>
      <c r="BK32" s="399">
        <v>29797.22</v>
      </c>
      <c r="BL32" s="399">
        <v>760</v>
      </c>
      <c r="BM32" s="399"/>
      <c r="BN32" s="399"/>
      <c r="BO32" s="399"/>
      <c r="BP32" s="399"/>
      <c r="BQ32" s="399"/>
      <c r="BR32" s="399">
        <v>19106.997000000003</v>
      </c>
      <c r="BS32" s="399"/>
      <c r="BT32" s="399"/>
      <c r="BU32" s="399"/>
      <c r="BV32" s="399">
        <v>39235.350446137709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140138.76360000001</v>
      </c>
      <c r="CJ32" s="399">
        <v>-3229.7143499999947</v>
      </c>
      <c r="CK32" s="399"/>
      <c r="CL32" s="399"/>
      <c r="CM32" s="399"/>
      <c r="CN32" s="399"/>
      <c r="CO32" s="399">
        <v>-5104.1581499999966</v>
      </c>
      <c r="CP32" s="399">
        <v>1426.916400000001</v>
      </c>
      <c r="CQ32" s="399">
        <v>30</v>
      </c>
      <c r="CR32" s="399">
        <v>-23.450969217461534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1042.6548291292493</v>
      </c>
      <c r="DA32" s="399">
        <v>0</v>
      </c>
      <c r="DB32" s="399">
        <v>0</v>
      </c>
      <c r="DC32" s="399">
        <v>1426.8656756484052</v>
      </c>
      <c r="DD32" s="399">
        <v>0</v>
      </c>
      <c r="DE32" s="399">
        <v>0</v>
      </c>
      <c r="DF32" s="399">
        <v>0</v>
      </c>
      <c r="DG32" s="399">
        <v>159.6417892330478</v>
      </c>
      <c r="DH32" s="399">
        <v>0</v>
      </c>
      <c r="DI32" s="399">
        <v>-2304.8365671203574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-304.87735912326139</v>
      </c>
      <c r="DP32" s="399">
        <v>-42.899336984530748</v>
      </c>
      <c r="DQ32" s="399">
        <v>0</v>
      </c>
      <c r="DR32" s="399">
        <v>0</v>
      </c>
      <c r="DS32" s="399"/>
      <c r="DT32" s="399"/>
      <c r="DU32" s="399"/>
      <c r="DV32" s="399">
        <v>81096.550208189641</v>
      </c>
      <c r="DW32" s="399">
        <v>0</v>
      </c>
      <c r="DX32" s="399">
        <v>0</v>
      </c>
      <c r="DY32" s="399">
        <v>-5104.1581499999884</v>
      </c>
      <c r="DZ32" s="399">
        <v>1426.9164000000019</v>
      </c>
      <c r="EA32" s="399">
        <v>0</v>
      </c>
      <c r="EB32" s="399">
        <v>0</v>
      </c>
      <c r="EC32" s="399">
        <v>-3652.3640252411715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225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2360</v>
      </c>
      <c r="C33" s="399" t="s">
        <v>2357</v>
      </c>
      <c r="D33" s="399" t="s">
        <v>2369</v>
      </c>
      <c r="E33" s="399" t="s">
        <v>895</v>
      </c>
      <c r="F33" s="399" t="s">
        <v>1240</v>
      </c>
      <c r="G33" s="399" t="s">
        <v>1240</v>
      </c>
      <c r="H33" s="399" t="s">
        <v>1240</v>
      </c>
      <c r="I33" s="399" t="s">
        <v>1240</v>
      </c>
      <c r="J33" s="399" t="s">
        <v>2358</v>
      </c>
      <c r="K33" s="789">
        <v>44440</v>
      </c>
      <c r="L33" s="399">
        <v>0</v>
      </c>
      <c r="M33" s="399">
        <v>0</v>
      </c>
      <c r="N33" s="399">
        <v>0.54800000000000004</v>
      </c>
      <c r="O33" s="399">
        <v>0.54800000000000004</v>
      </c>
      <c r="P33" s="399">
        <v>0.54800000000000004</v>
      </c>
      <c r="Q33" s="399">
        <v>0.54800000000000004</v>
      </c>
      <c r="R33" s="399"/>
      <c r="S33" s="399">
        <v>522.37</v>
      </c>
      <c r="T33" s="399">
        <v>144.41999999999999</v>
      </c>
      <c r="U33" s="399"/>
      <c r="V33" s="399">
        <v>365.40092000000004</v>
      </c>
      <c r="W33" s="399">
        <v>365.40092000000004</v>
      </c>
      <c r="X33" s="399">
        <v>357.15352000000007</v>
      </c>
      <c r="Y33" s="399">
        <v>0</v>
      </c>
      <c r="Z33" s="399">
        <v>33.647734538421759</v>
      </c>
      <c r="AA33" s="399">
        <v>0</v>
      </c>
      <c r="AB33" s="399">
        <v>0</v>
      </c>
      <c r="AC33" s="399">
        <v>0</v>
      </c>
      <c r="AD33" s="399">
        <v>55.876082096442779</v>
      </c>
      <c r="AE33" s="399">
        <v>181.88515568415463</v>
      </c>
      <c r="AF33" s="399">
        <v>79.143159349506334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5.1965500978296042</v>
      </c>
      <c r="AM33" s="399"/>
      <c r="AN33" s="399">
        <v>0.79726064423480059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8.8547617198593596</v>
      </c>
      <c r="BH33" s="399">
        <v>0</v>
      </c>
      <c r="BI33" s="399">
        <v>0</v>
      </c>
      <c r="BJ33" s="399">
        <v>0</v>
      </c>
      <c r="BK33" s="399">
        <v>283.93</v>
      </c>
      <c r="BL33" s="399">
        <v>4</v>
      </c>
      <c r="BM33" s="399"/>
      <c r="BN33" s="399"/>
      <c r="BO33" s="399"/>
      <c r="BP33" s="399"/>
      <c r="BQ33" s="399"/>
      <c r="BR33" s="399">
        <v>42.853600000000014</v>
      </c>
      <c r="BS33" s="399"/>
      <c r="BT33" s="399"/>
      <c r="BU33" s="399"/>
      <c r="BV33" s="399">
        <v>87.997921069365688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315.447</v>
      </c>
      <c r="CJ33" s="399">
        <v>-6.1329600000000255</v>
      </c>
      <c r="CK33" s="399"/>
      <c r="CL33" s="399"/>
      <c r="CM33" s="399"/>
      <c r="CN33" s="399"/>
      <c r="CO33" s="399">
        <v>-11.447719999999993</v>
      </c>
      <c r="CP33" s="399">
        <v>3.2003200000000023</v>
      </c>
      <c r="CQ33" s="399">
        <v>30</v>
      </c>
      <c r="CR33" s="399">
        <v>-5.2596357996833376E-2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2.3384895588549739</v>
      </c>
      <c r="DA33" s="399">
        <v>0</v>
      </c>
      <c r="DB33" s="399">
        <v>0</v>
      </c>
      <c r="DC33" s="399">
        <v>3.2002062342903201</v>
      </c>
      <c r="DD33" s="399">
        <v>0</v>
      </c>
      <c r="DE33" s="399">
        <v>0</v>
      </c>
      <c r="DF33" s="399">
        <v>0</v>
      </c>
      <c r="DG33" s="399">
        <v>0.35804817361290908</v>
      </c>
      <c r="DH33" s="399">
        <v>0</v>
      </c>
      <c r="DI33" s="399">
        <v>-5.1693389763314919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-0.68378575643909922</v>
      </c>
      <c r="DP33" s="399">
        <v>-9.6215591984459281E-2</v>
      </c>
      <c r="DQ33" s="399">
        <v>0</v>
      </c>
      <c r="DR33" s="399">
        <v>0</v>
      </c>
      <c r="DS33" s="399"/>
      <c r="DT33" s="399"/>
      <c r="DU33" s="399"/>
      <c r="DV33" s="399">
        <v>181.88515568415463</v>
      </c>
      <c r="DW33" s="399">
        <v>0</v>
      </c>
      <c r="DX33" s="399">
        <v>0</v>
      </c>
      <c r="DY33" s="399">
        <v>-11.447720000000004</v>
      </c>
      <c r="DZ33" s="399">
        <v>3.2003199999999907</v>
      </c>
      <c r="EA33" s="399">
        <v>0</v>
      </c>
      <c r="EB33" s="399">
        <v>0</v>
      </c>
      <c r="EC33" s="399">
        <v>-8.1916036827804248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225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957</v>
      </c>
      <c r="C34" s="399" t="s">
        <v>2366</v>
      </c>
      <c r="D34" s="399" t="s">
        <v>534</v>
      </c>
      <c r="E34" s="399" t="s">
        <v>895</v>
      </c>
      <c r="F34" s="399" t="s">
        <v>1240</v>
      </c>
      <c r="G34" s="399" t="s">
        <v>1240</v>
      </c>
      <c r="H34" s="399" t="s">
        <v>1240</v>
      </c>
      <c r="I34" s="399" t="s">
        <v>894</v>
      </c>
      <c r="J34" s="399" t="s">
        <v>2358</v>
      </c>
      <c r="K34" s="789">
        <v>44440</v>
      </c>
      <c r="L34" s="399">
        <v>0</v>
      </c>
      <c r="M34" s="399">
        <v>0</v>
      </c>
      <c r="N34" s="399">
        <v>0.28299999999999997</v>
      </c>
      <c r="O34" s="399">
        <v>0.27167999999999998</v>
      </c>
      <c r="P34" s="399">
        <v>0.28299999999999997</v>
      </c>
      <c r="Q34" s="399">
        <v>0.27167999999999998</v>
      </c>
      <c r="R34" s="399"/>
      <c r="S34" s="399">
        <v>2740.31</v>
      </c>
      <c r="T34" s="399">
        <v>144.41999999999999</v>
      </c>
      <c r="U34" s="399"/>
      <c r="V34" s="399">
        <v>816.37858999999992</v>
      </c>
      <c r="W34" s="399">
        <v>816.37858999999992</v>
      </c>
      <c r="X34" s="399">
        <v>799.87685999999997</v>
      </c>
      <c r="Y34" s="399">
        <v>0</v>
      </c>
      <c r="Z34" s="399">
        <v>15.117534161870111</v>
      </c>
      <c r="AA34" s="399">
        <v>0</v>
      </c>
      <c r="AB34" s="399">
        <v>0</v>
      </c>
      <c r="AC34" s="399">
        <v>0</v>
      </c>
      <c r="AD34" s="399">
        <v>213.00357614900173</v>
      </c>
      <c r="AE34" s="399">
        <v>542.79614117675192</v>
      </c>
      <c r="AF34" s="399">
        <v>40.871376087427528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2.6836198497915653</v>
      </c>
      <c r="AM34" s="399"/>
      <c r="AN34" s="399">
        <v>0.14084491257639017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1.7655244778792021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/>
      <c r="BR34" s="399">
        <v>31.995074399999986</v>
      </c>
      <c r="BS34" s="399"/>
      <c r="BT34" s="399"/>
      <c r="BU34" s="399"/>
      <c r="BV34" s="399">
        <v>42.636900565306732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763.13340000000005</v>
      </c>
      <c r="CJ34" s="399">
        <v>-20.620046399999751</v>
      </c>
      <c r="CK34" s="399"/>
      <c r="CL34" s="399"/>
      <c r="CM34" s="399"/>
      <c r="CN34" s="399"/>
      <c r="CO34" s="399">
        <v>-18.154450000000026</v>
      </c>
      <c r="CP34" s="399">
        <v>1.6527200000000009</v>
      </c>
      <c r="CQ34" s="399">
        <v>30</v>
      </c>
      <c r="CR34" s="399">
        <v>7.9458948501797977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8.9144875613040995</v>
      </c>
      <c r="DA34" s="399">
        <v>0</v>
      </c>
      <c r="DB34" s="399">
        <v>0</v>
      </c>
      <c r="DC34" s="399">
        <v>1.6526612487302259</v>
      </c>
      <c r="DD34" s="399">
        <v>0</v>
      </c>
      <c r="DE34" s="399">
        <v>0</v>
      </c>
      <c r="DF34" s="399">
        <v>0</v>
      </c>
      <c r="DG34" s="399">
        <v>7.1390155350622875E-2</v>
      </c>
      <c r="DH34" s="399">
        <v>0</v>
      </c>
      <c r="DI34" s="399">
        <v>-2.3225236302236709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-0.35312293626325753</v>
      </c>
      <c r="DP34" s="399">
        <v>-1.6997548718265934E-2</v>
      </c>
      <c r="DQ34" s="399">
        <v>0</v>
      </c>
      <c r="DR34" s="399">
        <v>0</v>
      </c>
      <c r="DS34" s="399"/>
      <c r="DT34" s="399"/>
      <c r="DU34" s="399"/>
      <c r="DV34" s="399">
        <v>542.79614117675192</v>
      </c>
      <c r="DW34" s="399">
        <v>0</v>
      </c>
      <c r="DX34" s="399">
        <v>0</v>
      </c>
      <c r="DY34" s="399">
        <v>-18.154449999999997</v>
      </c>
      <c r="DZ34" s="399">
        <v>1.6527200000000022</v>
      </c>
      <c r="EA34" s="399">
        <v>0</v>
      </c>
      <c r="EB34" s="399">
        <v>0</v>
      </c>
      <c r="EC34" s="399">
        <v>-24.446034929777056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225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957</v>
      </c>
      <c r="C35" s="399" t="s">
        <v>2366</v>
      </c>
      <c r="D35" s="399" t="s">
        <v>534</v>
      </c>
      <c r="E35" s="399" t="s">
        <v>895</v>
      </c>
      <c r="F35" s="399" t="s">
        <v>1240</v>
      </c>
      <c r="G35" s="399" t="s">
        <v>1240</v>
      </c>
      <c r="H35" s="399" t="s">
        <v>1240</v>
      </c>
      <c r="I35" s="399" t="s">
        <v>2328</v>
      </c>
      <c r="J35" s="399" t="s">
        <v>2358</v>
      </c>
      <c r="K35" s="789">
        <v>44440</v>
      </c>
      <c r="L35" s="399">
        <v>0</v>
      </c>
      <c r="M35" s="399">
        <v>0</v>
      </c>
      <c r="N35" s="399">
        <v>35.457000000000001</v>
      </c>
      <c r="O35" s="399">
        <v>34.038719999999998</v>
      </c>
      <c r="P35" s="399">
        <v>35.457000000000001</v>
      </c>
      <c r="Q35" s="399">
        <v>34.038719999999998</v>
      </c>
      <c r="R35" s="399"/>
      <c r="S35" s="399">
        <v>69.64</v>
      </c>
      <c r="T35" s="399">
        <v>144.41999999999999</v>
      </c>
      <c r="U35" s="399"/>
      <c r="V35" s="399">
        <v>7589.9254199999996</v>
      </c>
      <c r="W35" s="399">
        <v>7589.9254199999996</v>
      </c>
      <c r="X35" s="399">
        <v>7468.6624800000009</v>
      </c>
      <c r="Y35" s="399">
        <v>0</v>
      </c>
      <c r="Z35" s="399">
        <v>1894.0721158213025</v>
      </c>
      <c r="AA35" s="399">
        <v>0</v>
      </c>
      <c r="AB35" s="399">
        <v>0</v>
      </c>
      <c r="AC35" s="399">
        <v>0</v>
      </c>
      <c r="AD35" s="399">
        <v>0</v>
      </c>
      <c r="AE35" s="399">
        <v>0</v>
      </c>
      <c r="AF35" s="399">
        <v>5120.7646004661419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336.23006718748951</v>
      </c>
      <c r="AM35" s="399"/>
      <c r="AN35" s="399">
        <v>17.646424258731685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221.20212513131756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/>
      <c r="BR35" s="399">
        <v>298.74649920000059</v>
      </c>
      <c r="BS35" s="399"/>
      <c r="BT35" s="399"/>
      <c r="BU35" s="399"/>
      <c r="BV35" s="399">
        <v>5341.9667255974591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7170.1855999999989</v>
      </c>
      <c r="CJ35" s="399">
        <v>-116.172803200001</v>
      </c>
      <c r="CK35" s="399"/>
      <c r="CL35" s="399"/>
      <c r="CM35" s="399"/>
      <c r="CN35" s="399"/>
      <c r="CO35" s="399">
        <v>-328.33181999999994</v>
      </c>
      <c r="CP35" s="399">
        <v>207.06888000000012</v>
      </c>
      <c r="CQ35" s="399">
        <v>30</v>
      </c>
      <c r="CR35" s="399">
        <v>-121.35474119553328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0</v>
      </c>
      <c r="DA35" s="399">
        <v>0</v>
      </c>
      <c r="DB35" s="399">
        <v>0</v>
      </c>
      <c r="DC35" s="399">
        <v>207.06151906794184</v>
      </c>
      <c r="DD35" s="399">
        <v>0</v>
      </c>
      <c r="DE35" s="399">
        <v>0</v>
      </c>
      <c r="DF35" s="399">
        <v>0</v>
      </c>
      <c r="DG35" s="399">
        <v>8.944454905537242</v>
      </c>
      <c r="DH35" s="399">
        <v>0</v>
      </c>
      <c r="DI35" s="399">
        <v>-290.98841115491427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-44.242685339527611</v>
      </c>
      <c r="DP35" s="399">
        <v>-2.1296186745708656</v>
      </c>
      <c r="DQ35" s="399">
        <v>0</v>
      </c>
      <c r="DR35" s="399">
        <v>0</v>
      </c>
      <c r="DS35" s="399"/>
      <c r="DT35" s="399"/>
      <c r="DU35" s="399"/>
      <c r="DV35" s="399">
        <v>0</v>
      </c>
      <c r="DW35" s="399">
        <v>0</v>
      </c>
      <c r="DX35" s="399">
        <v>0</v>
      </c>
      <c r="DY35" s="399">
        <v>-328.33181999999988</v>
      </c>
      <c r="DZ35" s="399">
        <v>207.06888000000072</v>
      </c>
      <c r="EA35" s="399">
        <v>0</v>
      </c>
      <c r="EB35" s="399">
        <v>0</v>
      </c>
      <c r="EC35" s="399">
        <v>0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225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957</v>
      </c>
      <c r="C36" s="399" t="s">
        <v>2366</v>
      </c>
      <c r="D36" s="399" t="s">
        <v>534</v>
      </c>
      <c r="E36" s="399" t="s">
        <v>895</v>
      </c>
      <c r="F36" s="399" t="s">
        <v>1240</v>
      </c>
      <c r="G36" s="399" t="s">
        <v>1240</v>
      </c>
      <c r="H36" s="399" t="s">
        <v>1240</v>
      </c>
      <c r="I36" s="399" t="s">
        <v>1240</v>
      </c>
      <c r="J36" s="399" t="s">
        <v>2358</v>
      </c>
      <c r="K36" s="789">
        <v>44440</v>
      </c>
      <c r="L36" s="399">
        <v>134</v>
      </c>
      <c r="M36" s="399">
        <v>128.63999999999999</v>
      </c>
      <c r="N36" s="399">
        <v>0</v>
      </c>
      <c r="O36" s="399">
        <v>0</v>
      </c>
      <c r="P36" s="399">
        <v>0</v>
      </c>
      <c r="Q36" s="399">
        <v>0</v>
      </c>
      <c r="R36" s="399">
        <v>34.950000000000003</v>
      </c>
      <c r="S36" s="399"/>
      <c r="T36" s="399"/>
      <c r="U36" s="399">
        <v>4683.3</v>
      </c>
      <c r="V36" s="399"/>
      <c r="W36" s="399">
        <v>4683.3</v>
      </c>
      <c r="X36" s="399">
        <v>4620.32</v>
      </c>
      <c r="Y36" s="399">
        <v>0</v>
      </c>
      <c r="Z36" s="399">
        <v>0</v>
      </c>
      <c r="AA36" s="399">
        <v>0</v>
      </c>
      <c r="AB36" s="399">
        <v>0</v>
      </c>
      <c r="AC36" s="399">
        <v>0</v>
      </c>
      <c r="AD36" s="399">
        <v>1697.750454532558</v>
      </c>
      <c r="AE36" s="399">
        <v>2986.1642710075021</v>
      </c>
      <c r="AF36" s="399"/>
      <c r="AG36" s="399"/>
      <c r="AH36" s="399"/>
      <c r="AI36" s="399">
        <v>0</v>
      </c>
      <c r="AJ36" s="399">
        <v>0</v>
      </c>
      <c r="AK36" s="399">
        <v>0</v>
      </c>
      <c r="AL36" s="399">
        <v>0</v>
      </c>
      <c r="AM36" s="399"/>
      <c r="AN36" s="399">
        <v>0</v>
      </c>
      <c r="AO36" s="399">
        <v>0</v>
      </c>
      <c r="AP36" s="399">
        <v>0</v>
      </c>
      <c r="AQ36" s="399">
        <v>0</v>
      </c>
      <c r="AR36" s="399">
        <v>0</v>
      </c>
      <c r="AS36" s="399"/>
      <c r="AT36" s="399"/>
      <c r="AU36" s="399">
        <v>0</v>
      </c>
      <c r="AV36" s="399">
        <v>0</v>
      </c>
      <c r="AW36" s="399">
        <v>0</v>
      </c>
      <c r="AX36" s="399"/>
      <c r="AY36" s="399"/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/>
      <c r="BG36" s="399">
        <v>0</v>
      </c>
      <c r="BH36" s="399">
        <v>0</v>
      </c>
      <c r="BI36" s="399">
        <v>0</v>
      </c>
      <c r="BJ36" s="399">
        <v>0</v>
      </c>
      <c r="BK36" s="399">
        <v>4928.8100000000004</v>
      </c>
      <c r="BL36" s="399">
        <v>1</v>
      </c>
      <c r="BM36" s="399"/>
      <c r="BN36" s="399"/>
      <c r="BO36" s="399"/>
      <c r="BP36" s="399"/>
      <c r="BQ36" s="399"/>
      <c r="BR36" s="399">
        <v>184.81280000000046</v>
      </c>
      <c r="BS36" s="399"/>
      <c r="BT36" s="399"/>
      <c r="BU36" s="399"/>
      <c r="BV36" s="399">
        <v>0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4435.5071999999991</v>
      </c>
      <c r="CJ36" s="399">
        <v>-60.4908000000014</v>
      </c>
      <c r="CK36" s="399"/>
      <c r="CL36" s="399"/>
      <c r="CM36" s="399"/>
      <c r="CN36" s="399"/>
      <c r="CO36" s="399">
        <v>-62.9800000000008</v>
      </c>
      <c r="CP36" s="399">
        <v>0</v>
      </c>
      <c r="CQ36" s="399">
        <v>30</v>
      </c>
      <c r="CR36" s="399">
        <v>71.053151232263644</v>
      </c>
      <c r="CS36" s="399">
        <v>0</v>
      </c>
      <c r="CT36" s="399">
        <v>0</v>
      </c>
      <c r="CU36" s="399">
        <v>0</v>
      </c>
      <c r="CV36" s="399">
        <v>0</v>
      </c>
      <c r="CW36" s="399"/>
      <c r="CX36" s="399"/>
      <c r="CY36" s="399"/>
      <c r="CZ36" s="399">
        <v>71.053151232263644</v>
      </c>
      <c r="DA36" s="399">
        <v>0</v>
      </c>
      <c r="DB36" s="399">
        <v>0</v>
      </c>
      <c r="DC36" s="399"/>
      <c r="DD36" s="399"/>
      <c r="DE36" s="399">
        <v>0</v>
      </c>
      <c r="DF36" s="399">
        <v>0</v>
      </c>
      <c r="DG36" s="399">
        <v>0</v>
      </c>
      <c r="DH36" s="399">
        <v>0</v>
      </c>
      <c r="DI36" s="399">
        <v>0</v>
      </c>
      <c r="DJ36" s="399"/>
      <c r="DK36" s="399">
        <v>0</v>
      </c>
      <c r="DL36" s="399">
        <v>0</v>
      </c>
      <c r="DM36" s="399"/>
      <c r="DN36" s="399">
        <v>0</v>
      </c>
      <c r="DO36" s="399">
        <v>0</v>
      </c>
      <c r="DP36" s="399">
        <v>0</v>
      </c>
      <c r="DQ36" s="399">
        <v>0</v>
      </c>
      <c r="DR36" s="399">
        <v>0</v>
      </c>
      <c r="DS36" s="399"/>
      <c r="DT36" s="399"/>
      <c r="DU36" s="399">
        <v>2986.1642710075021</v>
      </c>
      <c r="DV36" s="399"/>
      <c r="DW36" s="399">
        <v>0</v>
      </c>
      <c r="DX36" s="399">
        <v>0</v>
      </c>
      <c r="DY36" s="399">
        <v>-62.980000000000473</v>
      </c>
      <c r="DZ36" s="399"/>
      <c r="EA36" s="399">
        <v>0</v>
      </c>
      <c r="EB36" s="399"/>
      <c r="EC36" s="399">
        <v>-134.48856861221293</v>
      </c>
      <c r="ED36" s="399"/>
      <c r="EE36" s="399">
        <v>0</v>
      </c>
      <c r="EF36" s="399">
        <v>0</v>
      </c>
      <c r="EG36" s="399"/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/>
      <c r="EN36" s="399"/>
      <c r="EO36" s="399">
        <v>0</v>
      </c>
      <c r="EP36" s="399">
        <v>0</v>
      </c>
      <c r="EQ36" s="399"/>
      <c r="ER36" s="399">
        <v>0</v>
      </c>
      <c r="ES36" s="399"/>
      <c r="ET36" s="399">
        <v>0</v>
      </c>
      <c r="EU36" s="399"/>
      <c r="EV36" s="399">
        <v>225</v>
      </c>
      <c r="EW36" s="399"/>
      <c r="EX36" s="399"/>
      <c r="EY36" s="399"/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957</v>
      </c>
      <c r="C37" s="399" t="s">
        <v>2357</v>
      </c>
      <c r="D37" s="399" t="s">
        <v>1826</v>
      </c>
      <c r="E37" s="399" t="s">
        <v>2370</v>
      </c>
      <c r="F37" s="399" t="s">
        <v>1240</v>
      </c>
      <c r="G37" s="399" t="s">
        <v>1240</v>
      </c>
      <c r="H37" s="399" t="s">
        <v>1240</v>
      </c>
      <c r="I37" s="399" t="s">
        <v>1240</v>
      </c>
      <c r="J37" s="399" t="s">
        <v>2358</v>
      </c>
      <c r="K37" s="789">
        <v>44440</v>
      </c>
      <c r="L37" s="399">
        <v>0</v>
      </c>
      <c r="M37" s="399">
        <v>0</v>
      </c>
      <c r="N37" s="399">
        <v>66.316999999999993</v>
      </c>
      <c r="O37" s="399">
        <v>66.316999999999993</v>
      </c>
      <c r="P37" s="399">
        <v>66.316999999999993</v>
      </c>
      <c r="Q37" s="399">
        <v>66.316999999999993</v>
      </c>
      <c r="R37" s="399"/>
      <c r="S37" s="399">
        <v>522.37</v>
      </c>
      <c r="T37" s="399">
        <v>144.41999999999999</v>
      </c>
      <c r="U37" s="399"/>
      <c r="V37" s="399">
        <v>44219.512429999995</v>
      </c>
      <c r="W37" s="399">
        <v>44219.512429999995</v>
      </c>
      <c r="X37" s="399">
        <v>43221.441579999999</v>
      </c>
      <c r="Y37" s="399">
        <v>0</v>
      </c>
      <c r="Z37" s="399">
        <v>4071.928487927948</v>
      </c>
      <c r="AA37" s="399">
        <v>0</v>
      </c>
      <c r="AB37" s="399">
        <v>0</v>
      </c>
      <c r="AC37" s="399">
        <v>0</v>
      </c>
      <c r="AD37" s="399">
        <v>6761.9236065507212</v>
      </c>
      <c r="AE37" s="399">
        <v>22011.091002748322</v>
      </c>
      <c r="AF37" s="399">
        <v>9577.6220777029375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628.86790663825877</v>
      </c>
      <c r="AM37" s="399"/>
      <c r="AN37" s="399">
        <v>96.481631649122733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1071.5715930217393</v>
      </c>
      <c r="BH37" s="399">
        <v>0</v>
      </c>
      <c r="BI37" s="399">
        <v>300.85000000000002</v>
      </c>
      <c r="BJ37" s="399">
        <v>1391.57</v>
      </c>
      <c r="BK37" s="399">
        <v>12574.75</v>
      </c>
      <c r="BL37" s="399">
        <v>125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>
        <v>10649.193670724677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43223.396799999995</v>
      </c>
      <c r="CJ37" s="399">
        <v>-996.14563000000635</v>
      </c>
      <c r="CK37" s="399"/>
      <c r="CL37" s="399"/>
      <c r="CM37" s="399"/>
      <c r="CN37" s="399"/>
      <c r="CO37" s="399">
        <v>-1385.3621299999988</v>
      </c>
      <c r="CP37" s="399">
        <v>387.2912800000002</v>
      </c>
      <c r="CQ37" s="399">
        <v>30</v>
      </c>
      <c r="CR37" s="399">
        <v>-6.3650231264182366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282.99564247187027</v>
      </c>
      <c r="DA37" s="399">
        <v>0</v>
      </c>
      <c r="DB37" s="399">
        <v>0</v>
      </c>
      <c r="DC37" s="399">
        <v>387.27751248071581</v>
      </c>
      <c r="DD37" s="399">
        <v>0</v>
      </c>
      <c r="DE37" s="399">
        <v>0</v>
      </c>
      <c r="DF37" s="399">
        <v>0</v>
      </c>
      <c r="DG37" s="399">
        <v>43.329709360378047</v>
      </c>
      <c r="DH37" s="399">
        <v>0</v>
      </c>
      <c r="DI37" s="399">
        <v>-625.57491403900667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-82.749306587174715</v>
      </c>
      <c r="DP37" s="399">
        <v>-11.643666813199602</v>
      </c>
      <c r="DQ37" s="399">
        <v>0</v>
      </c>
      <c r="DR37" s="399">
        <v>0</v>
      </c>
      <c r="DS37" s="399"/>
      <c r="DT37" s="399"/>
      <c r="DU37" s="399"/>
      <c r="DV37" s="399">
        <v>22011.091002748322</v>
      </c>
      <c r="DW37" s="399">
        <v>0</v>
      </c>
      <c r="DX37" s="399">
        <v>0</v>
      </c>
      <c r="DY37" s="399">
        <v>-1385.3621299999941</v>
      </c>
      <c r="DZ37" s="399">
        <v>387.29127999999946</v>
      </c>
      <c r="EA37" s="399">
        <v>0</v>
      </c>
      <c r="EB37" s="399">
        <v>0</v>
      </c>
      <c r="EC37" s="399">
        <v>-991.31857925355871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225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2360</v>
      </c>
      <c r="C38" s="399" t="s">
        <v>2357</v>
      </c>
      <c r="D38" s="399" t="s">
        <v>1826</v>
      </c>
      <c r="E38" s="399" t="s">
        <v>2370</v>
      </c>
      <c r="F38" s="399" t="s">
        <v>1240</v>
      </c>
      <c r="G38" s="399" t="s">
        <v>1240</v>
      </c>
      <c r="H38" s="399" t="s">
        <v>1240</v>
      </c>
      <c r="I38" s="399" t="s">
        <v>1240</v>
      </c>
      <c r="J38" s="399" t="s">
        <v>2358</v>
      </c>
      <c r="K38" s="789">
        <v>44440</v>
      </c>
      <c r="L38" s="399">
        <v>0</v>
      </c>
      <c r="M38" s="399">
        <v>0</v>
      </c>
      <c r="N38" s="399">
        <v>1.5489999999999999</v>
      </c>
      <c r="O38" s="399">
        <v>1.5489999999999999</v>
      </c>
      <c r="P38" s="399">
        <v>1.5489999999999999</v>
      </c>
      <c r="Q38" s="399">
        <v>1.5489999999999999</v>
      </c>
      <c r="R38" s="399"/>
      <c r="S38" s="399">
        <v>522.37</v>
      </c>
      <c r="T38" s="399">
        <v>144.41999999999999</v>
      </c>
      <c r="U38" s="399"/>
      <c r="V38" s="399">
        <v>1032.85771</v>
      </c>
      <c r="W38" s="399">
        <v>1032.85771</v>
      </c>
      <c r="X38" s="399">
        <v>1009.54526</v>
      </c>
      <c r="Y38" s="399">
        <v>0</v>
      </c>
      <c r="Z38" s="399">
        <v>95.110110948933027</v>
      </c>
      <c r="AA38" s="399">
        <v>0</v>
      </c>
      <c r="AB38" s="399">
        <v>0</v>
      </c>
      <c r="AC38" s="399">
        <v>0</v>
      </c>
      <c r="AD38" s="399">
        <v>157.94169921056545</v>
      </c>
      <c r="AE38" s="399">
        <v>514.12428130429828</v>
      </c>
      <c r="AF38" s="399">
        <v>223.70940480362279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14.688788506456307</v>
      </c>
      <c r="AM38" s="399"/>
      <c r="AN38" s="399">
        <v>2.2535706896345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25.029244350478372</v>
      </c>
      <c r="BH38" s="399">
        <v>0</v>
      </c>
      <c r="BI38" s="399">
        <v>4.99</v>
      </c>
      <c r="BJ38" s="399">
        <v>23.03</v>
      </c>
      <c r="BK38" s="399">
        <v>378.26</v>
      </c>
      <c r="BL38" s="399">
        <v>2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248.73864915410115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1010.1970000000001</v>
      </c>
      <c r="CJ38" s="399">
        <v>-22.690709999999854</v>
      </c>
      <c r="CK38" s="399"/>
      <c r="CL38" s="399"/>
      <c r="CM38" s="399"/>
      <c r="CN38" s="399"/>
      <c r="CO38" s="399">
        <v>-32.358609999999977</v>
      </c>
      <c r="CP38" s="399">
        <v>9.0461600000000058</v>
      </c>
      <c r="CQ38" s="399">
        <v>30</v>
      </c>
      <c r="CR38" s="399">
        <v>-0.1486710922210932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6.6100735888071824</v>
      </c>
      <c r="DA38" s="399">
        <v>0</v>
      </c>
      <c r="DB38" s="399">
        <v>0</v>
      </c>
      <c r="DC38" s="399">
        <v>9.0458384250287054</v>
      </c>
      <c r="DD38" s="399">
        <v>0</v>
      </c>
      <c r="DE38" s="399">
        <v>0</v>
      </c>
      <c r="DF38" s="399">
        <v>0</v>
      </c>
      <c r="DG38" s="399">
        <v>1.0120741257780921</v>
      </c>
      <c r="DH38" s="399">
        <v>0</v>
      </c>
      <c r="DI38" s="399">
        <v>-14.611872398426058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-1.9328177677448277</v>
      </c>
      <c r="DP38" s="399">
        <v>-0.27196706566410134</v>
      </c>
      <c r="DQ38" s="399">
        <v>0</v>
      </c>
      <c r="DR38" s="399">
        <v>0</v>
      </c>
      <c r="DS38" s="399"/>
      <c r="DT38" s="399"/>
      <c r="DU38" s="399"/>
      <c r="DV38" s="399">
        <v>514.12428130429828</v>
      </c>
      <c r="DW38" s="399">
        <v>0</v>
      </c>
      <c r="DX38" s="399">
        <v>0</v>
      </c>
      <c r="DY38" s="399">
        <v>-32.358609999999999</v>
      </c>
      <c r="DZ38" s="399">
        <v>9.0461600000000146</v>
      </c>
      <c r="EA38" s="399">
        <v>0</v>
      </c>
      <c r="EB38" s="399">
        <v>0</v>
      </c>
      <c r="EC38" s="399">
        <v>-23.154733767567279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225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957</v>
      </c>
      <c r="C39" s="399" t="s">
        <v>2366</v>
      </c>
      <c r="D39" s="399" t="s">
        <v>534</v>
      </c>
      <c r="E39" s="399" t="s">
        <v>2370</v>
      </c>
      <c r="F39" s="399" t="s">
        <v>1240</v>
      </c>
      <c r="G39" s="399" t="s">
        <v>1240</v>
      </c>
      <c r="H39" s="399" t="s">
        <v>1240</v>
      </c>
      <c r="I39" s="399" t="s">
        <v>894</v>
      </c>
      <c r="J39" s="399" t="s">
        <v>2358</v>
      </c>
      <c r="K39" s="789">
        <v>44440</v>
      </c>
      <c r="L39" s="399">
        <v>0</v>
      </c>
      <c r="M39" s="399">
        <v>0</v>
      </c>
      <c r="N39" s="399">
        <v>8.6999999999999994E-2</v>
      </c>
      <c r="O39" s="399">
        <v>8.6999999999999994E-2</v>
      </c>
      <c r="P39" s="399">
        <v>8.6999999999999994E-2</v>
      </c>
      <c r="Q39" s="399">
        <v>8.6999999999999994E-2</v>
      </c>
      <c r="R39" s="399"/>
      <c r="S39" s="399">
        <v>2740.31</v>
      </c>
      <c r="T39" s="399">
        <v>144.41999999999999</v>
      </c>
      <c r="U39" s="399"/>
      <c r="V39" s="399">
        <v>250.97150999999997</v>
      </c>
      <c r="W39" s="399">
        <v>250.97150999999997</v>
      </c>
      <c r="X39" s="399">
        <v>245.89853999999997</v>
      </c>
      <c r="Y39" s="399">
        <v>0</v>
      </c>
      <c r="Z39" s="399">
        <v>4.6474398306809181</v>
      </c>
      <c r="AA39" s="399">
        <v>0</v>
      </c>
      <c r="AB39" s="399">
        <v>0</v>
      </c>
      <c r="AC39" s="399">
        <v>0</v>
      </c>
      <c r="AD39" s="399">
        <v>65.481664752519961</v>
      </c>
      <c r="AE39" s="399">
        <v>166.86665824161634</v>
      </c>
      <c r="AF39" s="399">
        <v>12.564698655852281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0.82499974180871438</v>
      </c>
      <c r="AM39" s="399"/>
      <c r="AN39" s="399">
        <v>4.3298612700162352E-2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0.54275840839395961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13.10745706424624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254.37779999999998</v>
      </c>
      <c r="CJ39" s="399">
        <v>3.37629000000004</v>
      </c>
      <c r="CK39" s="399"/>
      <c r="CL39" s="399"/>
      <c r="CM39" s="399"/>
      <c r="CN39" s="399"/>
      <c r="CO39" s="399">
        <v>-5.5810500000000074</v>
      </c>
      <c r="CP39" s="399">
        <v>0.50808000000000031</v>
      </c>
      <c r="CQ39" s="399">
        <v>30</v>
      </c>
      <c r="CR39" s="399">
        <v>2.4427309256736436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2.7404961760899624</v>
      </c>
      <c r="DA39" s="399">
        <v>0</v>
      </c>
      <c r="DB39" s="399">
        <v>0</v>
      </c>
      <c r="DC39" s="399">
        <v>0.50806193865558136</v>
      </c>
      <c r="DD39" s="399">
        <v>0</v>
      </c>
      <c r="DE39" s="399">
        <v>0</v>
      </c>
      <c r="DF39" s="399">
        <v>0</v>
      </c>
      <c r="DG39" s="399">
        <v>2.1946796874573127E-2</v>
      </c>
      <c r="DH39" s="399">
        <v>0</v>
      </c>
      <c r="DI39" s="399">
        <v>-0.71399136335498037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-0.10855722775584242</v>
      </c>
      <c r="DP39" s="399">
        <v>-5.225394835650661E-3</v>
      </c>
      <c r="DQ39" s="399">
        <v>0</v>
      </c>
      <c r="DR39" s="399">
        <v>0</v>
      </c>
      <c r="DS39" s="399"/>
      <c r="DT39" s="399"/>
      <c r="DU39" s="399"/>
      <c r="DV39" s="399">
        <v>166.86665824161634</v>
      </c>
      <c r="DW39" s="399">
        <v>0</v>
      </c>
      <c r="DX39" s="399">
        <v>0</v>
      </c>
      <c r="DY39" s="399">
        <v>-5.5810500000000047</v>
      </c>
      <c r="DZ39" s="399">
        <v>0.50808000000000142</v>
      </c>
      <c r="EA39" s="399">
        <v>0</v>
      </c>
      <c r="EB39" s="399">
        <v>0</v>
      </c>
      <c r="EC39" s="399">
        <v>-7.5152121515569092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225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957</v>
      </c>
      <c r="C40" s="399" t="s">
        <v>2366</v>
      </c>
      <c r="D40" s="399" t="s">
        <v>534</v>
      </c>
      <c r="E40" s="399" t="s">
        <v>2370</v>
      </c>
      <c r="F40" s="399" t="s">
        <v>1240</v>
      </c>
      <c r="G40" s="399" t="s">
        <v>1240</v>
      </c>
      <c r="H40" s="399" t="s">
        <v>1240</v>
      </c>
      <c r="I40" s="399" t="s">
        <v>2328</v>
      </c>
      <c r="J40" s="399" t="s">
        <v>2358</v>
      </c>
      <c r="K40" s="789">
        <v>44440</v>
      </c>
      <c r="L40" s="399">
        <v>0</v>
      </c>
      <c r="M40" s="399">
        <v>0</v>
      </c>
      <c r="N40" s="399">
        <v>1.8740000000000001</v>
      </c>
      <c r="O40" s="399">
        <v>1.8740000000000001</v>
      </c>
      <c r="P40" s="399">
        <v>1.8740000000000001</v>
      </c>
      <c r="Q40" s="399">
        <v>1.8740000000000001</v>
      </c>
      <c r="R40" s="399"/>
      <c r="S40" s="399">
        <v>69.64</v>
      </c>
      <c r="T40" s="399">
        <v>144.41999999999999</v>
      </c>
      <c r="U40" s="399"/>
      <c r="V40" s="399">
        <v>401.14843999999999</v>
      </c>
      <c r="W40" s="399">
        <v>401.14843999999999</v>
      </c>
      <c r="X40" s="399">
        <v>394.73936000000003</v>
      </c>
      <c r="Y40" s="399">
        <v>0</v>
      </c>
      <c r="Z40" s="399">
        <v>100.10692232983955</v>
      </c>
      <c r="AA40" s="399">
        <v>0</v>
      </c>
      <c r="AB40" s="399">
        <v>0</v>
      </c>
      <c r="AC40" s="399">
        <v>0</v>
      </c>
      <c r="AD40" s="399">
        <v>0</v>
      </c>
      <c r="AE40" s="399">
        <v>0</v>
      </c>
      <c r="AF40" s="399">
        <v>270.64649748353077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17.77068409367277</v>
      </c>
      <c r="AM40" s="399"/>
      <c r="AN40" s="399">
        <v>0.93266207126556622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11.691140888853798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282.33763837238456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393.89679999999998</v>
      </c>
      <c r="CJ40" s="399">
        <v>-7.2816399999999817</v>
      </c>
      <c r="CK40" s="399"/>
      <c r="CL40" s="399"/>
      <c r="CM40" s="399"/>
      <c r="CN40" s="399"/>
      <c r="CO40" s="399">
        <v>-17.353239999999996</v>
      </c>
      <c r="CP40" s="399">
        <v>10.944160000000007</v>
      </c>
      <c r="CQ40" s="399">
        <v>30</v>
      </c>
      <c r="CR40" s="399">
        <v>-6.4139319457491411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0</v>
      </c>
      <c r="DA40" s="399">
        <v>0</v>
      </c>
      <c r="DB40" s="399">
        <v>0</v>
      </c>
      <c r="DC40" s="399">
        <v>10.943770954489196</v>
      </c>
      <c r="DD40" s="399">
        <v>0</v>
      </c>
      <c r="DE40" s="399">
        <v>0</v>
      </c>
      <c r="DF40" s="399">
        <v>0</v>
      </c>
      <c r="DG40" s="399">
        <v>0.47273904991896565</v>
      </c>
      <c r="DH40" s="399">
        <v>0</v>
      </c>
      <c r="DI40" s="399">
        <v>-15.37953810261186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-2.3383476415453881</v>
      </c>
      <c r="DP40" s="399">
        <v>-0.11255620600010741</v>
      </c>
      <c r="DQ40" s="399">
        <v>0</v>
      </c>
      <c r="DR40" s="399">
        <v>0</v>
      </c>
      <c r="DS40" s="399"/>
      <c r="DT40" s="399"/>
      <c r="DU40" s="399"/>
      <c r="DV40" s="399">
        <v>0</v>
      </c>
      <c r="DW40" s="399">
        <v>0</v>
      </c>
      <c r="DX40" s="399">
        <v>0</v>
      </c>
      <c r="DY40" s="399">
        <v>-17.353239999999985</v>
      </c>
      <c r="DZ40" s="399">
        <v>10.944160000000011</v>
      </c>
      <c r="EA40" s="399">
        <v>0</v>
      </c>
      <c r="EB40" s="399">
        <v>0</v>
      </c>
      <c r="EC40" s="399">
        <v>0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225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957</v>
      </c>
      <c r="C41" s="399" t="s">
        <v>2366</v>
      </c>
      <c r="D41" s="399" t="s">
        <v>534</v>
      </c>
      <c r="E41" s="399" t="s">
        <v>2370</v>
      </c>
      <c r="F41" s="399" t="s">
        <v>1240</v>
      </c>
      <c r="G41" s="399" t="s">
        <v>1240</v>
      </c>
      <c r="H41" s="399" t="s">
        <v>1240</v>
      </c>
      <c r="I41" s="399" t="s">
        <v>1240</v>
      </c>
      <c r="J41" s="399" t="s">
        <v>2358</v>
      </c>
      <c r="K41" s="789">
        <v>44440</v>
      </c>
      <c r="L41" s="399">
        <v>75</v>
      </c>
      <c r="M41" s="399">
        <v>75</v>
      </c>
      <c r="N41" s="399">
        <v>0</v>
      </c>
      <c r="O41" s="399">
        <v>0</v>
      </c>
      <c r="P41" s="399">
        <v>0</v>
      </c>
      <c r="Q41" s="399">
        <v>0</v>
      </c>
      <c r="R41" s="399">
        <v>34.950000000000003</v>
      </c>
      <c r="S41" s="399"/>
      <c r="T41" s="399"/>
      <c r="U41" s="399">
        <v>2621.25</v>
      </c>
      <c r="V41" s="399"/>
      <c r="W41" s="399">
        <v>2621.25</v>
      </c>
      <c r="X41" s="399">
        <v>2585.9999999999995</v>
      </c>
      <c r="Y41" s="399">
        <v>0</v>
      </c>
      <c r="Z41" s="399">
        <v>0</v>
      </c>
      <c r="AA41" s="399">
        <v>0</v>
      </c>
      <c r="AB41" s="399">
        <v>0</v>
      </c>
      <c r="AC41" s="399">
        <v>0</v>
      </c>
      <c r="AD41" s="399">
        <v>950.23346335777501</v>
      </c>
      <c r="AE41" s="399">
        <v>1671.3605994444974</v>
      </c>
      <c r="AF41" s="399"/>
      <c r="AG41" s="399"/>
      <c r="AH41" s="399"/>
      <c r="AI41" s="399">
        <v>0</v>
      </c>
      <c r="AJ41" s="399">
        <v>0</v>
      </c>
      <c r="AK41" s="399">
        <v>0</v>
      </c>
      <c r="AL41" s="399">
        <v>0</v>
      </c>
      <c r="AM41" s="399"/>
      <c r="AN41" s="399">
        <v>0</v>
      </c>
      <c r="AO41" s="399">
        <v>0</v>
      </c>
      <c r="AP41" s="399">
        <v>0</v>
      </c>
      <c r="AQ41" s="399">
        <v>0</v>
      </c>
      <c r="AR41" s="399">
        <v>0</v>
      </c>
      <c r="AS41" s="399"/>
      <c r="AT41" s="399"/>
      <c r="AU41" s="399">
        <v>0</v>
      </c>
      <c r="AV41" s="399">
        <v>0</v>
      </c>
      <c r="AW41" s="399">
        <v>0</v>
      </c>
      <c r="AX41" s="399"/>
      <c r="AY41" s="399"/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/>
      <c r="BG41" s="399">
        <v>0</v>
      </c>
      <c r="BH41" s="399">
        <v>0</v>
      </c>
      <c r="BI41" s="399">
        <v>20.49</v>
      </c>
      <c r="BJ41" s="399">
        <v>94.62</v>
      </c>
      <c r="BK41" s="399">
        <v>578.77</v>
      </c>
      <c r="BL41" s="399">
        <v>1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0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2585.9999999999995</v>
      </c>
      <c r="CJ41" s="399">
        <v>-35.28000000000111</v>
      </c>
      <c r="CK41" s="399"/>
      <c r="CL41" s="399"/>
      <c r="CM41" s="399"/>
      <c r="CN41" s="399"/>
      <c r="CO41" s="399">
        <v>-35.250000000000448</v>
      </c>
      <c r="CP41" s="399">
        <v>0</v>
      </c>
      <c r="CQ41" s="399">
        <v>30</v>
      </c>
      <c r="CR41" s="399">
        <v>39.768554794177476</v>
      </c>
      <c r="CS41" s="399">
        <v>0</v>
      </c>
      <c r="CT41" s="399">
        <v>0</v>
      </c>
      <c r="CU41" s="399">
        <v>0</v>
      </c>
      <c r="CV41" s="399">
        <v>0</v>
      </c>
      <c r="CW41" s="399"/>
      <c r="CX41" s="399"/>
      <c r="CY41" s="399"/>
      <c r="CZ41" s="399">
        <v>39.768554794177476</v>
      </c>
      <c r="DA41" s="399">
        <v>0</v>
      </c>
      <c r="DB41" s="399">
        <v>0</v>
      </c>
      <c r="DC41" s="399"/>
      <c r="DD41" s="399"/>
      <c r="DE41" s="399">
        <v>0</v>
      </c>
      <c r="DF41" s="399">
        <v>0</v>
      </c>
      <c r="DG41" s="399">
        <v>0</v>
      </c>
      <c r="DH41" s="399">
        <v>0</v>
      </c>
      <c r="DI41" s="399">
        <v>0</v>
      </c>
      <c r="DJ41" s="399"/>
      <c r="DK41" s="399">
        <v>0</v>
      </c>
      <c r="DL41" s="399">
        <v>0</v>
      </c>
      <c r="DM41" s="399"/>
      <c r="DN41" s="399">
        <v>0</v>
      </c>
      <c r="DO41" s="399">
        <v>0</v>
      </c>
      <c r="DP41" s="399">
        <v>0</v>
      </c>
      <c r="DQ41" s="399">
        <v>0</v>
      </c>
      <c r="DR41" s="399">
        <v>0</v>
      </c>
      <c r="DS41" s="399"/>
      <c r="DT41" s="399"/>
      <c r="DU41" s="399">
        <v>1671.3605994444974</v>
      </c>
      <c r="DV41" s="399"/>
      <c r="DW41" s="399">
        <v>0</v>
      </c>
      <c r="DX41" s="399">
        <v>0</v>
      </c>
      <c r="DY41" s="399">
        <v>-35.250000000000455</v>
      </c>
      <c r="DZ41" s="399"/>
      <c r="EA41" s="399">
        <v>0</v>
      </c>
      <c r="EB41" s="399"/>
      <c r="EC41" s="399">
        <v>-75.273452581462379</v>
      </c>
      <c r="ED41" s="399"/>
      <c r="EE41" s="399">
        <v>0</v>
      </c>
      <c r="EF41" s="399">
        <v>0</v>
      </c>
      <c r="EG41" s="399"/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/>
      <c r="EN41" s="399"/>
      <c r="EO41" s="399">
        <v>0</v>
      </c>
      <c r="EP41" s="399">
        <v>0</v>
      </c>
      <c r="EQ41" s="399"/>
      <c r="ER41" s="399">
        <v>0</v>
      </c>
      <c r="ES41" s="399"/>
      <c r="ET41" s="399">
        <v>0</v>
      </c>
      <c r="EU41" s="399"/>
      <c r="EV41" s="399">
        <v>225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957</v>
      </c>
      <c r="C42" s="399" t="s">
        <v>2357</v>
      </c>
      <c r="D42" s="399" t="s">
        <v>2371</v>
      </c>
      <c r="E42" s="399" t="s">
        <v>2372</v>
      </c>
      <c r="F42" s="399" t="s">
        <v>2373</v>
      </c>
      <c r="G42" s="399" t="s">
        <v>1240</v>
      </c>
      <c r="H42" s="399" t="s">
        <v>1240</v>
      </c>
      <c r="I42" s="399" t="s">
        <v>1240</v>
      </c>
      <c r="J42" s="399" t="s">
        <v>2358</v>
      </c>
      <c r="K42" s="789">
        <v>44440</v>
      </c>
      <c r="L42" s="399">
        <v>0</v>
      </c>
      <c r="M42" s="399">
        <v>0</v>
      </c>
      <c r="N42" s="399">
        <v>432.84500000000003</v>
      </c>
      <c r="O42" s="399">
        <v>432.84500000000003</v>
      </c>
      <c r="P42" s="399">
        <v>432.84500000000003</v>
      </c>
      <c r="Q42" s="399">
        <v>432.84500000000003</v>
      </c>
      <c r="R42" s="399"/>
      <c r="S42" s="399">
        <v>287.3</v>
      </c>
      <c r="T42" s="399">
        <v>79.430000000000007</v>
      </c>
      <c r="U42" s="399"/>
      <c r="V42" s="399">
        <v>158737.24685000003</v>
      </c>
      <c r="W42" s="399">
        <v>158737.24685000003</v>
      </c>
      <c r="X42" s="399">
        <v>155157.61869999999</v>
      </c>
      <c r="Y42" s="399">
        <v>0</v>
      </c>
      <c r="Z42" s="399">
        <v>14617.407866707554</v>
      </c>
      <c r="AA42" s="399">
        <v>0</v>
      </c>
      <c r="AB42" s="399">
        <v>0</v>
      </c>
      <c r="AC42" s="399">
        <v>0</v>
      </c>
      <c r="AD42" s="399">
        <v>24273.951670199138</v>
      </c>
      <c r="AE42" s="399">
        <v>79015.408972006073</v>
      </c>
      <c r="AF42" s="399">
        <v>34381.745337135828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2257.5098538362772</v>
      </c>
      <c r="AM42" s="399"/>
      <c r="AN42" s="399">
        <v>346.34973714342578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3846.7274364012633</v>
      </c>
      <c r="BH42" s="399">
        <v>0</v>
      </c>
      <c r="BI42" s="399">
        <v>1313.42</v>
      </c>
      <c r="BJ42" s="399">
        <v>6062.09</v>
      </c>
      <c r="BK42" s="399">
        <v>67356.44</v>
      </c>
      <c r="BL42" s="399">
        <v>6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38228.472773537091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155159.41100000002</v>
      </c>
      <c r="CJ42" s="399">
        <v>-3577.865850000002</v>
      </c>
      <c r="CK42" s="399"/>
      <c r="CL42" s="399"/>
      <c r="CM42" s="399"/>
      <c r="CN42" s="399"/>
      <c r="CO42" s="399">
        <v>-4969.060600000008</v>
      </c>
      <c r="CP42" s="399">
        <v>1389.4324499999973</v>
      </c>
      <c r="CQ42" s="399">
        <v>30</v>
      </c>
      <c r="CR42" s="399">
        <v>-22.849158426222857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1015.897686507953</v>
      </c>
      <c r="DA42" s="399">
        <v>0</v>
      </c>
      <c r="DB42" s="399">
        <v>0</v>
      </c>
      <c r="DC42" s="399">
        <v>1390.2487173625414</v>
      </c>
      <c r="DD42" s="399">
        <v>0</v>
      </c>
      <c r="DE42" s="399">
        <v>0</v>
      </c>
      <c r="DF42" s="399">
        <v>0</v>
      </c>
      <c r="DG42" s="399">
        <v>155.54497981590112</v>
      </c>
      <c r="DH42" s="399">
        <v>0</v>
      </c>
      <c r="DI42" s="399">
        <v>-2245.6886698277449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-297.05344007341887</v>
      </c>
      <c r="DP42" s="399">
        <v>-41.798432211465354</v>
      </c>
      <c r="DQ42" s="399">
        <v>0</v>
      </c>
      <c r="DR42" s="399">
        <v>0</v>
      </c>
      <c r="DS42" s="399"/>
      <c r="DT42" s="399"/>
      <c r="DU42" s="399"/>
      <c r="DV42" s="399">
        <v>79015.408972006073</v>
      </c>
      <c r="DW42" s="399">
        <v>0</v>
      </c>
      <c r="DX42" s="399">
        <v>0</v>
      </c>
      <c r="DY42" s="399">
        <v>-4969.0606000000116</v>
      </c>
      <c r="DZ42" s="399">
        <v>1389.432449999993</v>
      </c>
      <c r="EA42" s="399">
        <v>0</v>
      </c>
      <c r="EB42" s="399">
        <v>0</v>
      </c>
      <c r="EC42" s="399">
        <v>-3558.6351876645203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225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957</v>
      </c>
      <c r="C43" s="399" t="s">
        <v>2357</v>
      </c>
      <c r="D43" s="399" t="s">
        <v>1826</v>
      </c>
      <c r="E43" s="399" t="s">
        <v>922</v>
      </c>
      <c r="F43" s="399" t="s">
        <v>2374</v>
      </c>
      <c r="G43" s="399" t="s">
        <v>1240</v>
      </c>
      <c r="H43" s="399" t="s">
        <v>1240</v>
      </c>
      <c r="I43" s="399" t="s">
        <v>1240</v>
      </c>
      <c r="J43" s="399" t="s">
        <v>2358</v>
      </c>
      <c r="K43" s="789">
        <v>44440</v>
      </c>
      <c r="L43" s="399">
        <v>0</v>
      </c>
      <c r="M43" s="399">
        <v>0</v>
      </c>
      <c r="N43" s="399">
        <v>17.172999999999998</v>
      </c>
      <c r="O43" s="399">
        <v>16.142619999999997</v>
      </c>
      <c r="P43" s="399">
        <v>17.172999999999998</v>
      </c>
      <c r="Q43" s="399">
        <v>16.142619999999997</v>
      </c>
      <c r="R43" s="399"/>
      <c r="S43" s="399">
        <v>522.37</v>
      </c>
      <c r="T43" s="399">
        <v>144.41999999999999</v>
      </c>
      <c r="U43" s="399"/>
      <c r="V43" s="399">
        <v>11450.784669999999</v>
      </c>
      <c r="W43" s="399">
        <v>11450.784669999999</v>
      </c>
      <c r="X43" s="399">
        <v>11192.33102</v>
      </c>
      <c r="Y43" s="399">
        <v>0</v>
      </c>
      <c r="Z43" s="399">
        <v>1054.4389511465633</v>
      </c>
      <c r="AA43" s="399">
        <v>0</v>
      </c>
      <c r="AB43" s="399">
        <v>0</v>
      </c>
      <c r="AC43" s="399">
        <v>0</v>
      </c>
      <c r="AD43" s="399">
        <v>1751.0218208799483</v>
      </c>
      <c r="AE43" s="399">
        <v>5699.8426616131146</v>
      </c>
      <c r="AF43" s="399">
        <v>2480.1559772063356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162.84736282851784</v>
      </c>
      <c r="AM43" s="399"/>
      <c r="AN43" s="399">
        <v>24.984228181467568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277.48690331230796</v>
      </c>
      <c r="BH43" s="399">
        <v>0</v>
      </c>
      <c r="BI43" s="399">
        <v>71.91</v>
      </c>
      <c r="BJ43" s="399">
        <v>332.77</v>
      </c>
      <c r="BK43" s="399">
        <v>3987.3</v>
      </c>
      <c r="BL43" s="399">
        <v>33</v>
      </c>
      <c r="BM43" s="399"/>
      <c r="BN43" s="399"/>
      <c r="BO43" s="399"/>
      <c r="BP43" s="399"/>
      <c r="BQ43" s="399">
        <v>671.53986120000059</v>
      </c>
      <c r="BR43" s="399"/>
      <c r="BS43" s="399"/>
      <c r="BT43" s="399"/>
      <c r="BU43" s="399"/>
      <c r="BV43" s="399">
        <v>2757.6428805186433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10519.083600000002</v>
      </c>
      <c r="CJ43" s="399">
        <v>-244.6839897999962</v>
      </c>
      <c r="CK43" s="399"/>
      <c r="CL43" s="399"/>
      <c r="CM43" s="399"/>
      <c r="CN43" s="399"/>
      <c r="CO43" s="399">
        <v>-358.74396999999971</v>
      </c>
      <c r="CP43" s="399">
        <v>100.29032000000005</v>
      </c>
      <c r="CQ43" s="399">
        <v>30</v>
      </c>
      <c r="CR43" s="399">
        <v>-1.6482431676631677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73.282629916453288</v>
      </c>
      <c r="DA43" s="399">
        <v>0</v>
      </c>
      <c r="DB43" s="399">
        <v>0</v>
      </c>
      <c r="DC43" s="399">
        <v>100.28675485669328</v>
      </c>
      <c r="DD43" s="399">
        <v>0</v>
      </c>
      <c r="DE43" s="399">
        <v>0</v>
      </c>
      <c r="DF43" s="399">
        <v>0</v>
      </c>
      <c r="DG43" s="399">
        <v>11.220367309223491</v>
      </c>
      <c r="DH43" s="399">
        <v>0</v>
      </c>
      <c r="DI43" s="399">
        <v>-161.99463182580416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-21.428198531621632</v>
      </c>
      <c r="DP43" s="399">
        <v>-3.0151648926078813</v>
      </c>
      <c r="DQ43" s="399">
        <v>0</v>
      </c>
      <c r="DR43" s="399">
        <v>0</v>
      </c>
      <c r="DS43" s="399"/>
      <c r="DT43" s="399"/>
      <c r="DU43" s="399"/>
      <c r="DV43" s="399">
        <v>5699.8426616131146</v>
      </c>
      <c r="DW43" s="399">
        <v>0</v>
      </c>
      <c r="DX43" s="399">
        <v>0</v>
      </c>
      <c r="DY43" s="399">
        <v>-358.74396999999954</v>
      </c>
      <c r="DZ43" s="399">
        <v>100.29032000000007</v>
      </c>
      <c r="EA43" s="399">
        <v>0</v>
      </c>
      <c r="EB43" s="399">
        <v>0</v>
      </c>
      <c r="EC43" s="399">
        <v>-256.70512781822708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225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957</v>
      </c>
      <c r="C44" s="399" t="s">
        <v>2357</v>
      </c>
      <c r="D44" s="399" t="s">
        <v>1826</v>
      </c>
      <c r="E44" s="399" t="s">
        <v>2375</v>
      </c>
      <c r="F44" s="399" t="s">
        <v>1240</v>
      </c>
      <c r="G44" s="399" t="s">
        <v>1240</v>
      </c>
      <c r="H44" s="399" t="s">
        <v>1240</v>
      </c>
      <c r="I44" s="399" t="s">
        <v>1240</v>
      </c>
      <c r="J44" s="399" t="s">
        <v>2358</v>
      </c>
      <c r="K44" s="789">
        <v>44440</v>
      </c>
      <c r="L44" s="399">
        <v>0</v>
      </c>
      <c r="M44" s="399">
        <v>0</v>
      </c>
      <c r="N44" s="399">
        <v>5.7640000000000002</v>
      </c>
      <c r="O44" s="399">
        <v>5.7640000000000002</v>
      </c>
      <c r="P44" s="399">
        <v>5.7640000000000002</v>
      </c>
      <c r="Q44" s="399">
        <v>5.7640000000000002</v>
      </c>
      <c r="R44" s="399"/>
      <c r="S44" s="399">
        <v>522.37</v>
      </c>
      <c r="T44" s="399">
        <v>144.41999999999999</v>
      </c>
      <c r="U44" s="399"/>
      <c r="V44" s="399">
        <v>3843.3775599999999</v>
      </c>
      <c r="W44" s="399">
        <v>3843.3775599999999</v>
      </c>
      <c r="X44" s="399">
        <v>3756.6293599999999</v>
      </c>
      <c r="Y44" s="399">
        <v>0</v>
      </c>
      <c r="Z44" s="399">
        <v>353.9152224077792</v>
      </c>
      <c r="AA44" s="399">
        <v>0</v>
      </c>
      <c r="AB44" s="399">
        <v>0</v>
      </c>
      <c r="AC44" s="399">
        <v>0</v>
      </c>
      <c r="AD44" s="399">
        <v>587.71849854725576</v>
      </c>
      <c r="AE44" s="399">
        <v>1913.1132068676409</v>
      </c>
      <c r="AF44" s="399">
        <v>832.44739140612126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54.658603583740579</v>
      </c>
      <c r="AM44" s="399"/>
      <c r="AN44" s="399">
        <v>8.3857853163674996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93.136581301586403</v>
      </c>
      <c r="BH44" s="399">
        <v>0</v>
      </c>
      <c r="BI44" s="399">
        <v>0</v>
      </c>
      <c r="BJ44" s="399">
        <v>0</v>
      </c>
      <c r="BK44" s="399">
        <v>0</v>
      </c>
      <c r="BL44" s="399">
        <v>3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>
        <v>925.58397270770763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3754.0223999999998</v>
      </c>
      <c r="CJ44" s="399">
        <v>-89.385160000000724</v>
      </c>
      <c r="CK44" s="399"/>
      <c r="CL44" s="399"/>
      <c r="CM44" s="399"/>
      <c r="CN44" s="399"/>
      <c r="CO44" s="399">
        <v>-120.40995999999993</v>
      </c>
      <c r="CP44" s="399">
        <v>33.661760000000022</v>
      </c>
      <c r="CQ44" s="399">
        <v>30</v>
      </c>
      <c r="CR44" s="399">
        <v>-0.55322154652139943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24.596813535109618</v>
      </c>
      <c r="DA44" s="399">
        <v>0</v>
      </c>
      <c r="DB44" s="399">
        <v>0</v>
      </c>
      <c r="DC44" s="399">
        <v>33.660563384031889</v>
      </c>
      <c r="DD44" s="399">
        <v>0</v>
      </c>
      <c r="DE44" s="399">
        <v>0</v>
      </c>
      <c r="DF44" s="399">
        <v>0</v>
      </c>
      <c r="DG44" s="399">
        <v>3.7660395487313991</v>
      </c>
      <c r="DH44" s="399">
        <v>0</v>
      </c>
      <c r="DI44" s="399">
        <v>-54.372390254698416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-7.192228284881331</v>
      </c>
      <c r="DP44" s="399">
        <v>-1.0120194748146405</v>
      </c>
      <c r="DQ44" s="399">
        <v>0</v>
      </c>
      <c r="DR44" s="399">
        <v>0</v>
      </c>
      <c r="DS44" s="399"/>
      <c r="DT44" s="399"/>
      <c r="DU44" s="399"/>
      <c r="DV44" s="399">
        <v>1913.1132068676409</v>
      </c>
      <c r="DW44" s="399">
        <v>0</v>
      </c>
      <c r="DX44" s="399">
        <v>0</v>
      </c>
      <c r="DY44" s="399">
        <v>-120.40995999999996</v>
      </c>
      <c r="DZ44" s="399">
        <v>33.661759999999958</v>
      </c>
      <c r="EA44" s="399">
        <v>0</v>
      </c>
      <c r="EB44" s="399">
        <v>0</v>
      </c>
      <c r="EC44" s="399">
        <v>-86.161320488223282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225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957</v>
      </c>
      <c r="C45" s="399" t="s">
        <v>2357</v>
      </c>
      <c r="D45" s="399" t="s">
        <v>2369</v>
      </c>
      <c r="E45" s="399" t="s">
        <v>895</v>
      </c>
      <c r="F45" s="399" t="s">
        <v>2376</v>
      </c>
      <c r="G45" s="399" t="s">
        <v>2377</v>
      </c>
      <c r="H45" s="399" t="s">
        <v>1240</v>
      </c>
      <c r="I45" s="399" t="s">
        <v>1240</v>
      </c>
      <c r="J45" s="399" t="s">
        <v>2358</v>
      </c>
      <c r="K45" s="789">
        <v>44440</v>
      </c>
      <c r="L45" s="399">
        <v>0</v>
      </c>
      <c r="M45" s="399">
        <v>0</v>
      </c>
      <c r="N45" s="399">
        <v>0</v>
      </c>
      <c r="O45" s="399">
        <v>0</v>
      </c>
      <c r="P45" s="399">
        <v>0</v>
      </c>
      <c r="Q45" s="399">
        <v>0</v>
      </c>
      <c r="R45" s="399"/>
      <c r="S45" s="399"/>
      <c r="T45" s="399"/>
      <c r="U45" s="399"/>
      <c r="V45" s="399"/>
      <c r="W45" s="399"/>
      <c r="X45" s="399"/>
      <c r="Y45" s="399"/>
      <c r="Z45" s="399"/>
      <c r="AA45" s="399">
        <v>0</v>
      </c>
      <c r="AB45" s="399"/>
      <c r="AC45" s="399"/>
      <c r="AD45" s="399"/>
      <c r="AE45" s="399"/>
      <c r="AF45" s="399"/>
      <c r="AG45" s="399"/>
      <c r="AH45" s="399"/>
      <c r="AI45" s="399"/>
      <c r="AJ45" s="399"/>
      <c r="AK45" s="399"/>
      <c r="AL45" s="399"/>
      <c r="AM45" s="399"/>
      <c r="AN45" s="399"/>
      <c r="AO45" s="399"/>
      <c r="AP45" s="399"/>
      <c r="AQ45" s="399"/>
      <c r="AR45" s="399"/>
      <c r="AS45" s="399"/>
      <c r="AT45" s="399"/>
      <c r="AU45" s="399"/>
      <c r="AV45" s="399"/>
      <c r="AW45" s="399"/>
      <c r="AX45" s="399"/>
      <c r="AY45" s="399"/>
      <c r="AZ45" s="399">
        <v>0</v>
      </c>
      <c r="BA45" s="399"/>
      <c r="BB45" s="399"/>
      <c r="BC45" s="399"/>
      <c r="BD45" s="399"/>
      <c r="BE45" s="399"/>
      <c r="BF45" s="399"/>
      <c r="BG45" s="399"/>
      <c r="BH45" s="399"/>
      <c r="BI45" s="399">
        <v>0</v>
      </c>
      <c r="BJ45" s="399">
        <v>0</v>
      </c>
      <c r="BK45" s="399">
        <v>285.23</v>
      </c>
      <c r="BL45" s="399">
        <v>2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/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/>
      <c r="CJ45" s="399">
        <v>-0.03</v>
      </c>
      <c r="CK45" s="399"/>
      <c r="CL45" s="399"/>
      <c r="CM45" s="399"/>
      <c r="CN45" s="399"/>
      <c r="CO45" s="399">
        <v>0</v>
      </c>
      <c r="CP45" s="399">
        <v>0</v>
      </c>
      <c r="CQ45" s="399">
        <v>30</v>
      </c>
      <c r="CR45" s="399"/>
      <c r="CS45" s="399"/>
      <c r="CT45" s="399"/>
      <c r="CU45" s="399"/>
      <c r="CV45" s="399"/>
      <c r="CW45" s="399"/>
      <c r="CX45" s="399"/>
      <c r="CY45" s="399"/>
      <c r="CZ45" s="399"/>
      <c r="DA45" s="399"/>
      <c r="DB45" s="399"/>
      <c r="DC45" s="399"/>
      <c r="DD45" s="399"/>
      <c r="DE45" s="399"/>
      <c r="DF45" s="399"/>
      <c r="DG45" s="399"/>
      <c r="DH45" s="399"/>
      <c r="DI45" s="399"/>
      <c r="DJ45" s="399"/>
      <c r="DK45" s="399">
        <v>0</v>
      </c>
      <c r="DL45" s="399"/>
      <c r="DM45" s="399"/>
      <c r="DN45" s="399"/>
      <c r="DO45" s="399"/>
      <c r="DP45" s="399"/>
      <c r="DQ45" s="399"/>
      <c r="DR45" s="399"/>
      <c r="DS45" s="399"/>
      <c r="DT45" s="399"/>
      <c r="DU45" s="399"/>
      <c r="DV45" s="399"/>
      <c r="DW45" s="399"/>
      <c r="DX45" s="399"/>
      <c r="DY45" s="399"/>
      <c r="DZ45" s="399"/>
      <c r="EA45" s="399"/>
      <c r="EB45" s="399"/>
      <c r="EC45" s="399"/>
      <c r="ED45" s="399"/>
      <c r="EE45" s="399"/>
      <c r="EF45" s="399"/>
      <c r="EG45" s="399"/>
      <c r="EH45" s="399"/>
      <c r="EI45" s="399"/>
      <c r="EJ45" s="399"/>
      <c r="EK45" s="399"/>
      <c r="EL45" s="399"/>
      <c r="EM45" s="399"/>
      <c r="EN45" s="399"/>
      <c r="EO45" s="399"/>
      <c r="EP45" s="399"/>
      <c r="EQ45" s="399"/>
      <c r="ER45" s="399"/>
      <c r="ES45" s="399"/>
      <c r="ET45" s="399"/>
      <c r="EU45" s="399"/>
      <c r="EV45" s="399">
        <v>225</v>
      </c>
      <c r="EW45" s="399"/>
      <c r="EX45" s="399"/>
      <c r="EY45" s="399"/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957</v>
      </c>
      <c r="C46" s="399" t="s">
        <v>2357</v>
      </c>
      <c r="D46" s="399" t="s">
        <v>2369</v>
      </c>
      <c r="E46" s="399" t="s">
        <v>895</v>
      </c>
      <c r="F46" s="399" t="s">
        <v>2376</v>
      </c>
      <c r="G46" s="399" t="s">
        <v>2377</v>
      </c>
      <c r="H46" s="399" t="s">
        <v>1240</v>
      </c>
      <c r="I46" s="399" t="s">
        <v>1240</v>
      </c>
      <c r="J46" s="399" t="s">
        <v>2358</v>
      </c>
      <c r="K46" s="789">
        <v>44440</v>
      </c>
      <c r="L46" s="399">
        <v>0</v>
      </c>
      <c r="M46" s="399">
        <v>0</v>
      </c>
      <c r="N46" s="399">
        <v>0.94</v>
      </c>
      <c r="O46" s="399">
        <v>0.94</v>
      </c>
      <c r="P46" s="399">
        <v>0.94</v>
      </c>
      <c r="Q46" s="399">
        <v>0.94</v>
      </c>
      <c r="R46" s="399"/>
      <c r="S46" s="399">
        <v>522.37</v>
      </c>
      <c r="T46" s="399">
        <v>144.41999999999999</v>
      </c>
      <c r="U46" s="399"/>
      <c r="V46" s="399">
        <v>626.7826</v>
      </c>
      <c r="W46" s="399">
        <v>626.7826</v>
      </c>
      <c r="X46" s="399">
        <v>612.63559999999995</v>
      </c>
      <c r="Y46" s="399">
        <v>0</v>
      </c>
      <c r="Z46" s="399">
        <v>57.716916908971626</v>
      </c>
      <c r="AA46" s="399">
        <v>0</v>
      </c>
      <c r="AB46" s="399">
        <v>0</v>
      </c>
      <c r="AC46" s="399">
        <v>0</v>
      </c>
      <c r="AD46" s="399">
        <v>95.845834253022275</v>
      </c>
      <c r="AE46" s="399">
        <v>311.99278529763745</v>
      </c>
      <c r="AF46" s="399">
        <v>135.75651421265681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8.913790313795305</v>
      </c>
      <c r="AM46" s="399"/>
      <c r="AN46" s="399">
        <v>1.3675638787969204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15.188824847933937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>
        <v>73.50800000000001</v>
      </c>
      <c r="BS46" s="399"/>
      <c r="BT46" s="399"/>
      <c r="BU46" s="399"/>
      <c r="BV46" s="399">
        <v>150.94533906059075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539.12759999999992</v>
      </c>
      <c r="CJ46" s="399">
        <v>-12.466200000000072</v>
      </c>
      <c r="CK46" s="399"/>
      <c r="CL46" s="399"/>
      <c r="CM46" s="399"/>
      <c r="CN46" s="399"/>
      <c r="CO46" s="399">
        <v>-19.636599999999987</v>
      </c>
      <c r="CP46" s="399">
        <v>5.4896000000000029</v>
      </c>
      <c r="CQ46" s="399">
        <v>30</v>
      </c>
      <c r="CR46" s="399">
        <v>-9.022003014058555E-2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4.0112777104446593</v>
      </c>
      <c r="DA46" s="399">
        <v>0</v>
      </c>
      <c r="DB46" s="399">
        <v>0</v>
      </c>
      <c r="DC46" s="399">
        <v>5.4894048544396412</v>
      </c>
      <c r="DD46" s="399">
        <v>0</v>
      </c>
      <c r="DE46" s="399">
        <v>0</v>
      </c>
      <c r="DF46" s="399">
        <v>0</v>
      </c>
      <c r="DG46" s="399">
        <v>0.61417022481046502</v>
      </c>
      <c r="DH46" s="399">
        <v>0</v>
      </c>
      <c r="DI46" s="399">
        <v>-8.8671143024664332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-1.1729171734539294</v>
      </c>
      <c r="DP46" s="399">
        <v>-0.16504134391494829</v>
      </c>
      <c r="DQ46" s="399">
        <v>0</v>
      </c>
      <c r="DR46" s="399">
        <v>0</v>
      </c>
      <c r="DS46" s="399"/>
      <c r="DT46" s="399"/>
      <c r="DU46" s="399"/>
      <c r="DV46" s="399">
        <v>311.99278529763745</v>
      </c>
      <c r="DW46" s="399">
        <v>0</v>
      </c>
      <c r="DX46" s="399">
        <v>0</v>
      </c>
      <c r="DY46" s="399">
        <v>-19.636599999999987</v>
      </c>
      <c r="DZ46" s="399">
        <v>5.4895999999999958</v>
      </c>
      <c r="EA46" s="399">
        <v>0</v>
      </c>
      <c r="EB46" s="399">
        <v>0</v>
      </c>
      <c r="EC46" s="399">
        <v>-14.051290988710946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225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957</v>
      </c>
      <c r="C47" s="399" t="s">
        <v>2357</v>
      </c>
      <c r="D47" s="399" t="s">
        <v>2369</v>
      </c>
      <c r="E47" s="399" t="s">
        <v>895</v>
      </c>
      <c r="F47" s="399" t="s">
        <v>2376</v>
      </c>
      <c r="G47" s="399" t="s">
        <v>2378</v>
      </c>
      <c r="H47" s="399" t="s">
        <v>1240</v>
      </c>
      <c r="I47" s="399" t="s">
        <v>1240</v>
      </c>
      <c r="J47" s="399" t="s">
        <v>2358</v>
      </c>
      <c r="K47" s="789">
        <v>44440</v>
      </c>
      <c r="L47" s="399">
        <v>0</v>
      </c>
      <c r="M47" s="399">
        <v>0</v>
      </c>
      <c r="N47" s="399">
        <v>0.66600000000000004</v>
      </c>
      <c r="O47" s="399">
        <v>0.26640000000000003</v>
      </c>
      <c r="P47" s="399">
        <v>0.66600000000000004</v>
      </c>
      <c r="Q47" s="399">
        <v>0.26640000000000003</v>
      </c>
      <c r="R47" s="399"/>
      <c r="S47" s="399">
        <v>522.37</v>
      </c>
      <c r="T47" s="399">
        <v>144.41999999999999</v>
      </c>
      <c r="U47" s="399"/>
      <c r="V47" s="399">
        <v>444.08214000000004</v>
      </c>
      <c r="W47" s="399">
        <v>444.08214000000004</v>
      </c>
      <c r="X47" s="399">
        <v>434.05884000000003</v>
      </c>
      <c r="Y47" s="399">
        <v>0</v>
      </c>
      <c r="Z47" s="399">
        <v>40.893049639760747</v>
      </c>
      <c r="AA47" s="399">
        <v>0</v>
      </c>
      <c r="AB47" s="399">
        <v>0</v>
      </c>
      <c r="AC47" s="399">
        <v>0</v>
      </c>
      <c r="AD47" s="399">
        <v>67.907793204800896</v>
      </c>
      <c r="AE47" s="399">
        <v>221.05020745556018</v>
      </c>
      <c r="AF47" s="399">
        <v>96.184934537903672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6.3155152648805037</v>
      </c>
      <c r="AM47" s="399"/>
      <c r="AN47" s="399">
        <v>0.9689335566795203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10.76144398800426</v>
      </c>
      <c r="BH47" s="399">
        <v>0</v>
      </c>
      <c r="BI47" s="399">
        <v>0</v>
      </c>
      <c r="BJ47" s="399">
        <v>0</v>
      </c>
      <c r="BK47" s="399">
        <v>0</v>
      </c>
      <c r="BL47" s="399">
        <v>0</v>
      </c>
      <c r="BM47" s="399"/>
      <c r="BN47" s="399"/>
      <c r="BO47" s="399"/>
      <c r="BP47" s="399"/>
      <c r="BQ47" s="399"/>
      <c r="BR47" s="399"/>
      <c r="BS47" s="399">
        <v>281.26778399999995</v>
      </c>
      <c r="BT47" s="399"/>
      <c r="BU47" s="399"/>
      <c r="BV47" s="399">
        <v>106.94637852590793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154.85580000000002</v>
      </c>
      <c r="CJ47" s="399">
        <v>-1.4897280000000137</v>
      </c>
      <c r="CK47" s="399"/>
      <c r="CL47" s="399"/>
      <c r="CM47" s="399"/>
      <c r="CN47" s="399"/>
      <c r="CO47" s="399">
        <v>-13.912739999999992</v>
      </c>
      <c r="CP47" s="399">
        <v>3.8894400000000027</v>
      </c>
      <c r="CQ47" s="399">
        <v>30</v>
      </c>
      <c r="CR47" s="399">
        <v>-6.3921851142168862E-2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2.8420329310171724</v>
      </c>
      <c r="DA47" s="399">
        <v>0</v>
      </c>
      <c r="DB47" s="399">
        <v>0</v>
      </c>
      <c r="DC47" s="399">
        <v>3.8893017372944598</v>
      </c>
      <c r="DD47" s="399">
        <v>0</v>
      </c>
      <c r="DE47" s="399">
        <v>0</v>
      </c>
      <c r="DF47" s="399">
        <v>0</v>
      </c>
      <c r="DG47" s="399">
        <v>0.43514613800400959</v>
      </c>
      <c r="DH47" s="399">
        <v>0</v>
      </c>
      <c r="DI47" s="399">
        <v>-6.2824448143006819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-0.83102429523437937</v>
      </c>
      <c r="DP47" s="399">
        <v>-0.11693354792271871</v>
      </c>
      <c r="DQ47" s="399">
        <v>0</v>
      </c>
      <c r="DR47" s="399">
        <v>0</v>
      </c>
      <c r="DS47" s="399"/>
      <c r="DT47" s="399"/>
      <c r="DU47" s="399"/>
      <c r="DV47" s="399">
        <v>221.05020745556018</v>
      </c>
      <c r="DW47" s="399">
        <v>0</v>
      </c>
      <c r="DX47" s="399">
        <v>0</v>
      </c>
      <c r="DY47" s="399">
        <v>-13.912740000000042</v>
      </c>
      <c r="DZ47" s="399">
        <v>3.8894400000000076</v>
      </c>
      <c r="EA47" s="399">
        <v>0</v>
      </c>
      <c r="EB47" s="399">
        <v>0</v>
      </c>
      <c r="EC47" s="399">
        <v>-9.9554891473207476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225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957</v>
      </c>
      <c r="C48" s="399" t="s">
        <v>2357</v>
      </c>
      <c r="D48" s="399" t="s">
        <v>1823</v>
      </c>
      <c r="E48" s="399" t="s">
        <v>890</v>
      </c>
      <c r="F48" s="399" t="s">
        <v>890</v>
      </c>
      <c r="G48" s="399" t="s">
        <v>1240</v>
      </c>
      <c r="H48" s="399" t="s">
        <v>1240</v>
      </c>
      <c r="I48" s="399" t="s">
        <v>1240</v>
      </c>
      <c r="J48" s="399" t="s">
        <v>2358</v>
      </c>
      <c r="K48" s="789">
        <v>44470</v>
      </c>
      <c r="L48" s="399">
        <v>0</v>
      </c>
      <c r="M48" s="399">
        <v>0</v>
      </c>
      <c r="N48" s="399">
        <v>2341.1759999999999</v>
      </c>
      <c r="O48" s="399">
        <v>2341.1759999999999</v>
      </c>
      <c r="P48" s="399">
        <v>2341.1759999999999</v>
      </c>
      <c r="Q48" s="399">
        <v>2341.1759999999999</v>
      </c>
      <c r="R48" s="399"/>
      <c r="S48" s="399">
        <v>522.37</v>
      </c>
      <c r="T48" s="399">
        <v>144.41999999999999</v>
      </c>
      <c r="U48" s="399"/>
      <c r="V48" s="399">
        <v>1561072.74504</v>
      </c>
      <c r="W48" s="399">
        <v>1561072.74504</v>
      </c>
      <c r="X48" s="399">
        <v>1525838.0462400001</v>
      </c>
      <c r="Y48" s="399">
        <v>0</v>
      </c>
      <c r="Z48" s="399">
        <v>143750.49006518995</v>
      </c>
      <c r="AA48" s="399">
        <v>0</v>
      </c>
      <c r="AB48" s="399">
        <v>0</v>
      </c>
      <c r="AC48" s="399">
        <v>0</v>
      </c>
      <c r="AD48" s="399">
        <v>238714.85835441883</v>
      </c>
      <c r="AE48" s="399">
        <v>777053.21394891676</v>
      </c>
      <c r="AF48" s="399">
        <v>338116.90735992667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22200.799948606422</v>
      </c>
      <c r="AM48" s="399"/>
      <c r="AN48" s="399">
        <v>3406.0720547938927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37829.481066155939</v>
      </c>
      <c r="BH48" s="399">
        <v>0</v>
      </c>
      <c r="BI48" s="399">
        <v>510.7</v>
      </c>
      <c r="BJ48" s="399">
        <v>2372.96</v>
      </c>
      <c r="BK48" s="399">
        <v>341585.94</v>
      </c>
      <c r="BL48" s="399">
        <v>11957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375946.38842608262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1525840.6532000001</v>
      </c>
      <c r="CJ48" s="399">
        <v>-35232.12183999992</v>
      </c>
      <c r="CK48" s="399"/>
      <c r="CL48" s="399"/>
      <c r="CM48" s="399"/>
      <c r="CN48" s="399"/>
      <c r="CO48" s="399">
        <v>-48907.166639999967</v>
      </c>
      <c r="CP48" s="399">
        <v>13672.467840000008</v>
      </c>
      <c r="CQ48" s="399">
        <v>31</v>
      </c>
      <c r="CR48" s="399">
        <v>-224.7031588134123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9990.539473434008</v>
      </c>
      <c r="DA48" s="399">
        <v>0</v>
      </c>
      <c r="DB48" s="399">
        <v>0</v>
      </c>
      <c r="DC48" s="399">
        <v>13671.981807976088</v>
      </c>
      <c r="DD48" s="399">
        <v>0</v>
      </c>
      <c r="DE48" s="399">
        <v>0</v>
      </c>
      <c r="DF48" s="399">
        <v>0</v>
      </c>
      <c r="DG48" s="399">
        <v>1529.6602023839005</v>
      </c>
      <c r="DH48" s="399">
        <v>0</v>
      </c>
      <c r="DI48" s="399">
        <v>-22084.54807892676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-2921.2824856150801</v>
      </c>
      <c r="DP48" s="399">
        <v>-411.05407806534367</v>
      </c>
      <c r="DQ48" s="399">
        <v>0</v>
      </c>
      <c r="DR48" s="399">
        <v>0</v>
      </c>
      <c r="DS48" s="399"/>
      <c r="DT48" s="399"/>
      <c r="DU48" s="399"/>
      <c r="DV48" s="399">
        <v>777053.21394891676</v>
      </c>
      <c r="DW48" s="399">
        <v>0</v>
      </c>
      <c r="DX48" s="399">
        <v>0</v>
      </c>
      <c r="DY48" s="399">
        <v>-48907.166639999952</v>
      </c>
      <c r="DZ48" s="399">
        <v>13672.467839999998</v>
      </c>
      <c r="EA48" s="399">
        <v>0</v>
      </c>
      <c r="EB48" s="399">
        <v>0</v>
      </c>
      <c r="EC48" s="399">
        <v>-34996.324714666465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225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2359</v>
      </c>
      <c r="C49" s="399" t="s">
        <v>2357</v>
      </c>
      <c r="D49" s="399" t="s">
        <v>1823</v>
      </c>
      <c r="E49" s="399" t="s">
        <v>890</v>
      </c>
      <c r="F49" s="399" t="s">
        <v>890</v>
      </c>
      <c r="G49" s="399" t="s">
        <v>1240</v>
      </c>
      <c r="H49" s="399" t="s">
        <v>1240</v>
      </c>
      <c r="I49" s="399" t="s">
        <v>1240</v>
      </c>
      <c r="J49" s="399" t="s">
        <v>2358</v>
      </c>
      <c r="K49" s="789">
        <v>44470</v>
      </c>
      <c r="L49" s="399">
        <v>0</v>
      </c>
      <c r="M49" s="399">
        <v>0</v>
      </c>
      <c r="N49" s="399">
        <v>-18.765000000000001</v>
      </c>
      <c r="O49" s="399">
        <v>-18.765000000000001</v>
      </c>
      <c r="P49" s="399">
        <v>-18.765000000000001</v>
      </c>
      <c r="Q49" s="399">
        <v>-18.765000000000001</v>
      </c>
      <c r="R49" s="399"/>
      <c r="S49" s="399">
        <v>522.37</v>
      </c>
      <c r="T49" s="399">
        <v>144.41999999999999</v>
      </c>
      <c r="U49" s="399"/>
      <c r="V49" s="399">
        <v>-12512.314350000001</v>
      </c>
      <c r="W49" s="399">
        <v>-12512.314350000001</v>
      </c>
      <c r="X49" s="399">
        <v>-12229.901100000001</v>
      </c>
      <c r="Y49" s="399">
        <v>0</v>
      </c>
      <c r="Z49" s="399">
        <v>-1152.1893040392049</v>
      </c>
      <c r="AA49" s="399">
        <v>0</v>
      </c>
      <c r="AB49" s="399">
        <v>0</v>
      </c>
      <c r="AC49" s="399">
        <v>0</v>
      </c>
      <c r="AD49" s="399">
        <v>-1913.3479571893224</v>
      </c>
      <c r="AE49" s="399">
        <v>-6228.2389533086889</v>
      </c>
      <c r="AF49" s="399">
        <v>-2710.0755204260695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-177.94390982805203</v>
      </c>
      <c r="AM49" s="399"/>
      <c r="AN49" s="399">
        <v>-27.300357644281078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-303.21095560795783</v>
      </c>
      <c r="BH49" s="399">
        <v>0</v>
      </c>
      <c r="BI49" s="399">
        <v>0</v>
      </c>
      <c r="BJ49" s="399">
        <v>0</v>
      </c>
      <c r="BK49" s="399">
        <v>-4049.76</v>
      </c>
      <c r="BL49" s="399">
        <v>0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-3013.2864760340271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-12233.159799999999</v>
      </c>
      <c r="CJ49" s="399">
        <v>279.12455000000045</v>
      </c>
      <c r="CK49" s="399"/>
      <c r="CL49" s="399"/>
      <c r="CM49" s="399"/>
      <c r="CN49" s="399"/>
      <c r="CO49" s="399">
        <v>392.00084999999973</v>
      </c>
      <c r="CP49" s="399">
        <v>-109.58760000000007</v>
      </c>
      <c r="CQ49" s="399">
        <v>31</v>
      </c>
      <c r="CR49" s="399">
        <v>1.8010413463689474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-80.076198123929998</v>
      </c>
      <c r="DA49" s="399">
        <v>0</v>
      </c>
      <c r="DB49" s="399">
        <v>0</v>
      </c>
      <c r="DC49" s="399">
        <v>-109.58370435485085</v>
      </c>
      <c r="DD49" s="399">
        <v>0</v>
      </c>
      <c r="DE49" s="399">
        <v>0</v>
      </c>
      <c r="DF49" s="399">
        <v>0</v>
      </c>
      <c r="DG49" s="399">
        <v>-12.260536455923784</v>
      </c>
      <c r="DH49" s="399">
        <v>0</v>
      </c>
      <c r="DI49" s="399">
        <v>177.01212753806658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23.414671021130829</v>
      </c>
      <c r="DP49" s="399">
        <v>3.2946817218766</v>
      </c>
      <c r="DQ49" s="399">
        <v>0</v>
      </c>
      <c r="DR49" s="399">
        <v>0</v>
      </c>
      <c r="DS49" s="399"/>
      <c r="DT49" s="399"/>
      <c r="DU49" s="399"/>
      <c r="DV49" s="399">
        <v>-6228.2389533086889</v>
      </c>
      <c r="DW49" s="399">
        <v>0</v>
      </c>
      <c r="DX49" s="399">
        <v>0</v>
      </c>
      <c r="DY49" s="399">
        <v>392.00084999999854</v>
      </c>
      <c r="DZ49" s="399">
        <v>-109.58759999999984</v>
      </c>
      <c r="EA49" s="399">
        <v>0</v>
      </c>
      <c r="EB49" s="399">
        <v>0</v>
      </c>
      <c r="EC49" s="399">
        <v>280.5026334076183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225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2360</v>
      </c>
      <c r="C50" s="399" t="s">
        <v>2357</v>
      </c>
      <c r="D50" s="399" t="s">
        <v>1823</v>
      </c>
      <c r="E50" s="399" t="s">
        <v>890</v>
      </c>
      <c r="F50" s="399" t="s">
        <v>890</v>
      </c>
      <c r="G50" s="399" t="s">
        <v>1240</v>
      </c>
      <c r="H50" s="399" t="s">
        <v>1240</v>
      </c>
      <c r="I50" s="399" t="s">
        <v>1240</v>
      </c>
      <c r="J50" s="399" t="s">
        <v>2358</v>
      </c>
      <c r="K50" s="789">
        <v>44470</v>
      </c>
      <c r="L50" s="399">
        <v>0</v>
      </c>
      <c r="M50" s="399">
        <v>0</v>
      </c>
      <c r="N50" s="399">
        <v>6.1310000000000002</v>
      </c>
      <c r="O50" s="399">
        <v>6.1310000000000002</v>
      </c>
      <c r="P50" s="399">
        <v>6.1310000000000002</v>
      </c>
      <c r="Q50" s="399">
        <v>6.1310000000000002</v>
      </c>
      <c r="R50" s="399"/>
      <c r="S50" s="399">
        <v>522.37</v>
      </c>
      <c r="T50" s="399">
        <v>144.41999999999999</v>
      </c>
      <c r="U50" s="399"/>
      <c r="V50" s="399">
        <v>4088.0894899999998</v>
      </c>
      <c r="W50" s="399">
        <v>4088.0894899999998</v>
      </c>
      <c r="X50" s="399">
        <v>3995.8179400000004</v>
      </c>
      <c r="Y50" s="399">
        <v>0</v>
      </c>
      <c r="Z50" s="399">
        <v>376.44938039245216</v>
      </c>
      <c r="AA50" s="399">
        <v>0</v>
      </c>
      <c r="AB50" s="399">
        <v>0</v>
      </c>
      <c r="AC50" s="399">
        <v>0</v>
      </c>
      <c r="AD50" s="399">
        <v>625.13915936731871</v>
      </c>
      <c r="AE50" s="399">
        <v>2034.9231560210803</v>
      </c>
      <c r="AF50" s="399">
        <v>885.45020067850965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58.13877490838194</v>
      </c>
      <c r="AM50" s="399"/>
      <c r="AN50" s="399">
        <v>8.9197171711743835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99.066686322003164</v>
      </c>
      <c r="BH50" s="399">
        <v>0</v>
      </c>
      <c r="BI50" s="399">
        <v>1.18</v>
      </c>
      <c r="BJ50" s="399">
        <v>5.51</v>
      </c>
      <c r="BK50" s="399">
        <v>3505.85</v>
      </c>
      <c r="BL50" s="399">
        <v>58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984.51688700051284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3995.1661999999997</v>
      </c>
      <c r="CJ50" s="399">
        <v>-92.953290000000834</v>
      </c>
      <c r="CK50" s="399"/>
      <c r="CL50" s="399"/>
      <c r="CM50" s="399"/>
      <c r="CN50" s="399"/>
      <c r="CO50" s="399">
        <v>-128.07658999999992</v>
      </c>
      <c r="CP50" s="399">
        <v>35.80504000000002</v>
      </c>
      <c r="CQ50" s="399">
        <v>31</v>
      </c>
      <c r="CR50" s="399">
        <v>-0.5884457497782023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26.162918768868394</v>
      </c>
      <c r="DA50" s="399">
        <v>0</v>
      </c>
      <c r="DB50" s="399">
        <v>0</v>
      </c>
      <c r="DC50" s="399">
        <v>35.803767194222701</v>
      </c>
      <c r="DD50" s="399">
        <v>0</v>
      </c>
      <c r="DE50" s="399">
        <v>0</v>
      </c>
      <c r="DF50" s="399">
        <v>0</v>
      </c>
      <c r="DG50" s="399">
        <v>4.0058272854393238</v>
      </c>
      <c r="DH50" s="399">
        <v>0</v>
      </c>
      <c r="DI50" s="399">
        <v>-57.834338072789023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-7.6501650962191974</v>
      </c>
      <c r="DP50" s="399">
        <v>-1.0764558293005839</v>
      </c>
      <c r="DQ50" s="399">
        <v>0</v>
      </c>
      <c r="DR50" s="399">
        <v>0</v>
      </c>
      <c r="DS50" s="399"/>
      <c r="DT50" s="399"/>
      <c r="DU50" s="399"/>
      <c r="DV50" s="399">
        <v>2034.9231560210803</v>
      </c>
      <c r="DW50" s="399">
        <v>0</v>
      </c>
      <c r="DX50" s="399">
        <v>0</v>
      </c>
      <c r="DY50" s="399">
        <v>-128.07658999999967</v>
      </c>
      <c r="DZ50" s="399">
        <v>35.805040000000076</v>
      </c>
      <c r="EA50" s="399">
        <v>0</v>
      </c>
      <c r="EB50" s="399">
        <v>0</v>
      </c>
      <c r="EC50" s="399">
        <v>-91.647303246581941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225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957</v>
      </c>
      <c r="C51" s="399" t="s">
        <v>2357</v>
      </c>
      <c r="D51" s="399" t="s">
        <v>1823</v>
      </c>
      <c r="E51" s="399" t="s">
        <v>890</v>
      </c>
      <c r="F51" s="399" t="s">
        <v>2361</v>
      </c>
      <c r="G51" s="399" t="s">
        <v>1240</v>
      </c>
      <c r="H51" s="399" t="s">
        <v>1240</v>
      </c>
      <c r="I51" s="399" t="s">
        <v>1240</v>
      </c>
      <c r="J51" s="399" t="s">
        <v>2358</v>
      </c>
      <c r="K51" s="789">
        <v>44470</v>
      </c>
      <c r="L51" s="399">
        <v>0</v>
      </c>
      <c r="M51" s="399">
        <v>0</v>
      </c>
      <c r="N51" s="399">
        <v>15.36</v>
      </c>
      <c r="O51" s="399">
        <v>15.36</v>
      </c>
      <c r="P51" s="399">
        <v>15.36</v>
      </c>
      <c r="Q51" s="399">
        <v>15.36</v>
      </c>
      <c r="R51" s="399"/>
      <c r="S51" s="399">
        <v>451.48</v>
      </c>
      <c r="T51" s="399">
        <v>144.41999999999999</v>
      </c>
      <c r="U51" s="399"/>
      <c r="V51" s="399">
        <v>9153.0239999999994</v>
      </c>
      <c r="W51" s="399">
        <v>9153.0239999999994</v>
      </c>
      <c r="X51" s="399">
        <v>9086.0543999999991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1566.1617171557682</v>
      </c>
      <c r="AE51" s="399">
        <v>5098.0948746507565</v>
      </c>
      <c r="AF51" s="399">
        <v>2218.3192109642646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22.346575721617764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248.19186134496306</v>
      </c>
      <c r="BH51" s="399">
        <v>0</v>
      </c>
      <c r="BI51" s="399">
        <v>0.93</v>
      </c>
      <c r="BJ51" s="399">
        <v>3.91</v>
      </c>
      <c r="BK51" s="399">
        <v>379.05</v>
      </c>
      <c r="BL51" s="399">
        <v>13</v>
      </c>
      <c r="BM51" s="399"/>
      <c r="BN51" s="399"/>
      <c r="BO51" s="399"/>
      <c r="BP51" s="399"/>
      <c r="BQ51" s="399"/>
      <c r="BR51" s="399"/>
      <c r="BS51" s="399"/>
      <c r="BT51" s="399">
        <v>5905.9199999999992</v>
      </c>
      <c r="BU51" s="399"/>
      <c r="BV51" s="399">
        <v>2466.5110723092275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3180.1343999999999</v>
      </c>
      <c r="CJ51" s="399">
        <v>-23.530800000000454</v>
      </c>
      <c r="CK51" s="399"/>
      <c r="CL51" s="399"/>
      <c r="CM51" s="399"/>
      <c r="CN51" s="399"/>
      <c r="CO51" s="399">
        <v>-156.67200000000068</v>
      </c>
      <c r="CP51" s="399">
        <v>89.702400000000054</v>
      </c>
      <c r="CQ51" s="399">
        <v>31</v>
      </c>
      <c r="CR51" s="399">
        <v>162.58415298635873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65.545984715351096</v>
      </c>
      <c r="DA51" s="399">
        <v>0</v>
      </c>
      <c r="DB51" s="399">
        <v>0</v>
      </c>
      <c r="DC51" s="399">
        <v>89.699211238502812</v>
      </c>
      <c r="DD51" s="399">
        <v>0</v>
      </c>
      <c r="DE51" s="399">
        <v>0</v>
      </c>
      <c r="DF51" s="399">
        <v>0</v>
      </c>
      <c r="DG51" s="399">
        <v>10.035802822434846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0</v>
      </c>
      <c r="DP51" s="399">
        <v>-2.6968457899293696</v>
      </c>
      <c r="DQ51" s="399">
        <v>0</v>
      </c>
      <c r="DR51" s="399">
        <v>0</v>
      </c>
      <c r="DS51" s="399"/>
      <c r="DT51" s="399"/>
      <c r="DU51" s="399"/>
      <c r="DV51" s="399">
        <v>5098.0948746507565</v>
      </c>
      <c r="DW51" s="399">
        <v>0</v>
      </c>
      <c r="DX51" s="399">
        <v>0</v>
      </c>
      <c r="DY51" s="399">
        <v>-156.67200000000048</v>
      </c>
      <c r="DZ51" s="399">
        <v>89.702400000000125</v>
      </c>
      <c r="EA51" s="399">
        <v>0</v>
      </c>
      <c r="EB51" s="399">
        <v>0</v>
      </c>
      <c r="EC51" s="399">
        <v>-229.60407402829787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225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2359</v>
      </c>
      <c r="C52" s="399" t="s">
        <v>2357</v>
      </c>
      <c r="D52" s="399" t="s">
        <v>1823</v>
      </c>
      <c r="E52" s="399" t="s">
        <v>890</v>
      </c>
      <c r="F52" s="399" t="s">
        <v>2361</v>
      </c>
      <c r="G52" s="399" t="s">
        <v>1240</v>
      </c>
      <c r="H52" s="399" t="s">
        <v>1240</v>
      </c>
      <c r="I52" s="399" t="s">
        <v>1240</v>
      </c>
      <c r="J52" s="399" t="s">
        <v>2358</v>
      </c>
      <c r="K52" s="789">
        <v>44470</v>
      </c>
      <c r="L52" s="399">
        <v>0</v>
      </c>
      <c r="M52" s="399">
        <v>0</v>
      </c>
      <c r="N52" s="399">
        <v>0</v>
      </c>
      <c r="O52" s="399">
        <v>0</v>
      </c>
      <c r="P52" s="399">
        <v>0</v>
      </c>
      <c r="Q52" s="399">
        <v>0</v>
      </c>
      <c r="R52" s="399"/>
      <c r="S52" s="399"/>
      <c r="T52" s="399"/>
      <c r="U52" s="399"/>
      <c r="V52" s="399"/>
      <c r="W52" s="399"/>
      <c r="X52" s="399"/>
      <c r="Y52" s="399"/>
      <c r="Z52" s="399"/>
      <c r="AA52" s="399">
        <v>0</v>
      </c>
      <c r="AB52" s="399"/>
      <c r="AC52" s="399"/>
      <c r="AD52" s="399"/>
      <c r="AE52" s="399"/>
      <c r="AF52" s="399"/>
      <c r="AG52" s="399"/>
      <c r="AH52" s="399"/>
      <c r="AI52" s="399"/>
      <c r="AJ52" s="399"/>
      <c r="AK52" s="399"/>
      <c r="AL52" s="399"/>
      <c r="AM52" s="399"/>
      <c r="AN52" s="399"/>
      <c r="AO52" s="399"/>
      <c r="AP52" s="399"/>
      <c r="AQ52" s="399"/>
      <c r="AR52" s="399"/>
      <c r="AS52" s="399"/>
      <c r="AT52" s="399"/>
      <c r="AU52" s="399"/>
      <c r="AV52" s="399"/>
      <c r="AW52" s="399"/>
      <c r="AX52" s="399"/>
      <c r="AY52" s="399"/>
      <c r="AZ52" s="399">
        <v>0</v>
      </c>
      <c r="BA52" s="399"/>
      <c r="BB52" s="399"/>
      <c r="BC52" s="399"/>
      <c r="BD52" s="399"/>
      <c r="BE52" s="399"/>
      <c r="BF52" s="399"/>
      <c r="BG52" s="399"/>
      <c r="BH52" s="399"/>
      <c r="BI52" s="399">
        <v>0</v>
      </c>
      <c r="BJ52" s="399">
        <v>0</v>
      </c>
      <c r="BK52" s="399">
        <v>-0.13</v>
      </c>
      <c r="BL52" s="399">
        <v>0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/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/>
      <c r="CJ52" s="399">
        <v>-0.03</v>
      </c>
      <c r="CK52" s="399"/>
      <c r="CL52" s="399"/>
      <c r="CM52" s="399"/>
      <c r="CN52" s="399"/>
      <c r="CO52" s="399">
        <v>0</v>
      </c>
      <c r="CP52" s="399">
        <v>0</v>
      </c>
      <c r="CQ52" s="399">
        <v>31</v>
      </c>
      <c r="CR52" s="399"/>
      <c r="CS52" s="399"/>
      <c r="CT52" s="399"/>
      <c r="CU52" s="399"/>
      <c r="CV52" s="399"/>
      <c r="CW52" s="399"/>
      <c r="CX52" s="399"/>
      <c r="CY52" s="399"/>
      <c r="CZ52" s="399"/>
      <c r="DA52" s="399"/>
      <c r="DB52" s="399"/>
      <c r="DC52" s="399"/>
      <c r="DD52" s="399"/>
      <c r="DE52" s="399"/>
      <c r="DF52" s="399"/>
      <c r="DG52" s="399"/>
      <c r="DH52" s="399"/>
      <c r="DI52" s="399"/>
      <c r="DJ52" s="399"/>
      <c r="DK52" s="399">
        <v>0</v>
      </c>
      <c r="DL52" s="399"/>
      <c r="DM52" s="399"/>
      <c r="DN52" s="399"/>
      <c r="DO52" s="399"/>
      <c r="DP52" s="399"/>
      <c r="DQ52" s="399"/>
      <c r="DR52" s="399"/>
      <c r="DS52" s="399"/>
      <c r="DT52" s="399"/>
      <c r="DU52" s="399"/>
      <c r="DV52" s="399"/>
      <c r="DW52" s="399"/>
      <c r="DX52" s="399"/>
      <c r="DY52" s="399"/>
      <c r="DZ52" s="399"/>
      <c r="EA52" s="399"/>
      <c r="EB52" s="399"/>
      <c r="EC52" s="399"/>
      <c r="ED52" s="399"/>
      <c r="EE52" s="399"/>
      <c r="EF52" s="399"/>
      <c r="EG52" s="399"/>
      <c r="EH52" s="399"/>
      <c r="EI52" s="399"/>
      <c r="EJ52" s="399"/>
      <c r="EK52" s="399"/>
      <c r="EL52" s="399"/>
      <c r="EM52" s="399"/>
      <c r="EN52" s="399"/>
      <c r="EO52" s="399"/>
      <c r="EP52" s="399"/>
      <c r="EQ52" s="399"/>
      <c r="ER52" s="399"/>
      <c r="ES52" s="399"/>
      <c r="ET52" s="399"/>
      <c r="EU52" s="399"/>
      <c r="EV52" s="399">
        <v>225</v>
      </c>
      <c r="EW52" s="399"/>
      <c r="EX52" s="399"/>
      <c r="EY52" s="399"/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957</v>
      </c>
      <c r="C53" s="399" t="s">
        <v>2357</v>
      </c>
      <c r="D53" s="399" t="s">
        <v>1823</v>
      </c>
      <c r="E53" s="399" t="s">
        <v>890</v>
      </c>
      <c r="F53" s="399" t="s">
        <v>2362</v>
      </c>
      <c r="G53" s="399" t="s">
        <v>1240</v>
      </c>
      <c r="H53" s="399" t="s">
        <v>1240</v>
      </c>
      <c r="I53" s="399" t="s">
        <v>1240</v>
      </c>
      <c r="J53" s="399" t="s">
        <v>2358</v>
      </c>
      <c r="K53" s="789">
        <v>44470</v>
      </c>
      <c r="L53" s="399">
        <v>0</v>
      </c>
      <c r="M53" s="399">
        <v>0</v>
      </c>
      <c r="N53" s="399">
        <v>33.476999999999997</v>
      </c>
      <c r="O53" s="399">
        <v>33.476999999999997</v>
      </c>
      <c r="P53" s="399">
        <v>33.476999999999997</v>
      </c>
      <c r="Q53" s="399">
        <v>33.476999999999997</v>
      </c>
      <c r="R53" s="399"/>
      <c r="S53" s="399">
        <v>451.48</v>
      </c>
      <c r="T53" s="399">
        <v>144.41999999999999</v>
      </c>
      <c r="U53" s="399"/>
      <c r="V53" s="399">
        <v>19948.944299999999</v>
      </c>
      <c r="W53" s="399">
        <v>19948.944299999999</v>
      </c>
      <c r="X53" s="399">
        <v>19802.984579999997</v>
      </c>
      <c r="Y53" s="399">
        <v>0</v>
      </c>
      <c r="Z53" s="399">
        <v>0</v>
      </c>
      <c r="AA53" s="399">
        <v>0</v>
      </c>
      <c r="AB53" s="399">
        <v>0</v>
      </c>
      <c r="AC53" s="399">
        <v>0</v>
      </c>
      <c r="AD53" s="399">
        <v>3413.4372269025816</v>
      </c>
      <c r="AE53" s="399">
        <v>11111.257950435116</v>
      </c>
      <c r="AF53" s="399">
        <v>4834.8093896777791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0</v>
      </c>
      <c r="AM53" s="399"/>
      <c r="AN53" s="399">
        <v>48.704187202643091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540.93222280243026</v>
      </c>
      <c r="BH53" s="399">
        <v>0</v>
      </c>
      <c r="BI53" s="399">
        <v>3.32</v>
      </c>
      <c r="BJ53" s="399">
        <v>15.54</v>
      </c>
      <c r="BK53" s="399">
        <v>1447.34</v>
      </c>
      <c r="BL53" s="399">
        <v>58</v>
      </c>
      <c r="BM53" s="399"/>
      <c r="BN53" s="399"/>
      <c r="BO53" s="399"/>
      <c r="BP53" s="399"/>
      <c r="BQ53" s="399"/>
      <c r="BR53" s="399"/>
      <c r="BS53" s="399"/>
      <c r="BT53" s="399">
        <v>7920.9929699999993</v>
      </c>
      <c r="BU53" s="399"/>
      <c r="BV53" s="399">
        <v>5375.7416124802094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11883.056399999998</v>
      </c>
      <c r="CJ53" s="399">
        <v>-86.340180000001055</v>
      </c>
      <c r="CK53" s="399"/>
      <c r="CL53" s="399"/>
      <c r="CM53" s="399"/>
      <c r="CN53" s="399"/>
      <c r="CO53" s="399">
        <v>-341.46540000000147</v>
      </c>
      <c r="CP53" s="399">
        <v>195.5056800000001</v>
      </c>
      <c r="CQ53" s="399">
        <v>31</v>
      </c>
      <c r="CR53" s="399">
        <v>354.35089124507249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142.85696160910175</v>
      </c>
      <c r="DA53" s="399">
        <v>0</v>
      </c>
      <c r="DB53" s="399">
        <v>0</v>
      </c>
      <c r="DC53" s="399">
        <v>195.49873011922864</v>
      </c>
      <c r="DD53" s="399">
        <v>0</v>
      </c>
      <c r="DE53" s="399">
        <v>0</v>
      </c>
      <c r="DF53" s="399">
        <v>0</v>
      </c>
      <c r="DG53" s="399">
        <v>21.872953846787027</v>
      </c>
      <c r="DH53" s="399">
        <v>0</v>
      </c>
      <c r="DI53" s="399">
        <v>0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0</v>
      </c>
      <c r="DP53" s="399">
        <v>-5.8777543300433308</v>
      </c>
      <c r="DQ53" s="399">
        <v>0</v>
      </c>
      <c r="DR53" s="399">
        <v>0</v>
      </c>
      <c r="DS53" s="399"/>
      <c r="DT53" s="399"/>
      <c r="DU53" s="399"/>
      <c r="DV53" s="399">
        <v>11111.257950435116</v>
      </c>
      <c r="DW53" s="399">
        <v>0</v>
      </c>
      <c r="DX53" s="399">
        <v>0</v>
      </c>
      <c r="DY53" s="399">
        <v>-341.46540000000095</v>
      </c>
      <c r="DZ53" s="399">
        <v>195.50568000000021</v>
      </c>
      <c r="EA53" s="399">
        <v>0</v>
      </c>
      <c r="EB53" s="399">
        <v>0</v>
      </c>
      <c r="EC53" s="399">
        <v>-500.42028556284822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225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2359</v>
      </c>
      <c r="C54" s="399" t="s">
        <v>2357</v>
      </c>
      <c r="D54" s="399" t="s">
        <v>1823</v>
      </c>
      <c r="E54" s="399" t="s">
        <v>890</v>
      </c>
      <c r="F54" s="399" t="s">
        <v>2362</v>
      </c>
      <c r="G54" s="399" t="s">
        <v>1240</v>
      </c>
      <c r="H54" s="399" t="s">
        <v>1240</v>
      </c>
      <c r="I54" s="399" t="s">
        <v>1240</v>
      </c>
      <c r="J54" s="399" t="s">
        <v>2358</v>
      </c>
      <c r="K54" s="789">
        <v>44470</v>
      </c>
      <c r="L54" s="399">
        <v>0</v>
      </c>
      <c r="M54" s="399">
        <v>0</v>
      </c>
      <c r="N54" s="399">
        <v>7.0000000000000007E-2</v>
      </c>
      <c r="O54" s="399">
        <v>7.0000000000000007E-2</v>
      </c>
      <c r="P54" s="399">
        <v>7.0000000000000007E-2</v>
      </c>
      <c r="Q54" s="399">
        <v>7.0000000000000007E-2</v>
      </c>
      <c r="R54" s="399"/>
      <c r="S54" s="399">
        <v>451.48</v>
      </c>
      <c r="T54" s="399">
        <v>144.41999999999999</v>
      </c>
      <c r="U54" s="399"/>
      <c r="V54" s="399">
        <v>41.713000000000008</v>
      </c>
      <c r="W54" s="399">
        <v>41.713000000000008</v>
      </c>
      <c r="X54" s="399">
        <v>41.407800000000002</v>
      </c>
      <c r="Y54" s="399">
        <v>0</v>
      </c>
      <c r="Z54" s="399">
        <v>0</v>
      </c>
      <c r="AA54" s="399">
        <v>0</v>
      </c>
      <c r="AB54" s="399">
        <v>0</v>
      </c>
      <c r="AC54" s="399">
        <v>0</v>
      </c>
      <c r="AD54" s="399">
        <v>7.1374557422463409</v>
      </c>
      <c r="AE54" s="399">
        <v>23.233505288121943</v>
      </c>
      <c r="AF54" s="399">
        <v>10.10952765413402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0</v>
      </c>
      <c r="AM54" s="399"/>
      <c r="AN54" s="399">
        <v>0.10183986331466431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1.1310827014418892</v>
      </c>
      <c r="BH54" s="399">
        <v>0</v>
      </c>
      <c r="BI54" s="399">
        <v>0</v>
      </c>
      <c r="BJ54" s="399">
        <v>0</v>
      </c>
      <c r="BK54" s="399">
        <v>2.76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>
        <v>16.5627</v>
      </c>
      <c r="BU54" s="399"/>
      <c r="BV54" s="399">
        <v>11.240610355575908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24.845099999999999</v>
      </c>
      <c r="CJ54" s="399">
        <v>-0.21270000000000877</v>
      </c>
      <c r="CK54" s="399"/>
      <c r="CL54" s="399"/>
      <c r="CM54" s="399"/>
      <c r="CN54" s="399"/>
      <c r="CO54" s="399">
        <v>-0.7140000000000033</v>
      </c>
      <c r="CP54" s="399">
        <v>0.40880000000000027</v>
      </c>
      <c r="CQ54" s="399">
        <v>31</v>
      </c>
      <c r="CR54" s="399">
        <v>0.74094340553678961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0.29871216992672966</v>
      </c>
      <c r="DA54" s="399">
        <v>0</v>
      </c>
      <c r="DB54" s="399">
        <v>0</v>
      </c>
      <c r="DC54" s="399">
        <v>0.40878546788380277</v>
      </c>
      <c r="DD54" s="399">
        <v>0</v>
      </c>
      <c r="DE54" s="399">
        <v>0</v>
      </c>
      <c r="DF54" s="399">
        <v>0</v>
      </c>
      <c r="DG54" s="399">
        <v>4.5736080570991877E-2</v>
      </c>
      <c r="DH54" s="399">
        <v>0</v>
      </c>
      <c r="DI54" s="399">
        <v>0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</v>
      </c>
      <c r="DP54" s="399">
        <v>-1.22903128447302E-2</v>
      </c>
      <c r="DQ54" s="399">
        <v>0</v>
      </c>
      <c r="DR54" s="399">
        <v>0</v>
      </c>
      <c r="DS54" s="399"/>
      <c r="DT54" s="399"/>
      <c r="DU54" s="399"/>
      <c r="DV54" s="399">
        <v>23.233505288121943</v>
      </c>
      <c r="DW54" s="399">
        <v>0</v>
      </c>
      <c r="DX54" s="399">
        <v>0</v>
      </c>
      <c r="DY54" s="399">
        <v>-0.71400000000000219</v>
      </c>
      <c r="DZ54" s="399">
        <v>0.40879999999999939</v>
      </c>
      <c r="EA54" s="399">
        <v>0</v>
      </c>
      <c r="EB54" s="399">
        <v>0</v>
      </c>
      <c r="EC54" s="399">
        <v>-1.0463727332018813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225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957</v>
      </c>
      <c r="C55" s="399" t="s">
        <v>2357</v>
      </c>
      <c r="D55" s="399" t="s">
        <v>1823</v>
      </c>
      <c r="E55" s="399" t="s">
        <v>890</v>
      </c>
      <c r="F55" s="399" t="s">
        <v>2363</v>
      </c>
      <c r="G55" s="399" t="s">
        <v>1240</v>
      </c>
      <c r="H55" s="399" t="s">
        <v>1240</v>
      </c>
      <c r="I55" s="399" t="s">
        <v>1240</v>
      </c>
      <c r="J55" s="399" t="s">
        <v>2358</v>
      </c>
      <c r="K55" s="789">
        <v>44470</v>
      </c>
      <c r="L55" s="399">
        <v>0</v>
      </c>
      <c r="M55" s="399">
        <v>0</v>
      </c>
      <c r="N55" s="399">
        <v>36.628</v>
      </c>
      <c r="O55" s="399">
        <v>36.628</v>
      </c>
      <c r="P55" s="399">
        <v>36.628</v>
      </c>
      <c r="Q55" s="399">
        <v>36.628</v>
      </c>
      <c r="R55" s="399"/>
      <c r="S55" s="399">
        <v>451.48</v>
      </c>
      <c r="T55" s="399">
        <v>144.41999999999999</v>
      </c>
      <c r="U55" s="399"/>
      <c r="V55" s="399">
        <v>21826.625200000002</v>
      </c>
      <c r="W55" s="399">
        <v>21826.625200000002</v>
      </c>
      <c r="X55" s="399">
        <v>21666.927119999997</v>
      </c>
      <c r="Y55" s="399">
        <v>0</v>
      </c>
      <c r="Z55" s="399">
        <v>0</v>
      </c>
      <c r="AA55" s="399">
        <v>0</v>
      </c>
      <c r="AB55" s="399">
        <v>0</v>
      </c>
      <c r="AC55" s="399">
        <v>0</v>
      </c>
      <c r="AD55" s="399">
        <v>3734.7246989571277</v>
      </c>
      <c r="AE55" s="399">
        <v>12157.097595619007</v>
      </c>
      <c r="AF55" s="399">
        <v>5289.8825559374409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0</v>
      </c>
      <c r="AM55" s="399"/>
      <c r="AN55" s="399">
        <v>53.2884359069932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591.84710269162156</v>
      </c>
      <c r="BH55" s="399">
        <v>0</v>
      </c>
      <c r="BI55" s="399">
        <v>6.25</v>
      </c>
      <c r="BJ55" s="399">
        <v>29.22</v>
      </c>
      <c r="BK55" s="399">
        <v>4358.12</v>
      </c>
      <c r="BL55" s="399">
        <v>268</v>
      </c>
      <c r="BM55" s="399"/>
      <c r="BN55" s="399"/>
      <c r="BO55" s="399"/>
      <c r="BP55" s="399"/>
      <c r="BQ55" s="399"/>
      <c r="BR55" s="399"/>
      <c r="BS55" s="399"/>
      <c r="BT55" s="399">
        <v>2166.5461999999989</v>
      </c>
      <c r="BU55" s="399"/>
      <c r="BV55" s="399">
        <v>5881.7296586290622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19501.4457</v>
      </c>
      <c r="CJ55" s="399">
        <v>-142.91325999999754</v>
      </c>
      <c r="CK55" s="399"/>
      <c r="CL55" s="399"/>
      <c r="CM55" s="399"/>
      <c r="CN55" s="399"/>
      <c r="CO55" s="399">
        <v>-373.60560000000169</v>
      </c>
      <c r="CP55" s="399">
        <v>213.90752000000012</v>
      </c>
      <c r="CQ55" s="399">
        <v>31</v>
      </c>
      <c r="CR55" s="399">
        <v>387.70392940002421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156.30327657251837</v>
      </c>
      <c r="DA55" s="399">
        <v>0</v>
      </c>
      <c r="DB55" s="399">
        <v>0</v>
      </c>
      <c r="DC55" s="399">
        <v>213.89991596639811</v>
      </c>
      <c r="DD55" s="399">
        <v>0</v>
      </c>
      <c r="DE55" s="399">
        <v>0</v>
      </c>
      <c r="DF55" s="399">
        <v>0</v>
      </c>
      <c r="DG55" s="399">
        <v>23.931730845061338</v>
      </c>
      <c r="DH55" s="399">
        <v>0</v>
      </c>
      <c r="DI55" s="399">
        <v>0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0</v>
      </c>
      <c r="DP55" s="399">
        <v>-6.430993983953968</v>
      </c>
      <c r="DQ55" s="399">
        <v>0</v>
      </c>
      <c r="DR55" s="399">
        <v>0</v>
      </c>
      <c r="DS55" s="399"/>
      <c r="DT55" s="399"/>
      <c r="DU55" s="399"/>
      <c r="DV55" s="399">
        <v>12157.097595619007</v>
      </c>
      <c r="DW55" s="399">
        <v>0</v>
      </c>
      <c r="DX55" s="399">
        <v>0</v>
      </c>
      <c r="DY55" s="399">
        <v>-373.6056000000026</v>
      </c>
      <c r="DZ55" s="399">
        <v>213.90751999999975</v>
      </c>
      <c r="EA55" s="399">
        <v>0</v>
      </c>
      <c r="EB55" s="399">
        <v>0</v>
      </c>
      <c r="EC55" s="399">
        <v>-547.52200673883635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225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2359</v>
      </c>
      <c r="C56" s="399" t="s">
        <v>2357</v>
      </c>
      <c r="D56" s="399" t="s">
        <v>1823</v>
      </c>
      <c r="E56" s="399" t="s">
        <v>890</v>
      </c>
      <c r="F56" s="399" t="s">
        <v>2363</v>
      </c>
      <c r="G56" s="399" t="s">
        <v>1240</v>
      </c>
      <c r="H56" s="399" t="s">
        <v>1240</v>
      </c>
      <c r="I56" s="399" t="s">
        <v>1240</v>
      </c>
      <c r="J56" s="399" t="s">
        <v>2358</v>
      </c>
      <c r="K56" s="789">
        <v>44470</v>
      </c>
      <c r="L56" s="399">
        <v>0</v>
      </c>
      <c r="M56" s="399">
        <v>0</v>
      </c>
      <c r="N56" s="399">
        <v>0.10199999999999999</v>
      </c>
      <c r="O56" s="399">
        <v>0.10199999999999999</v>
      </c>
      <c r="P56" s="399">
        <v>0.10199999999999999</v>
      </c>
      <c r="Q56" s="399">
        <v>0.10199999999999999</v>
      </c>
      <c r="R56" s="399"/>
      <c r="S56" s="399">
        <v>451.48</v>
      </c>
      <c r="T56" s="399">
        <v>144.41999999999999</v>
      </c>
      <c r="U56" s="399"/>
      <c r="V56" s="399">
        <v>60.78179999999999</v>
      </c>
      <c r="W56" s="399">
        <v>60.78179999999999</v>
      </c>
      <c r="X56" s="399">
        <v>60.337079999999986</v>
      </c>
      <c r="Y56" s="399">
        <v>0</v>
      </c>
      <c r="Z56" s="399">
        <v>0</v>
      </c>
      <c r="AA56" s="399">
        <v>0</v>
      </c>
      <c r="AB56" s="399">
        <v>0</v>
      </c>
      <c r="AC56" s="399">
        <v>0</v>
      </c>
      <c r="AD56" s="399">
        <v>10.400292652987524</v>
      </c>
      <c r="AE56" s="399">
        <v>33.854536276977683</v>
      </c>
      <c r="AF56" s="399">
        <v>14.73102601030957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0</v>
      </c>
      <c r="AM56" s="399"/>
      <c r="AN56" s="399">
        <v>0.14839522940136796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1.6481490792438953</v>
      </c>
      <c r="BH56" s="399">
        <v>0</v>
      </c>
      <c r="BI56" s="399">
        <v>0</v>
      </c>
      <c r="BJ56" s="399">
        <v>0</v>
      </c>
      <c r="BK56" s="399">
        <v>15.97</v>
      </c>
      <c r="BL56" s="399">
        <v>0</v>
      </c>
      <c r="BM56" s="399"/>
      <c r="BN56" s="399"/>
      <c r="BO56" s="399"/>
      <c r="BP56" s="399"/>
      <c r="BQ56" s="399"/>
      <c r="BR56" s="399"/>
      <c r="BS56" s="399"/>
      <c r="BT56" s="399">
        <v>6.033299999999997</v>
      </c>
      <c r="BU56" s="399"/>
      <c r="BV56" s="399">
        <v>16.379175089553467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53.239000000000004</v>
      </c>
      <c r="CJ56" s="399">
        <v>-1.4956399999999803</v>
      </c>
      <c r="CK56" s="399"/>
      <c r="CL56" s="399"/>
      <c r="CM56" s="399"/>
      <c r="CN56" s="399"/>
      <c r="CO56" s="399">
        <v>-1.0404000000000047</v>
      </c>
      <c r="CP56" s="399">
        <v>0.59568000000000032</v>
      </c>
      <c r="CQ56" s="399">
        <v>31</v>
      </c>
      <c r="CR56" s="399">
        <v>1.0796603909250386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0.4352663047503782</v>
      </c>
      <c r="DA56" s="399">
        <v>0</v>
      </c>
      <c r="DB56" s="399">
        <v>0</v>
      </c>
      <c r="DC56" s="399">
        <v>0.5956588246306822</v>
      </c>
      <c r="DD56" s="399">
        <v>0</v>
      </c>
      <c r="DE56" s="399">
        <v>0</v>
      </c>
      <c r="DF56" s="399">
        <v>0</v>
      </c>
      <c r="DG56" s="399">
        <v>6.664400311773111E-2</v>
      </c>
      <c r="DH56" s="399">
        <v>0</v>
      </c>
      <c r="DI56" s="399">
        <v>0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</v>
      </c>
      <c r="DP56" s="399">
        <v>-1.790874157374972E-2</v>
      </c>
      <c r="DQ56" s="399">
        <v>0</v>
      </c>
      <c r="DR56" s="399">
        <v>0</v>
      </c>
      <c r="DS56" s="399"/>
      <c r="DT56" s="399"/>
      <c r="DU56" s="399"/>
      <c r="DV56" s="399">
        <v>33.854536276977683</v>
      </c>
      <c r="DW56" s="399">
        <v>0</v>
      </c>
      <c r="DX56" s="399">
        <v>0</v>
      </c>
      <c r="DY56" s="399">
        <v>-1.0404000000000053</v>
      </c>
      <c r="DZ56" s="399">
        <v>0.59568000000000154</v>
      </c>
      <c r="EA56" s="399">
        <v>0</v>
      </c>
      <c r="EB56" s="399">
        <v>0</v>
      </c>
      <c r="EC56" s="399">
        <v>-1.5247145540941673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225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957</v>
      </c>
      <c r="C57" s="399" t="s">
        <v>2357</v>
      </c>
      <c r="D57" s="399" t="s">
        <v>1823</v>
      </c>
      <c r="E57" s="399" t="s">
        <v>890</v>
      </c>
      <c r="F57" s="399" t="s">
        <v>2364</v>
      </c>
      <c r="G57" s="399" t="s">
        <v>1240</v>
      </c>
      <c r="H57" s="399" t="s">
        <v>1240</v>
      </c>
      <c r="I57" s="399" t="s">
        <v>1240</v>
      </c>
      <c r="J57" s="399" t="s">
        <v>2358</v>
      </c>
      <c r="K57" s="789">
        <v>44470</v>
      </c>
      <c r="L57" s="399">
        <v>0</v>
      </c>
      <c r="M57" s="399">
        <v>0</v>
      </c>
      <c r="N57" s="399">
        <v>13.89</v>
      </c>
      <c r="O57" s="399">
        <v>13.89</v>
      </c>
      <c r="P57" s="399">
        <v>13.89</v>
      </c>
      <c r="Q57" s="399">
        <v>13.89</v>
      </c>
      <c r="R57" s="399"/>
      <c r="S57" s="399">
        <v>451.48</v>
      </c>
      <c r="T57" s="399">
        <v>144.41999999999999</v>
      </c>
      <c r="U57" s="399"/>
      <c r="V57" s="399">
        <v>8277.0509999999995</v>
      </c>
      <c r="W57" s="399">
        <v>8277.0509999999995</v>
      </c>
      <c r="X57" s="399">
        <v>8216.490600000001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1416.2751465685953</v>
      </c>
      <c r="AE57" s="399">
        <v>4610.1912636001962</v>
      </c>
      <c r="AF57" s="399">
        <v>2006.0191302274504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20.207938592009818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224.43912461468341</v>
      </c>
      <c r="BH57" s="399">
        <v>0</v>
      </c>
      <c r="BI57" s="399">
        <v>3.35</v>
      </c>
      <c r="BJ57" s="399">
        <v>15.86</v>
      </c>
      <c r="BK57" s="399">
        <v>3331.65</v>
      </c>
      <c r="BL57" s="399">
        <v>173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2230.458254842134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8216.490600000001</v>
      </c>
      <c r="CJ57" s="399">
        <v>-60.590399999999136</v>
      </c>
      <c r="CK57" s="399"/>
      <c r="CL57" s="399"/>
      <c r="CM57" s="399"/>
      <c r="CN57" s="399"/>
      <c r="CO57" s="399">
        <v>-141.67800000000065</v>
      </c>
      <c r="CP57" s="399">
        <v>81.117600000000053</v>
      </c>
      <c r="CQ57" s="399">
        <v>31</v>
      </c>
      <c r="CR57" s="399">
        <v>147.02434147008671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59.273029146889485</v>
      </c>
      <c r="DA57" s="399">
        <v>0</v>
      </c>
      <c r="DB57" s="399">
        <v>0</v>
      </c>
      <c r="DC57" s="399">
        <v>81.114716412943153</v>
      </c>
      <c r="DD57" s="399">
        <v>0</v>
      </c>
      <c r="DE57" s="399">
        <v>0</v>
      </c>
      <c r="DF57" s="399">
        <v>0</v>
      </c>
      <c r="DG57" s="399">
        <v>9.075345130443992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0</v>
      </c>
      <c r="DP57" s="399">
        <v>-2.4387492201900365</v>
      </c>
      <c r="DQ57" s="399">
        <v>0</v>
      </c>
      <c r="DR57" s="399">
        <v>0</v>
      </c>
      <c r="DS57" s="399"/>
      <c r="DT57" s="399"/>
      <c r="DU57" s="399"/>
      <c r="DV57" s="399">
        <v>4610.1912636001962</v>
      </c>
      <c r="DW57" s="399">
        <v>0</v>
      </c>
      <c r="DX57" s="399">
        <v>0</v>
      </c>
      <c r="DY57" s="399">
        <v>-141.67799999999988</v>
      </c>
      <c r="DZ57" s="399">
        <v>81.117599999999811</v>
      </c>
      <c r="EA57" s="399">
        <v>0</v>
      </c>
      <c r="EB57" s="399">
        <v>0</v>
      </c>
      <c r="EC57" s="399">
        <v>-207.63024663105898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225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2359</v>
      </c>
      <c r="C58" s="399" t="s">
        <v>2357</v>
      </c>
      <c r="D58" s="399" t="s">
        <v>1823</v>
      </c>
      <c r="E58" s="399" t="s">
        <v>890</v>
      </c>
      <c r="F58" s="399" t="s">
        <v>2364</v>
      </c>
      <c r="G58" s="399" t="s">
        <v>1240</v>
      </c>
      <c r="H58" s="399" t="s">
        <v>1240</v>
      </c>
      <c r="I58" s="399" t="s">
        <v>1240</v>
      </c>
      <c r="J58" s="399" t="s">
        <v>2358</v>
      </c>
      <c r="K58" s="789">
        <v>44470</v>
      </c>
      <c r="L58" s="399">
        <v>0</v>
      </c>
      <c r="M58" s="399">
        <v>0</v>
      </c>
      <c r="N58" s="399">
        <v>-3.6999999999999998E-2</v>
      </c>
      <c r="O58" s="399">
        <v>-3.6999999999999998E-2</v>
      </c>
      <c r="P58" s="399">
        <v>-3.6999999999999998E-2</v>
      </c>
      <c r="Q58" s="399">
        <v>-3.6999999999999998E-2</v>
      </c>
      <c r="R58" s="399"/>
      <c r="S58" s="399">
        <v>451.48</v>
      </c>
      <c r="T58" s="399">
        <v>144.41999999999999</v>
      </c>
      <c r="U58" s="399"/>
      <c r="V58" s="399">
        <v>-22.048299999999998</v>
      </c>
      <c r="W58" s="399">
        <v>-22.048299999999998</v>
      </c>
      <c r="X58" s="399">
        <v>-21.886979999999998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-3.7726551780444937</v>
      </c>
      <c r="AE58" s="399">
        <v>-12.280567080864454</v>
      </c>
      <c r="AF58" s="399">
        <v>-5.3436074743279809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-5.3829642037751126E-2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-0.59785799933356987</v>
      </c>
      <c r="BH58" s="399">
        <v>0</v>
      </c>
      <c r="BI58" s="399">
        <v>0</v>
      </c>
      <c r="BJ58" s="399">
        <v>0</v>
      </c>
      <c r="BK58" s="399">
        <v>-10.48</v>
      </c>
      <c r="BL58" s="399">
        <v>0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-5.9414654736615509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-23.6616</v>
      </c>
      <c r="CJ58" s="399">
        <v>-1.6433000000000071</v>
      </c>
      <c r="CK58" s="399"/>
      <c r="CL58" s="399"/>
      <c r="CM58" s="399"/>
      <c r="CN58" s="399"/>
      <c r="CO58" s="399">
        <v>0.37740000000000168</v>
      </c>
      <c r="CP58" s="399">
        <v>-0.21608000000000011</v>
      </c>
      <c r="CQ58" s="399">
        <v>31</v>
      </c>
      <c r="CR58" s="399">
        <v>-0.39164151435516104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-0.15789071838984325</v>
      </c>
      <c r="DA58" s="399">
        <v>0</v>
      </c>
      <c r="DB58" s="399">
        <v>0</v>
      </c>
      <c r="DC58" s="399">
        <v>-0.2160723187385809</v>
      </c>
      <c r="DD58" s="399">
        <v>0</v>
      </c>
      <c r="DE58" s="399">
        <v>0</v>
      </c>
      <c r="DF58" s="399">
        <v>0</v>
      </c>
      <c r="DG58" s="399">
        <v>-2.4174785444667224E-2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0</v>
      </c>
      <c r="DP58" s="399">
        <v>6.4963082179288201E-3</v>
      </c>
      <c r="DQ58" s="399">
        <v>0</v>
      </c>
      <c r="DR58" s="399">
        <v>0</v>
      </c>
      <c r="DS58" s="399"/>
      <c r="DT58" s="399"/>
      <c r="DU58" s="399"/>
      <c r="DV58" s="399">
        <v>-12.280567080864454</v>
      </c>
      <c r="DW58" s="399">
        <v>0</v>
      </c>
      <c r="DX58" s="399">
        <v>0</v>
      </c>
      <c r="DY58" s="399">
        <v>0.37740000000000151</v>
      </c>
      <c r="DZ58" s="399">
        <v>-0.21608000000000072</v>
      </c>
      <c r="EA58" s="399">
        <v>0</v>
      </c>
      <c r="EB58" s="399">
        <v>0</v>
      </c>
      <c r="EC58" s="399">
        <v>0.55308273040670919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225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957</v>
      </c>
      <c r="C59" s="399" t="s">
        <v>2357</v>
      </c>
      <c r="D59" s="399" t="s">
        <v>1826</v>
      </c>
      <c r="E59" s="399" t="s">
        <v>891</v>
      </c>
      <c r="F59" s="399" t="s">
        <v>1240</v>
      </c>
      <c r="G59" s="399" t="s">
        <v>1240</v>
      </c>
      <c r="H59" s="399" t="s">
        <v>1240</v>
      </c>
      <c r="I59" s="399" t="s">
        <v>1240</v>
      </c>
      <c r="J59" s="399" t="s">
        <v>2358</v>
      </c>
      <c r="K59" s="789">
        <v>44470</v>
      </c>
      <c r="L59" s="399">
        <v>0</v>
      </c>
      <c r="M59" s="399">
        <v>0</v>
      </c>
      <c r="N59" s="399">
        <v>343.846</v>
      </c>
      <c r="O59" s="399">
        <v>343.846</v>
      </c>
      <c r="P59" s="399">
        <v>343.846</v>
      </c>
      <c r="Q59" s="399">
        <v>343.846</v>
      </c>
      <c r="R59" s="399"/>
      <c r="S59" s="399">
        <v>522.37</v>
      </c>
      <c r="T59" s="399">
        <v>144.41999999999999</v>
      </c>
      <c r="U59" s="399"/>
      <c r="V59" s="399">
        <v>229273.07433999999</v>
      </c>
      <c r="W59" s="399">
        <v>229273.07433999999</v>
      </c>
      <c r="X59" s="399">
        <v>224098.19204000002</v>
      </c>
      <c r="Y59" s="399">
        <v>0</v>
      </c>
      <c r="Z59" s="399">
        <v>21112.479799449211</v>
      </c>
      <c r="AA59" s="399">
        <v>0</v>
      </c>
      <c r="AB59" s="399">
        <v>0</v>
      </c>
      <c r="AC59" s="399">
        <v>0</v>
      </c>
      <c r="AD59" s="399">
        <v>35059.794387834787</v>
      </c>
      <c r="AE59" s="399">
        <v>114124.96941856538</v>
      </c>
      <c r="AF59" s="399">
        <v>49658.866368048082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3260.6076002524051</v>
      </c>
      <c r="AM59" s="399"/>
      <c r="AN59" s="399">
        <v>500.2461377327723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5555.9751794283966</v>
      </c>
      <c r="BH59" s="399">
        <v>0</v>
      </c>
      <c r="BI59" s="399">
        <v>28.61</v>
      </c>
      <c r="BJ59" s="399">
        <v>133.66</v>
      </c>
      <c r="BK59" s="399">
        <v>82279.75</v>
      </c>
      <c r="BL59" s="399">
        <v>550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55214.841547476477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224100.799</v>
      </c>
      <c r="CJ59" s="399">
        <v>-5172.3053400000208</v>
      </c>
      <c r="CK59" s="399"/>
      <c r="CL59" s="399"/>
      <c r="CM59" s="399"/>
      <c r="CN59" s="399"/>
      <c r="CO59" s="399">
        <v>-7182.9429399999954</v>
      </c>
      <c r="CP59" s="399">
        <v>2008.0606400000013</v>
      </c>
      <c r="CQ59" s="399">
        <v>31</v>
      </c>
      <c r="CR59" s="399">
        <v>-33.001911152881803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1467.2997825803759</v>
      </c>
      <c r="DA59" s="399">
        <v>0</v>
      </c>
      <c r="DB59" s="399">
        <v>0</v>
      </c>
      <c r="DC59" s="399">
        <v>2007.98925699963</v>
      </c>
      <c r="DD59" s="399">
        <v>0</v>
      </c>
      <c r="DE59" s="399">
        <v>0</v>
      </c>
      <c r="DF59" s="399">
        <v>0</v>
      </c>
      <c r="DG59" s="399">
        <v>224.65954800019063</v>
      </c>
      <c r="DH59" s="399">
        <v>0</v>
      </c>
      <c r="DI59" s="399">
        <v>-3243.5338132402903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-429.04561534408504</v>
      </c>
      <c r="DP59" s="399">
        <v>-60.371070148701449</v>
      </c>
      <c r="DQ59" s="399">
        <v>0</v>
      </c>
      <c r="DR59" s="399">
        <v>0</v>
      </c>
      <c r="DS59" s="399"/>
      <c r="DT59" s="399"/>
      <c r="DU59" s="399"/>
      <c r="DV59" s="399">
        <v>114124.96941856538</v>
      </c>
      <c r="DW59" s="399">
        <v>0</v>
      </c>
      <c r="DX59" s="399">
        <v>0</v>
      </c>
      <c r="DY59" s="399">
        <v>-7182.942939999979</v>
      </c>
      <c r="DZ59" s="399">
        <v>2008.0606400000033</v>
      </c>
      <c r="EA59" s="399">
        <v>0</v>
      </c>
      <c r="EB59" s="399">
        <v>0</v>
      </c>
      <c r="EC59" s="399">
        <v>-5139.8725545790512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225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2359</v>
      </c>
      <c r="C60" s="399" t="s">
        <v>2357</v>
      </c>
      <c r="D60" s="399" t="s">
        <v>1826</v>
      </c>
      <c r="E60" s="399" t="s">
        <v>891</v>
      </c>
      <c r="F60" s="399" t="s">
        <v>1240</v>
      </c>
      <c r="G60" s="399" t="s">
        <v>1240</v>
      </c>
      <c r="H60" s="399" t="s">
        <v>1240</v>
      </c>
      <c r="I60" s="399" t="s">
        <v>1240</v>
      </c>
      <c r="J60" s="399" t="s">
        <v>2358</v>
      </c>
      <c r="K60" s="789">
        <v>44470</v>
      </c>
      <c r="L60" s="399">
        <v>0</v>
      </c>
      <c r="M60" s="399">
        <v>0</v>
      </c>
      <c r="N60" s="399">
        <v>0.91</v>
      </c>
      <c r="O60" s="399">
        <v>0.91</v>
      </c>
      <c r="P60" s="399">
        <v>0.91</v>
      </c>
      <c r="Q60" s="399">
        <v>0.91</v>
      </c>
      <c r="R60" s="399"/>
      <c r="S60" s="399">
        <v>522.37</v>
      </c>
      <c r="T60" s="399">
        <v>144.41999999999999</v>
      </c>
      <c r="U60" s="399"/>
      <c r="V60" s="399">
        <v>606.77890000000002</v>
      </c>
      <c r="W60" s="399">
        <v>606.77890000000002</v>
      </c>
      <c r="X60" s="399">
        <v>593.08339999999998</v>
      </c>
      <c r="Y60" s="399">
        <v>0</v>
      </c>
      <c r="Z60" s="399">
        <v>55.874887645919344</v>
      </c>
      <c r="AA60" s="399">
        <v>0</v>
      </c>
      <c r="AB60" s="399">
        <v>0</v>
      </c>
      <c r="AC60" s="399">
        <v>0</v>
      </c>
      <c r="AD60" s="399">
        <v>92.786924649202419</v>
      </c>
      <c r="AE60" s="399">
        <v>302.03556874558524</v>
      </c>
      <c r="AF60" s="399">
        <v>131.42385950374225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8.6293076442060936</v>
      </c>
      <c r="AM60" s="399"/>
      <c r="AN60" s="399">
        <v>1.3239182230906359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14.704075118744557</v>
      </c>
      <c r="BH60" s="399">
        <v>0</v>
      </c>
      <c r="BI60" s="399">
        <v>7.0000000000000007E-2</v>
      </c>
      <c r="BJ60" s="399">
        <v>0.31</v>
      </c>
      <c r="BK60" s="399">
        <v>215.43</v>
      </c>
      <c r="BL60" s="399">
        <v>0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146.1279346224868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593.08339999999998</v>
      </c>
      <c r="CJ60" s="399">
        <v>-13.725500000000011</v>
      </c>
      <c r="CK60" s="399"/>
      <c r="CL60" s="399"/>
      <c r="CM60" s="399"/>
      <c r="CN60" s="399"/>
      <c r="CO60" s="399">
        <v>-19.009899999999988</v>
      </c>
      <c r="CP60" s="399">
        <v>5.3144000000000036</v>
      </c>
      <c r="CQ60" s="399">
        <v>31</v>
      </c>
      <c r="CR60" s="399">
        <v>-8.7340667476496492E-2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3.8832582090474972</v>
      </c>
      <c r="DA60" s="399">
        <v>0</v>
      </c>
      <c r="DB60" s="399">
        <v>0</v>
      </c>
      <c r="DC60" s="399">
        <v>5.314211082489436</v>
      </c>
      <c r="DD60" s="399">
        <v>0</v>
      </c>
      <c r="DE60" s="399">
        <v>0</v>
      </c>
      <c r="DF60" s="399">
        <v>0</v>
      </c>
      <c r="DG60" s="399">
        <v>0.59456904742289751</v>
      </c>
      <c r="DH60" s="399">
        <v>0</v>
      </c>
      <c r="DI60" s="399">
        <v>-8.5841212928132506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-1.1354836466415694</v>
      </c>
      <c r="DP60" s="399">
        <v>-0.15977406698149266</v>
      </c>
      <c r="DQ60" s="399">
        <v>0</v>
      </c>
      <c r="DR60" s="399">
        <v>0</v>
      </c>
      <c r="DS60" s="399"/>
      <c r="DT60" s="399"/>
      <c r="DU60" s="399"/>
      <c r="DV60" s="399">
        <v>302.03556874558524</v>
      </c>
      <c r="DW60" s="399">
        <v>0</v>
      </c>
      <c r="DX60" s="399">
        <v>0</v>
      </c>
      <c r="DY60" s="399">
        <v>-19.009900000000016</v>
      </c>
      <c r="DZ60" s="399">
        <v>5.3144000000000062</v>
      </c>
      <c r="EA60" s="399">
        <v>0</v>
      </c>
      <c r="EB60" s="399">
        <v>0</v>
      </c>
      <c r="EC60" s="399">
        <v>-13.602845531624439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225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2360</v>
      </c>
      <c r="C61" s="399" t="s">
        <v>2357</v>
      </c>
      <c r="D61" s="399" t="s">
        <v>1826</v>
      </c>
      <c r="E61" s="399" t="s">
        <v>891</v>
      </c>
      <c r="F61" s="399" t="s">
        <v>1240</v>
      </c>
      <c r="G61" s="399" t="s">
        <v>1240</v>
      </c>
      <c r="H61" s="399" t="s">
        <v>1240</v>
      </c>
      <c r="I61" s="399" t="s">
        <v>1240</v>
      </c>
      <c r="J61" s="399" t="s">
        <v>2358</v>
      </c>
      <c r="K61" s="789">
        <v>44470</v>
      </c>
      <c r="L61" s="399">
        <v>0</v>
      </c>
      <c r="M61" s="399">
        <v>0</v>
      </c>
      <c r="N61" s="399">
        <v>6.0739999999999998</v>
      </c>
      <c r="O61" s="399">
        <v>6.0739999999999998</v>
      </c>
      <c r="P61" s="399">
        <v>6.0739999999999998</v>
      </c>
      <c r="Q61" s="399">
        <v>6.0739999999999998</v>
      </c>
      <c r="R61" s="399"/>
      <c r="S61" s="399">
        <v>522.37</v>
      </c>
      <c r="T61" s="399">
        <v>144.41999999999999</v>
      </c>
      <c r="U61" s="399"/>
      <c r="V61" s="399">
        <v>4050.0824599999996</v>
      </c>
      <c r="W61" s="399">
        <v>4050.0824599999996</v>
      </c>
      <c r="X61" s="399">
        <v>3958.66876</v>
      </c>
      <c r="Y61" s="399">
        <v>0</v>
      </c>
      <c r="Z61" s="399">
        <v>372.94952479265282</v>
      </c>
      <c r="AA61" s="399">
        <v>0</v>
      </c>
      <c r="AB61" s="399">
        <v>0</v>
      </c>
      <c r="AC61" s="399">
        <v>0</v>
      </c>
      <c r="AD61" s="399">
        <v>619.32723112006101</v>
      </c>
      <c r="AE61" s="399">
        <v>2016.0044445721808</v>
      </c>
      <c r="AF61" s="399">
        <v>877.21815673157187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57.598257836162432</v>
      </c>
      <c r="AM61" s="399"/>
      <c r="AN61" s="399">
        <v>8.8367904253324419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98.14566183654334</v>
      </c>
      <c r="BH61" s="399">
        <v>0</v>
      </c>
      <c r="BI61" s="399">
        <v>0</v>
      </c>
      <c r="BJ61" s="399">
        <v>0</v>
      </c>
      <c r="BK61" s="399">
        <v>2621.39</v>
      </c>
      <c r="BL61" s="399">
        <v>6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975.36381856811522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3956.0618000000004</v>
      </c>
      <c r="CJ61" s="399">
        <v>-94.05065999999988</v>
      </c>
      <c r="CK61" s="399"/>
      <c r="CL61" s="399"/>
      <c r="CM61" s="399"/>
      <c r="CN61" s="399"/>
      <c r="CO61" s="399">
        <v>-126.88585999999991</v>
      </c>
      <c r="CP61" s="399">
        <v>35.472160000000017</v>
      </c>
      <c r="CQ61" s="399">
        <v>31</v>
      </c>
      <c r="CR61" s="399">
        <v>-0.58297496071691057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25.919681716213631</v>
      </c>
      <c r="DA61" s="399">
        <v>0</v>
      </c>
      <c r="DB61" s="399">
        <v>0</v>
      </c>
      <c r="DC61" s="399">
        <v>35.470899027517362</v>
      </c>
      <c r="DD61" s="399">
        <v>0</v>
      </c>
      <c r="DE61" s="399">
        <v>0</v>
      </c>
      <c r="DF61" s="399">
        <v>0</v>
      </c>
      <c r="DG61" s="399">
        <v>3.9685850484029288</v>
      </c>
      <c r="DH61" s="399">
        <v>0</v>
      </c>
      <c r="DI61" s="399">
        <v>-57.296651354447988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-7.5790413952757092</v>
      </c>
      <c r="DP61" s="399">
        <v>-1.066448003127018</v>
      </c>
      <c r="DQ61" s="399">
        <v>0</v>
      </c>
      <c r="DR61" s="399">
        <v>0</v>
      </c>
      <c r="DS61" s="399"/>
      <c r="DT61" s="399"/>
      <c r="DU61" s="399"/>
      <c r="DV61" s="399">
        <v>2016.0044445721808</v>
      </c>
      <c r="DW61" s="399">
        <v>0</v>
      </c>
      <c r="DX61" s="399">
        <v>0</v>
      </c>
      <c r="DY61" s="399">
        <v>-126.88585999999987</v>
      </c>
      <c r="DZ61" s="399">
        <v>35.472160000000031</v>
      </c>
      <c r="EA61" s="399">
        <v>0</v>
      </c>
      <c r="EB61" s="399">
        <v>0</v>
      </c>
      <c r="EC61" s="399">
        <v>-90.79525687811747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225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957</v>
      </c>
      <c r="C62" s="399" t="s">
        <v>2365</v>
      </c>
      <c r="D62" s="399" t="s">
        <v>534</v>
      </c>
      <c r="E62" s="399" t="s">
        <v>891</v>
      </c>
      <c r="F62" s="399" t="s">
        <v>1240</v>
      </c>
      <c r="G62" s="399" t="s">
        <v>1240</v>
      </c>
      <c r="H62" s="399" t="s">
        <v>1240</v>
      </c>
      <c r="I62" s="399" t="s">
        <v>894</v>
      </c>
      <c r="J62" s="399" t="s">
        <v>2358</v>
      </c>
      <c r="K62" s="789">
        <v>44470</v>
      </c>
      <c r="L62" s="399">
        <v>1273</v>
      </c>
      <c r="M62" s="399">
        <v>1273</v>
      </c>
      <c r="N62" s="399">
        <v>69.762</v>
      </c>
      <c r="O62" s="399">
        <v>69.762</v>
      </c>
      <c r="P62" s="399">
        <v>69.762</v>
      </c>
      <c r="Q62" s="399">
        <v>69.762</v>
      </c>
      <c r="R62" s="399">
        <v>111</v>
      </c>
      <c r="S62" s="399">
        <v>69.64</v>
      </c>
      <c r="T62" s="399">
        <v>144.41999999999999</v>
      </c>
      <c r="U62" s="399">
        <v>141303</v>
      </c>
      <c r="V62" s="399">
        <v>14933.253720000001</v>
      </c>
      <c r="W62" s="399">
        <v>156236.25372000001</v>
      </c>
      <c r="X62" s="399">
        <v>153082.49768</v>
      </c>
      <c r="Y62" s="399">
        <v>0</v>
      </c>
      <c r="Z62" s="399">
        <v>3726.6057180225544</v>
      </c>
      <c r="AA62" s="399">
        <v>0</v>
      </c>
      <c r="AB62" s="399">
        <v>0</v>
      </c>
      <c r="AC62" s="399">
        <v>0</v>
      </c>
      <c r="AD62" s="399">
        <v>39775.280548658033</v>
      </c>
      <c r="AE62" s="399">
        <v>101523.11889992448</v>
      </c>
      <c r="AF62" s="399">
        <v>10075.155260109963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661.53599986275333</v>
      </c>
      <c r="AM62" s="399"/>
      <c r="AN62" s="399">
        <v>34.719515163088808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435.21738030321166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10510.372640413174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153082.07639999996</v>
      </c>
      <c r="CJ62" s="399">
        <v>-3154.2073200000741</v>
      </c>
      <c r="CK62" s="399"/>
      <c r="CL62" s="399"/>
      <c r="CM62" s="399"/>
      <c r="CN62" s="399"/>
      <c r="CO62" s="399">
        <v>-3561.1661200000076</v>
      </c>
      <c r="CP62" s="399">
        <v>407.41008000000022</v>
      </c>
      <c r="CQ62" s="399">
        <v>31</v>
      </c>
      <c r="CR62" s="399">
        <v>1425.8825921817988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1664.6492519466628</v>
      </c>
      <c r="DA62" s="399">
        <v>0</v>
      </c>
      <c r="DB62" s="399">
        <v>0</v>
      </c>
      <c r="DC62" s="399">
        <v>407.39559729299799</v>
      </c>
      <c r="DD62" s="399">
        <v>0</v>
      </c>
      <c r="DE62" s="399">
        <v>0</v>
      </c>
      <c r="DF62" s="399">
        <v>0</v>
      </c>
      <c r="DG62" s="399">
        <v>17.598303949011154</v>
      </c>
      <c r="DH62" s="399">
        <v>0</v>
      </c>
      <c r="DI62" s="399">
        <v>-572.52259184333479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-87.047923249460723</v>
      </c>
      <c r="DP62" s="399">
        <v>-4.1900459140765669</v>
      </c>
      <c r="DQ62" s="399">
        <v>0</v>
      </c>
      <c r="DR62" s="399">
        <v>0</v>
      </c>
      <c r="DS62" s="399"/>
      <c r="DT62" s="399"/>
      <c r="DU62" s="399">
        <v>101523.11889992448</v>
      </c>
      <c r="DV62" s="399">
        <v>0</v>
      </c>
      <c r="DW62" s="399">
        <v>0</v>
      </c>
      <c r="DX62" s="399">
        <v>0</v>
      </c>
      <c r="DY62" s="399">
        <v>-3561.166120000009</v>
      </c>
      <c r="DZ62" s="399">
        <v>407.41007999999965</v>
      </c>
      <c r="EA62" s="399">
        <v>0</v>
      </c>
      <c r="EB62" s="399">
        <v>0</v>
      </c>
      <c r="EC62" s="399">
        <v>-4572.3201079266291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225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957</v>
      </c>
      <c r="C63" s="399" t="s">
        <v>2365</v>
      </c>
      <c r="D63" s="399" t="s">
        <v>534</v>
      </c>
      <c r="E63" s="399" t="s">
        <v>891</v>
      </c>
      <c r="F63" s="399" t="s">
        <v>1240</v>
      </c>
      <c r="G63" s="399" t="s">
        <v>1240</v>
      </c>
      <c r="H63" s="399" t="s">
        <v>1240</v>
      </c>
      <c r="I63" s="399" t="s">
        <v>2328</v>
      </c>
      <c r="J63" s="399" t="s">
        <v>2358</v>
      </c>
      <c r="K63" s="789">
        <v>44470</v>
      </c>
      <c r="L63" s="399">
        <v>3485</v>
      </c>
      <c r="M63" s="399">
        <v>3485</v>
      </c>
      <c r="N63" s="399">
        <v>1528.7159999999999</v>
      </c>
      <c r="O63" s="399">
        <v>1528.7159999999999</v>
      </c>
      <c r="P63" s="399">
        <v>1528.7159999999999</v>
      </c>
      <c r="Q63" s="399">
        <v>1528.7159999999999</v>
      </c>
      <c r="R63" s="399">
        <v>34.950000000000003</v>
      </c>
      <c r="S63" s="399">
        <v>69.64</v>
      </c>
      <c r="T63" s="399">
        <v>144.41999999999999</v>
      </c>
      <c r="U63" s="399">
        <v>121800.75000000001</v>
      </c>
      <c r="V63" s="399">
        <v>327236.94695999997</v>
      </c>
      <c r="W63" s="399">
        <v>449037.69695999997</v>
      </c>
      <c r="X63" s="399">
        <v>442171.53823999997</v>
      </c>
      <c r="Y63" s="399">
        <v>0</v>
      </c>
      <c r="Z63" s="399">
        <v>81662.248599990926</v>
      </c>
      <c r="AA63" s="399">
        <v>0</v>
      </c>
      <c r="AB63" s="399">
        <v>0</v>
      </c>
      <c r="AC63" s="399">
        <v>0</v>
      </c>
      <c r="AD63" s="399">
        <v>44154.181597357943</v>
      </c>
      <c r="AE63" s="399">
        <v>77662.555854187653</v>
      </c>
      <c r="AF63" s="399">
        <v>220779.95253310201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14496.440290791386</v>
      </c>
      <c r="AM63" s="399"/>
      <c r="AN63" s="399">
        <v>760.81933347748725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9537.0512993836819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230317.0038324857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442172.38079999998</v>
      </c>
      <c r="CJ63" s="399">
        <v>-6865.3461600000155</v>
      </c>
      <c r="CK63" s="399"/>
      <c r="CL63" s="399"/>
      <c r="CM63" s="399"/>
      <c r="CN63" s="399"/>
      <c r="CO63" s="399">
        <v>-15793.860160000017</v>
      </c>
      <c r="CP63" s="399">
        <v>8927.7014400000044</v>
      </c>
      <c r="CQ63" s="399">
        <v>31</v>
      </c>
      <c r="CR63" s="399">
        <v>-3384.2545166033669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1847.9121794361126</v>
      </c>
      <c r="DA63" s="399">
        <v>0</v>
      </c>
      <c r="DB63" s="399">
        <v>0</v>
      </c>
      <c r="DC63" s="399">
        <v>8927.3840760207677</v>
      </c>
      <c r="DD63" s="399">
        <v>0</v>
      </c>
      <c r="DE63" s="399">
        <v>0</v>
      </c>
      <c r="DF63" s="399">
        <v>0</v>
      </c>
      <c r="DG63" s="399">
        <v>385.63700610241358</v>
      </c>
      <c r="DH63" s="399">
        <v>0</v>
      </c>
      <c r="DI63" s="399">
        <v>-12545.86231060428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-1907.5077124827621</v>
      </c>
      <c r="DP63" s="399">
        <v>-91.817755075592345</v>
      </c>
      <c r="DQ63" s="399">
        <v>0</v>
      </c>
      <c r="DR63" s="399">
        <v>0</v>
      </c>
      <c r="DS63" s="399"/>
      <c r="DT63" s="399"/>
      <c r="DU63" s="399">
        <v>77662.555854187653</v>
      </c>
      <c r="DV63" s="399">
        <v>0</v>
      </c>
      <c r="DW63" s="399">
        <v>0</v>
      </c>
      <c r="DX63" s="399">
        <v>0</v>
      </c>
      <c r="DY63" s="399">
        <v>-15793.86016000004</v>
      </c>
      <c r="DZ63" s="399">
        <v>8927.7014400000044</v>
      </c>
      <c r="EA63" s="399">
        <v>0</v>
      </c>
      <c r="EB63" s="399">
        <v>0</v>
      </c>
      <c r="EC63" s="399">
        <v>-3497.7064299519552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225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957</v>
      </c>
      <c r="C64" s="399" t="s">
        <v>2365</v>
      </c>
      <c r="D64" s="399" t="s">
        <v>534</v>
      </c>
      <c r="E64" s="399" t="s">
        <v>891</v>
      </c>
      <c r="F64" s="399" t="s">
        <v>1240</v>
      </c>
      <c r="G64" s="399" t="s">
        <v>1240</v>
      </c>
      <c r="H64" s="399" t="s">
        <v>1240</v>
      </c>
      <c r="I64" s="399" t="s">
        <v>1240</v>
      </c>
      <c r="J64" s="399" t="s">
        <v>2358</v>
      </c>
      <c r="K64" s="789">
        <v>44470</v>
      </c>
      <c r="L64" s="399">
        <v>0</v>
      </c>
      <c r="M64" s="399">
        <v>0</v>
      </c>
      <c r="N64" s="399">
        <v>0</v>
      </c>
      <c r="O64" s="399">
        <v>0</v>
      </c>
      <c r="P64" s="399">
        <v>0</v>
      </c>
      <c r="Q64" s="399">
        <v>0</v>
      </c>
      <c r="R64" s="399"/>
      <c r="S64" s="399"/>
      <c r="T64" s="399"/>
      <c r="U64" s="399"/>
      <c r="V64" s="399"/>
      <c r="W64" s="399"/>
      <c r="X64" s="399"/>
      <c r="Y64" s="399"/>
      <c r="Z64" s="399"/>
      <c r="AA64" s="399">
        <v>0</v>
      </c>
      <c r="AB64" s="399"/>
      <c r="AC64" s="399"/>
      <c r="AD64" s="399"/>
      <c r="AE64" s="399"/>
      <c r="AF64" s="399"/>
      <c r="AG64" s="399"/>
      <c r="AH64" s="399"/>
      <c r="AI64" s="399"/>
      <c r="AJ64" s="399"/>
      <c r="AK64" s="399"/>
      <c r="AL64" s="399"/>
      <c r="AM64" s="399"/>
      <c r="AN64" s="399"/>
      <c r="AO64" s="399"/>
      <c r="AP64" s="399"/>
      <c r="AQ64" s="399"/>
      <c r="AR64" s="399"/>
      <c r="AS64" s="399"/>
      <c r="AT64" s="399"/>
      <c r="AU64" s="399"/>
      <c r="AV64" s="399"/>
      <c r="AW64" s="399"/>
      <c r="AX64" s="399"/>
      <c r="AY64" s="399"/>
      <c r="AZ64" s="399">
        <v>0</v>
      </c>
      <c r="BA64" s="399"/>
      <c r="BB64" s="399"/>
      <c r="BC64" s="399"/>
      <c r="BD64" s="399"/>
      <c r="BE64" s="399"/>
      <c r="BF64" s="399"/>
      <c r="BG64" s="399"/>
      <c r="BH64" s="399"/>
      <c r="BI64" s="399">
        <v>0</v>
      </c>
      <c r="BJ64" s="399">
        <v>0</v>
      </c>
      <c r="BK64" s="399">
        <v>239885.3</v>
      </c>
      <c r="BL64" s="399">
        <v>2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/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/>
      <c r="CJ64" s="399">
        <v>-0.03</v>
      </c>
      <c r="CK64" s="399"/>
      <c r="CL64" s="399"/>
      <c r="CM64" s="399"/>
      <c r="CN64" s="399"/>
      <c r="CO64" s="399">
        <v>0</v>
      </c>
      <c r="CP64" s="399">
        <v>0</v>
      </c>
      <c r="CQ64" s="399">
        <v>31</v>
      </c>
      <c r="CR64" s="399"/>
      <c r="CS64" s="399"/>
      <c r="CT64" s="399"/>
      <c r="CU64" s="399"/>
      <c r="CV64" s="399"/>
      <c r="CW64" s="399"/>
      <c r="CX64" s="399"/>
      <c r="CY64" s="399"/>
      <c r="CZ64" s="399"/>
      <c r="DA64" s="399"/>
      <c r="DB64" s="399"/>
      <c r="DC64" s="399"/>
      <c r="DD64" s="399"/>
      <c r="DE64" s="399"/>
      <c r="DF64" s="399"/>
      <c r="DG64" s="399"/>
      <c r="DH64" s="399"/>
      <c r="DI64" s="399"/>
      <c r="DJ64" s="399"/>
      <c r="DK64" s="399">
        <v>0</v>
      </c>
      <c r="DL64" s="399"/>
      <c r="DM64" s="399"/>
      <c r="DN64" s="399"/>
      <c r="DO64" s="399"/>
      <c r="DP64" s="399"/>
      <c r="DQ64" s="399"/>
      <c r="DR64" s="399"/>
      <c r="DS64" s="399"/>
      <c r="DT64" s="399"/>
      <c r="DU64" s="399"/>
      <c r="DV64" s="399"/>
      <c r="DW64" s="399"/>
      <c r="DX64" s="399"/>
      <c r="DY64" s="399"/>
      <c r="DZ64" s="399"/>
      <c r="EA64" s="399"/>
      <c r="EB64" s="399"/>
      <c r="EC64" s="399"/>
      <c r="ED64" s="399"/>
      <c r="EE64" s="399"/>
      <c r="EF64" s="399"/>
      <c r="EG64" s="399"/>
      <c r="EH64" s="399"/>
      <c r="EI64" s="399"/>
      <c r="EJ64" s="399"/>
      <c r="EK64" s="399"/>
      <c r="EL64" s="399"/>
      <c r="EM64" s="399"/>
      <c r="EN64" s="399"/>
      <c r="EO64" s="399"/>
      <c r="EP64" s="399"/>
      <c r="EQ64" s="399"/>
      <c r="ER64" s="399"/>
      <c r="ES64" s="399"/>
      <c r="ET64" s="399"/>
      <c r="EU64" s="399"/>
      <c r="EV64" s="399">
        <v>225</v>
      </c>
      <c r="EW64" s="399"/>
      <c r="EX64" s="399"/>
      <c r="EY64" s="399"/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957</v>
      </c>
      <c r="C65" s="399" t="s">
        <v>2366</v>
      </c>
      <c r="D65" s="399" t="s">
        <v>534</v>
      </c>
      <c r="E65" s="399" t="s">
        <v>891</v>
      </c>
      <c r="F65" s="399" t="s">
        <v>1240</v>
      </c>
      <c r="G65" s="399" t="s">
        <v>1240</v>
      </c>
      <c r="H65" s="399" t="s">
        <v>1240</v>
      </c>
      <c r="I65" s="399" t="s">
        <v>894</v>
      </c>
      <c r="J65" s="399" t="s">
        <v>2358</v>
      </c>
      <c r="K65" s="789">
        <v>44470</v>
      </c>
      <c r="L65" s="399">
        <v>0</v>
      </c>
      <c r="M65" s="399">
        <v>0</v>
      </c>
      <c r="N65" s="399">
        <v>67.459999999999994</v>
      </c>
      <c r="O65" s="399">
        <v>67.459999999999994</v>
      </c>
      <c r="P65" s="399">
        <v>67.459999999999994</v>
      </c>
      <c r="Q65" s="399">
        <v>67.459999999999994</v>
      </c>
      <c r="R65" s="399"/>
      <c r="S65" s="399">
        <v>2740.31</v>
      </c>
      <c r="T65" s="399">
        <v>144.41999999999999</v>
      </c>
      <c r="U65" s="399"/>
      <c r="V65" s="399">
        <v>194603.88579999999</v>
      </c>
      <c r="W65" s="399">
        <v>194603.88579999999</v>
      </c>
      <c r="X65" s="399">
        <v>190670.29319999996</v>
      </c>
      <c r="Y65" s="399">
        <v>0</v>
      </c>
      <c r="Z65" s="399">
        <v>3603.6355284797091</v>
      </c>
      <c r="AA65" s="399">
        <v>0</v>
      </c>
      <c r="AB65" s="399">
        <v>0</v>
      </c>
      <c r="AC65" s="399">
        <v>0</v>
      </c>
      <c r="AD65" s="399">
        <v>50774.63338166663</v>
      </c>
      <c r="AE65" s="399">
        <v>129388.7904020625</v>
      </c>
      <c r="AF65" s="399">
        <v>9742.6962221125832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639.70669634960768</v>
      </c>
      <c r="AM65" s="399"/>
      <c r="AN65" s="399">
        <v>33.573843824746575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420.85611758915536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10163.552339701739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190670.29319999996</v>
      </c>
      <c r="CJ65" s="399">
        <v>-3933.6226000000606</v>
      </c>
      <c r="CK65" s="399"/>
      <c r="CL65" s="399"/>
      <c r="CM65" s="399"/>
      <c r="CN65" s="399"/>
      <c r="CO65" s="399">
        <v>-4327.5590000000057</v>
      </c>
      <c r="CP65" s="399">
        <v>393.96640000000019</v>
      </c>
      <c r="CQ65" s="399">
        <v>31</v>
      </c>
      <c r="CR65" s="399">
        <v>1894.0991752407135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2124.9870349313642</v>
      </c>
      <c r="DA65" s="399">
        <v>0</v>
      </c>
      <c r="DB65" s="399">
        <v>0</v>
      </c>
      <c r="DC65" s="399">
        <v>393.95239519201823</v>
      </c>
      <c r="DD65" s="399">
        <v>0</v>
      </c>
      <c r="DE65" s="399">
        <v>0</v>
      </c>
      <c r="DF65" s="399">
        <v>0</v>
      </c>
      <c r="DG65" s="399">
        <v>17.017596748950609</v>
      </c>
      <c r="DH65" s="399">
        <v>0</v>
      </c>
      <c r="DI65" s="399">
        <v>-553.63054450490745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-84.175523958725535</v>
      </c>
      <c r="DP65" s="399">
        <v>-4.0517831679654392</v>
      </c>
      <c r="DQ65" s="399">
        <v>0</v>
      </c>
      <c r="DR65" s="399">
        <v>0</v>
      </c>
      <c r="DS65" s="399"/>
      <c r="DT65" s="399"/>
      <c r="DU65" s="399"/>
      <c r="DV65" s="399">
        <v>129388.7904020625</v>
      </c>
      <c r="DW65" s="399">
        <v>0</v>
      </c>
      <c r="DX65" s="399">
        <v>0</v>
      </c>
      <c r="DY65" s="399">
        <v>-4327.5590000000084</v>
      </c>
      <c r="DZ65" s="399">
        <v>393.96639999999934</v>
      </c>
      <c r="EA65" s="399">
        <v>0</v>
      </c>
      <c r="EB65" s="399">
        <v>0</v>
      </c>
      <c r="EC65" s="399">
        <v>-5827.3127786669938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225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2360</v>
      </c>
      <c r="C66" s="399" t="s">
        <v>2366</v>
      </c>
      <c r="D66" s="399" t="s">
        <v>534</v>
      </c>
      <c r="E66" s="399" t="s">
        <v>891</v>
      </c>
      <c r="F66" s="399" t="s">
        <v>1240</v>
      </c>
      <c r="G66" s="399" t="s">
        <v>1240</v>
      </c>
      <c r="H66" s="399" t="s">
        <v>1240</v>
      </c>
      <c r="I66" s="399" t="s">
        <v>894</v>
      </c>
      <c r="J66" s="399" t="s">
        <v>2358</v>
      </c>
      <c r="K66" s="789">
        <v>44470</v>
      </c>
      <c r="L66" s="399">
        <v>0</v>
      </c>
      <c r="M66" s="399">
        <v>0</v>
      </c>
      <c r="N66" s="399">
        <v>0.57399999999999995</v>
      </c>
      <c r="O66" s="399">
        <v>0.57399999999999995</v>
      </c>
      <c r="P66" s="399">
        <v>0.57399999999999995</v>
      </c>
      <c r="Q66" s="399">
        <v>0.57399999999999995</v>
      </c>
      <c r="R66" s="399"/>
      <c r="S66" s="399">
        <v>2740.31</v>
      </c>
      <c r="T66" s="399">
        <v>144.41999999999999</v>
      </c>
      <c r="U66" s="399"/>
      <c r="V66" s="399">
        <v>1655.8350199999998</v>
      </c>
      <c r="W66" s="399">
        <v>1655.8350199999998</v>
      </c>
      <c r="X66" s="399">
        <v>1622.3650799999996</v>
      </c>
      <c r="Y66" s="399">
        <v>0</v>
      </c>
      <c r="Z66" s="399">
        <v>30.662419112768355</v>
      </c>
      <c r="AA66" s="399">
        <v>0</v>
      </c>
      <c r="AB66" s="399">
        <v>0</v>
      </c>
      <c r="AC66" s="399">
        <v>0</v>
      </c>
      <c r="AD66" s="399">
        <v>432.0284548039823</v>
      </c>
      <c r="AE66" s="399">
        <v>1100.9363428814686</v>
      </c>
      <c r="AF66" s="399">
        <v>82.898126763898958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5.4431017448069205</v>
      </c>
      <c r="AM66" s="399"/>
      <c r="AN66" s="399">
        <v>0.2856713067803815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3.580957774921067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86.479084538820018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1611.0593999999999</v>
      </c>
      <c r="CJ66" s="399">
        <v>-44.805619999999863</v>
      </c>
      <c r="CK66" s="399"/>
      <c r="CL66" s="399"/>
      <c r="CM66" s="399"/>
      <c r="CN66" s="399"/>
      <c r="CO66" s="399">
        <v>-36.822100000000049</v>
      </c>
      <c r="CP66" s="399">
        <v>3.3521600000000018</v>
      </c>
      <c r="CQ66" s="399">
        <v>31</v>
      </c>
      <c r="CR66" s="399">
        <v>16.11640863605362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18.080974770984312</v>
      </c>
      <c r="DA66" s="399">
        <v>0</v>
      </c>
      <c r="DB66" s="399">
        <v>0</v>
      </c>
      <c r="DC66" s="399">
        <v>3.3520408366471628</v>
      </c>
      <c r="DD66" s="399">
        <v>0</v>
      </c>
      <c r="DE66" s="399">
        <v>0</v>
      </c>
      <c r="DF66" s="399">
        <v>0</v>
      </c>
      <c r="DG66" s="399">
        <v>0.14479840696557433</v>
      </c>
      <c r="DH66" s="399">
        <v>0</v>
      </c>
      <c r="DI66" s="399">
        <v>-4.7107016386868814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-0.7162281463431448</v>
      </c>
      <c r="DP66" s="399">
        <v>-3.4475593513373315E-2</v>
      </c>
      <c r="DQ66" s="399">
        <v>0</v>
      </c>
      <c r="DR66" s="399">
        <v>0</v>
      </c>
      <c r="DS66" s="399"/>
      <c r="DT66" s="399"/>
      <c r="DU66" s="399"/>
      <c r="DV66" s="399">
        <v>1100.9363428814686</v>
      </c>
      <c r="DW66" s="399">
        <v>0</v>
      </c>
      <c r="DX66" s="399">
        <v>0</v>
      </c>
      <c r="DY66" s="399">
        <v>-36.822100000000091</v>
      </c>
      <c r="DZ66" s="399">
        <v>3.3521599999999978</v>
      </c>
      <c r="EA66" s="399">
        <v>0</v>
      </c>
      <c r="EB66" s="399">
        <v>0</v>
      </c>
      <c r="EC66" s="399">
        <v>-49.583123850501806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225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957</v>
      </c>
      <c r="C67" s="399" t="s">
        <v>2366</v>
      </c>
      <c r="D67" s="399" t="s">
        <v>534</v>
      </c>
      <c r="E67" s="399" t="s">
        <v>891</v>
      </c>
      <c r="F67" s="399" t="s">
        <v>1240</v>
      </c>
      <c r="G67" s="399" t="s">
        <v>1240</v>
      </c>
      <c r="H67" s="399" t="s">
        <v>1240</v>
      </c>
      <c r="I67" s="399" t="s">
        <v>2328</v>
      </c>
      <c r="J67" s="399" t="s">
        <v>2358</v>
      </c>
      <c r="K67" s="789">
        <v>44470</v>
      </c>
      <c r="L67" s="399">
        <v>0</v>
      </c>
      <c r="M67" s="399">
        <v>0</v>
      </c>
      <c r="N67" s="399">
        <v>5619.0429999999997</v>
      </c>
      <c r="O67" s="399">
        <v>5619.0429999999997</v>
      </c>
      <c r="P67" s="399">
        <v>5619.0429999999997</v>
      </c>
      <c r="Q67" s="399">
        <v>5619.0429999999997</v>
      </c>
      <c r="R67" s="399"/>
      <c r="S67" s="399">
        <v>69.64</v>
      </c>
      <c r="T67" s="399">
        <v>144.41999999999999</v>
      </c>
      <c r="U67" s="399"/>
      <c r="V67" s="399">
        <v>1202812.3445799998</v>
      </c>
      <c r="W67" s="399">
        <v>1202812.3445799998</v>
      </c>
      <c r="X67" s="399">
        <v>1183595.2175199999</v>
      </c>
      <c r="Y67" s="399">
        <v>0</v>
      </c>
      <c r="Z67" s="399">
        <v>300162.80745412409</v>
      </c>
      <c r="AA67" s="399">
        <v>0</v>
      </c>
      <c r="AB67" s="399">
        <v>0</v>
      </c>
      <c r="AC67" s="399">
        <v>0</v>
      </c>
      <c r="AD67" s="399">
        <v>0</v>
      </c>
      <c r="AE67" s="399">
        <v>0</v>
      </c>
      <c r="AF67" s="399">
        <v>811512.43711811688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53284.011772552461</v>
      </c>
      <c r="AM67" s="399"/>
      <c r="AN67" s="399">
        <v>2796.5145586500962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35054.975119278395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846567.4122373953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1183594.5855999999</v>
      </c>
      <c r="CJ67" s="399">
        <v>-19217.788979999954</v>
      </c>
      <c r="CK67" s="399"/>
      <c r="CL67" s="399"/>
      <c r="CM67" s="399"/>
      <c r="CN67" s="399"/>
      <c r="CO67" s="399">
        <v>-52032.338179999984</v>
      </c>
      <c r="CP67" s="399">
        <v>32815.211120000014</v>
      </c>
      <c r="CQ67" s="399">
        <v>31</v>
      </c>
      <c r="CR67" s="399">
        <v>-19231.675241322489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0</v>
      </c>
      <c r="DA67" s="399">
        <v>0</v>
      </c>
      <c r="DB67" s="399">
        <v>0</v>
      </c>
      <c r="DC67" s="399">
        <v>32814.044597345637</v>
      </c>
      <c r="DD67" s="399">
        <v>0</v>
      </c>
      <c r="DE67" s="399">
        <v>0</v>
      </c>
      <c r="DF67" s="399">
        <v>0</v>
      </c>
      <c r="DG67" s="399">
        <v>1417.4712109251923</v>
      </c>
      <c r="DH67" s="399">
        <v>0</v>
      </c>
      <c r="DI67" s="399">
        <v>-46114.346808278817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-7011.3532266766924</v>
      </c>
      <c r="DP67" s="399">
        <v>-337.49101463791931</v>
      </c>
      <c r="DQ67" s="399">
        <v>0</v>
      </c>
      <c r="DR67" s="399">
        <v>0</v>
      </c>
      <c r="DS67" s="399"/>
      <c r="DT67" s="399"/>
      <c r="DU67" s="399"/>
      <c r="DV67" s="399">
        <v>0</v>
      </c>
      <c r="DW67" s="399">
        <v>0</v>
      </c>
      <c r="DX67" s="399">
        <v>0</v>
      </c>
      <c r="DY67" s="399">
        <v>-52032.338179999962</v>
      </c>
      <c r="DZ67" s="399">
        <v>32815.211119999993</v>
      </c>
      <c r="EA67" s="399">
        <v>0</v>
      </c>
      <c r="EB67" s="399">
        <v>0</v>
      </c>
      <c r="EC67" s="399">
        <v>0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225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2360</v>
      </c>
      <c r="C68" s="399" t="s">
        <v>2366</v>
      </c>
      <c r="D68" s="399" t="s">
        <v>534</v>
      </c>
      <c r="E68" s="399" t="s">
        <v>891</v>
      </c>
      <c r="F68" s="399" t="s">
        <v>1240</v>
      </c>
      <c r="G68" s="399" t="s">
        <v>1240</v>
      </c>
      <c r="H68" s="399" t="s">
        <v>1240</v>
      </c>
      <c r="I68" s="399" t="s">
        <v>2328</v>
      </c>
      <c r="J68" s="399" t="s">
        <v>2358</v>
      </c>
      <c r="K68" s="789">
        <v>44470</v>
      </c>
      <c r="L68" s="399">
        <v>0</v>
      </c>
      <c r="M68" s="399">
        <v>0</v>
      </c>
      <c r="N68" s="399">
        <v>7.26</v>
      </c>
      <c r="O68" s="399">
        <v>7.26</v>
      </c>
      <c r="P68" s="399">
        <v>7.26</v>
      </c>
      <c r="Q68" s="399">
        <v>7.26</v>
      </c>
      <c r="R68" s="399"/>
      <c r="S68" s="399">
        <v>69.64</v>
      </c>
      <c r="T68" s="399">
        <v>144.41999999999999</v>
      </c>
      <c r="U68" s="399"/>
      <c r="V68" s="399">
        <v>1554.0755999999999</v>
      </c>
      <c r="W68" s="399">
        <v>1554.0755999999999</v>
      </c>
      <c r="X68" s="399">
        <v>1529.2463999999998</v>
      </c>
      <c r="Y68" s="399">
        <v>0</v>
      </c>
      <c r="Z68" s="399">
        <v>387.82084104302834</v>
      </c>
      <c r="AA68" s="399">
        <v>0</v>
      </c>
      <c r="AB68" s="399">
        <v>0</v>
      </c>
      <c r="AC68" s="399">
        <v>0</v>
      </c>
      <c r="AD68" s="399">
        <v>0</v>
      </c>
      <c r="AE68" s="399">
        <v>0</v>
      </c>
      <c r="AF68" s="399">
        <v>1048.5024395573282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68.844806040589276</v>
      </c>
      <c r="AM68" s="399"/>
      <c r="AN68" s="399">
        <v>3.6131945770480307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45.292253390116635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1093.7946929474449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1529.2463999999998</v>
      </c>
      <c r="CJ68" s="399">
        <v>-24.859200000000101</v>
      </c>
      <c r="CK68" s="399"/>
      <c r="CL68" s="399"/>
      <c r="CM68" s="399"/>
      <c r="CN68" s="399"/>
      <c r="CO68" s="399">
        <v>-67.227599999999981</v>
      </c>
      <c r="CP68" s="399">
        <v>42.398400000000024</v>
      </c>
      <c r="CQ68" s="399">
        <v>31</v>
      </c>
      <c r="CR68" s="399">
        <v>-24.847996758878708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0</v>
      </c>
      <c r="DA68" s="399">
        <v>0</v>
      </c>
      <c r="DB68" s="399">
        <v>0</v>
      </c>
      <c r="DC68" s="399">
        <v>42.396892811948646</v>
      </c>
      <c r="DD68" s="399">
        <v>0</v>
      </c>
      <c r="DE68" s="399">
        <v>0</v>
      </c>
      <c r="DF68" s="399">
        <v>0</v>
      </c>
      <c r="DG68" s="399">
        <v>1.831422359878168</v>
      </c>
      <c r="DH68" s="399">
        <v>0</v>
      </c>
      <c r="DI68" s="399">
        <v>-59.581348252381076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-9.0589134885909885</v>
      </c>
      <c r="DP68" s="399">
        <v>-0.43605018973360643</v>
      </c>
      <c r="DQ68" s="399">
        <v>0</v>
      </c>
      <c r="DR68" s="399">
        <v>0</v>
      </c>
      <c r="DS68" s="399"/>
      <c r="DT68" s="399"/>
      <c r="DU68" s="399"/>
      <c r="DV68" s="399">
        <v>0</v>
      </c>
      <c r="DW68" s="399">
        <v>0</v>
      </c>
      <c r="DX68" s="399">
        <v>0</v>
      </c>
      <c r="DY68" s="399">
        <v>-67.227599999999939</v>
      </c>
      <c r="DZ68" s="399">
        <v>42.39839999999981</v>
      </c>
      <c r="EA68" s="399">
        <v>0</v>
      </c>
      <c r="EB68" s="399">
        <v>0</v>
      </c>
      <c r="EC68" s="399">
        <v>0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225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957</v>
      </c>
      <c r="C69" s="399" t="s">
        <v>2366</v>
      </c>
      <c r="D69" s="399" t="s">
        <v>534</v>
      </c>
      <c r="E69" s="399" t="s">
        <v>891</v>
      </c>
      <c r="F69" s="399" t="s">
        <v>1240</v>
      </c>
      <c r="G69" s="399" t="s">
        <v>1240</v>
      </c>
      <c r="H69" s="399" t="s">
        <v>1240</v>
      </c>
      <c r="I69" s="399" t="s">
        <v>1240</v>
      </c>
      <c r="J69" s="399" t="s">
        <v>2358</v>
      </c>
      <c r="K69" s="789">
        <v>44470</v>
      </c>
      <c r="L69" s="399">
        <v>21128</v>
      </c>
      <c r="M69" s="399">
        <v>21128</v>
      </c>
      <c r="N69" s="399">
        <v>0</v>
      </c>
      <c r="O69" s="399">
        <v>0</v>
      </c>
      <c r="P69" s="399">
        <v>0</v>
      </c>
      <c r="Q69" s="399">
        <v>0</v>
      </c>
      <c r="R69" s="399">
        <v>34.950000000000003</v>
      </c>
      <c r="S69" s="399"/>
      <c r="T69" s="399"/>
      <c r="U69" s="399">
        <v>738423.60000000009</v>
      </c>
      <c r="V69" s="399"/>
      <c r="W69" s="399">
        <v>738423.60000000009</v>
      </c>
      <c r="X69" s="399">
        <v>728493.44</v>
      </c>
      <c r="Y69" s="399">
        <v>0</v>
      </c>
      <c r="Z69" s="399">
        <v>0</v>
      </c>
      <c r="AA69" s="399">
        <v>0</v>
      </c>
      <c r="AB69" s="399">
        <v>0</v>
      </c>
      <c r="AC69" s="399">
        <v>0</v>
      </c>
      <c r="AD69" s="399">
        <v>267687.10151764093</v>
      </c>
      <c r="AE69" s="399">
        <v>470833.42326751124</v>
      </c>
      <c r="AF69" s="399"/>
      <c r="AG69" s="399"/>
      <c r="AH69" s="399"/>
      <c r="AI69" s="399">
        <v>0</v>
      </c>
      <c r="AJ69" s="399">
        <v>0</v>
      </c>
      <c r="AK69" s="399">
        <v>0</v>
      </c>
      <c r="AL69" s="399">
        <v>0</v>
      </c>
      <c r="AM69" s="399"/>
      <c r="AN69" s="399">
        <v>0</v>
      </c>
      <c r="AO69" s="399">
        <v>0</v>
      </c>
      <c r="AP69" s="399">
        <v>0</v>
      </c>
      <c r="AQ69" s="399">
        <v>0</v>
      </c>
      <c r="AR69" s="399">
        <v>0</v>
      </c>
      <c r="AS69" s="399"/>
      <c r="AT69" s="399"/>
      <c r="AU69" s="399">
        <v>0</v>
      </c>
      <c r="AV69" s="399">
        <v>0</v>
      </c>
      <c r="AW69" s="399">
        <v>0</v>
      </c>
      <c r="AX69" s="399"/>
      <c r="AY69" s="399"/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/>
      <c r="BG69" s="399">
        <v>0</v>
      </c>
      <c r="BH69" s="399">
        <v>0</v>
      </c>
      <c r="BI69" s="399">
        <v>151.6</v>
      </c>
      <c r="BJ69" s="399">
        <v>699.75</v>
      </c>
      <c r="BK69" s="399">
        <v>840303.3</v>
      </c>
      <c r="BL69" s="399">
        <v>69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0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728493.44</v>
      </c>
      <c r="CJ69" s="399">
        <v>-9930.190000000177</v>
      </c>
      <c r="CK69" s="399"/>
      <c r="CL69" s="399"/>
      <c r="CM69" s="399"/>
      <c r="CN69" s="399"/>
      <c r="CO69" s="399">
        <v>-9930.1600000001254</v>
      </c>
      <c r="CP69" s="399">
        <v>0</v>
      </c>
      <c r="CQ69" s="399">
        <v>31</v>
      </c>
      <c r="CR69" s="399">
        <v>11203.067009218445</v>
      </c>
      <c r="CS69" s="399">
        <v>0</v>
      </c>
      <c r="CT69" s="399">
        <v>0</v>
      </c>
      <c r="CU69" s="399">
        <v>0</v>
      </c>
      <c r="CV69" s="399">
        <v>0</v>
      </c>
      <c r="CW69" s="399"/>
      <c r="CX69" s="399"/>
      <c r="CY69" s="399"/>
      <c r="CZ69" s="399">
        <v>11203.067009218445</v>
      </c>
      <c r="DA69" s="399">
        <v>0</v>
      </c>
      <c r="DB69" s="399">
        <v>0</v>
      </c>
      <c r="DC69" s="399"/>
      <c r="DD69" s="399"/>
      <c r="DE69" s="399">
        <v>0</v>
      </c>
      <c r="DF69" s="399">
        <v>0</v>
      </c>
      <c r="DG69" s="399">
        <v>0</v>
      </c>
      <c r="DH69" s="399">
        <v>0</v>
      </c>
      <c r="DI69" s="399">
        <v>0</v>
      </c>
      <c r="DJ69" s="399"/>
      <c r="DK69" s="399">
        <v>0</v>
      </c>
      <c r="DL69" s="399">
        <v>0</v>
      </c>
      <c r="DM69" s="399"/>
      <c r="DN69" s="399">
        <v>0</v>
      </c>
      <c r="DO69" s="399">
        <v>0</v>
      </c>
      <c r="DP69" s="399">
        <v>0</v>
      </c>
      <c r="DQ69" s="399">
        <v>0</v>
      </c>
      <c r="DR69" s="399">
        <v>0</v>
      </c>
      <c r="DS69" s="399"/>
      <c r="DT69" s="399"/>
      <c r="DU69" s="399">
        <v>470833.42326751124</v>
      </c>
      <c r="DV69" s="399"/>
      <c r="DW69" s="399">
        <v>0</v>
      </c>
      <c r="DX69" s="399">
        <v>0</v>
      </c>
      <c r="DY69" s="399">
        <v>-9930.160000000149</v>
      </c>
      <c r="DZ69" s="399"/>
      <c r="EA69" s="399">
        <v>0</v>
      </c>
      <c r="EB69" s="399"/>
      <c r="EC69" s="399">
        <v>-21205.033415215206</v>
      </c>
      <c r="ED69" s="399"/>
      <c r="EE69" s="399">
        <v>0</v>
      </c>
      <c r="EF69" s="399">
        <v>0</v>
      </c>
      <c r="EG69" s="399"/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/>
      <c r="EN69" s="399"/>
      <c r="EO69" s="399">
        <v>0</v>
      </c>
      <c r="EP69" s="399">
        <v>0</v>
      </c>
      <c r="EQ69" s="399"/>
      <c r="ER69" s="399">
        <v>0</v>
      </c>
      <c r="ES69" s="399"/>
      <c r="ET69" s="399">
        <v>0</v>
      </c>
      <c r="EU69" s="399"/>
      <c r="EV69" s="399">
        <v>225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2360</v>
      </c>
      <c r="C70" s="399" t="s">
        <v>2366</v>
      </c>
      <c r="D70" s="399" t="s">
        <v>534</v>
      </c>
      <c r="E70" s="399" t="s">
        <v>891</v>
      </c>
      <c r="F70" s="399" t="s">
        <v>1240</v>
      </c>
      <c r="G70" s="399" t="s">
        <v>1240</v>
      </c>
      <c r="H70" s="399" t="s">
        <v>1240</v>
      </c>
      <c r="I70" s="399" t="s">
        <v>1240</v>
      </c>
      <c r="J70" s="399" t="s">
        <v>2358</v>
      </c>
      <c r="K70" s="789">
        <v>44470</v>
      </c>
      <c r="L70" s="399">
        <v>255</v>
      </c>
      <c r="M70" s="399">
        <v>255</v>
      </c>
      <c r="N70" s="399">
        <v>0</v>
      </c>
      <c r="O70" s="399">
        <v>0</v>
      </c>
      <c r="P70" s="399">
        <v>0</v>
      </c>
      <c r="Q70" s="399">
        <v>0</v>
      </c>
      <c r="R70" s="399">
        <v>34.950000000000003</v>
      </c>
      <c r="S70" s="399"/>
      <c r="T70" s="399"/>
      <c r="U70" s="399">
        <v>8912.25</v>
      </c>
      <c r="V70" s="399"/>
      <c r="W70" s="399">
        <v>8912.25</v>
      </c>
      <c r="X70" s="399">
        <v>8792.4</v>
      </c>
      <c r="Y70" s="399">
        <v>0</v>
      </c>
      <c r="Z70" s="399">
        <v>0</v>
      </c>
      <c r="AA70" s="399">
        <v>0</v>
      </c>
      <c r="AB70" s="399">
        <v>0</v>
      </c>
      <c r="AC70" s="399">
        <v>0</v>
      </c>
      <c r="AD70" s="399">
        <v>3230.793775416435</v>
      </c>
      <c r="AE70" s="399">
        <v>5682.6260381112916</v>
      </c>
      <c r="AF70" s="399"/>
      <c r="AG70" s="399"/>
      <c r="AH70" s="399"/>
      <c r="AI70" s="399">
        <v>0</v>
      </c>
      <c r="AJ70" s="399">
        <v>0</v>
      </c>
      <c r="AK70" s="399">
        <v>0</v>
      </c>
      <c r="AL70" s="399">
        <v>0</v>
      </c>
      <c r="AM70" s="399"/>
      <c r="AN70" s="399">
        <v>0</v>
      </c>
      <c r="AO70" s="399">
        <v>0</v>
      </c>
      <c r="AP70" s="399">
        <v>0</v>
      </c>
      <c r="AQ70" s="399">
        <v>0</v>
      </c>
      <c r="AR70" s="399">
        <v>0</v>
      </c>
      <c r="AS70" s="399"/>
      <c r="AT70" s="399"/>
      <c r="AU70" s="399">
        <v>0</v>
      </c>
      <c r="AV70" s="399">
        <v>0</v>
      </c>
      <c r="AW70" s="399">
        <v>0</v>
      </c>
      <c r="AX70" s="399"/>
      <c r="AY70" s="399"/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/>
      <c r="BG70" s="399">
        <v>0</v>
      </c>
      <c r="BH70" s="399">
        <v>0</v>
      </c>
      <c r="BI70" s="399">
        <v>0</v>
      </c>
      <c r="BJ70" s="399">
        <v>0</v>
      </c>
      <c r="BK70" s="399">
        <v>3969.14</v>
      </c>
      <c r="BL70" s="399">
        <v>2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0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8792.4</v>
      </c>
      <c r="CJ70" s="399">
        <v>-119.88000000000102</v>
      </c>
      <c r="CK70" s="399"/>
      <c r="CL70" s="399"/>
      <c r="CM70" s="399"/>
      <c r="CN70" s="399"/>
      <c r="CO70" s="399">
        <v>-119.85000000000153</v>
      </c>
      <c r="CP70" s="399">
        <v>0</v>
      </c>
      <c r="CQ70" s="399">
        <v>31</v>
      </c>
      <c r="CR70" s="399">
        <v>135.21308630020349</v>
      </c>
      <c r="CS70" s="399">
        <v>0</v>
      </c>
      <c r="CT70" s="399">
        <v>0</v>
      </c>
      <c r="CU70" s="399">
        <v>0</v>
      </c>
      <c r="CV70" s="399">
        <v>0</v>
      </c>
      <c r="CW70" s="399"/>
      <c r="CX70" s="399"/>
      <c r="CY70" s="399"/>
      <c r="CZ70" s="399">
        <v>135.21308630020349</v>
      </c>
      <c r="DA70" s="399">
        <v>0</v>
      </c>
      <c r="DB70" s="399">
        <v>0</v>
      </c>
      <c r="DC70" s="399"/>
      <c r="DD70" s="399"/>
      <c r="DE70" s="399">
        <v>0</v>
      </c>
      <c r="DF70" s="399">
        <v>0</v>
      </c>
      <c r="DG70" s="399">
        <v>0</v>
      </c>
      <c r="DH70" s="399">
        <v>0</v>
      </c>
      <c r="DI70" s="399">
        <v>0</v>
      </c>
      <c r="DJ70" s="399"/>
      <c r="DK70" s="399">
        <v>0</v>
      </c>
      <c r="DL70" s="399">
        <v>0</v>
      </c>
      <c r="DM70" s="399"/>
      <c r="DN70" s="399">
        <v>0</v>
      </c>
      <c r="DO70" s="399">
        <v>0</v>
      </c>
      <c r="DP70" s="399">
        <v>0</v>
      </c>
      <c r="DQ70" s="399">
        <v>0</v>
      </c>
      <c r="DR70" s="399">
        <v>0</v>
      </c>
      <c r="DS70" s="399"/>
      <c r="DT70" s="399"/>
      <c r="DU70" s="399">
        <v>5682.6260381112916</v>
      </c>
      <c r="DV70" s="399"/>
      <c r="DW70" s="399">
        <v>0</v>
      </c>
      <c r="DX70" s="399">
        <v>0</v>
      </c>
      <c r="DY70" s="399">
        <v>-119.85000000000036</v>
      </c>
      <c r="DZ70" s="399"/>
      <c r="EA70" s="399">
        <v>0</v>
      </c>
      <c r="EB70" s="399"/>
      <c r="EC70" s="399">
        <v>-255.92973877697204</v>
      </c>
      <c r="ED70" s="399"/>
      <c r="EE70" s="399">
        <v>0</v>
      </c>
      <c r="EF70" s="399">
        <v>0</v>
      </c>
      <c r="EG70" s="399"/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/>
      <c r="EN70" s="399"/>
      <c r="EO70" s="399">
        <v>0</v>
      </c>
      <c r="EP70" s="399">
        <v>0</v>
      </c>
      <c r="EQ70" s="399"/>
      <c r="ER70" s="399">
        <v>0</v>
      </c>
      <c r="ES70" s="399"/>
      <c r="ET70" s="399">
        <v>0</v>
      </c>
      <c r="EU70" s="399"/>
      <c r="EV70" s="399">
        <v>225</v>
      </c>
      <c r="EW70" s="399"/>
      <c r="EX70" s="399"/>
      <c r="EY70" s="399"/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957</v>
      </c>
      <c r="C71" s="399" t="s">
        <v>2357</v>
      </c>
      <c r="D71" s="399" t="s">
        <v>1826</v>
      </c>
      <c r="E71" s="399" t="s">
        <v>919</v>
      </c>
      <c r="F71" s="399" t="s">
        <v>1240</v>
      </c>
      <c r="G71" s="399" t="s">
        <v>1240</v>
      </c>
      <c r="H71" s="399" t="s">
        <v>1240</v>
      </c>
      <c r="I71" s="399" t="s">
        <v>1240</v>
      </c>
      <c r="J71" s="399" t="s">
        <v>2358</v>
      </c>
      <c r="K71" s="789">
        <v>44470</v>
      </c>
      <c r="L71" s="399">
        <v>0</v>
      </c>
      <c r="M71" s="399">
        <v>0</v>
      </c>
      <c r="N71" s="399">
        <v>662.68</v>
      </c>
      <c r="O71" s="399">
        <v>662.68</v>
      </c>
      <c r="P71" s="399">
        <v>662.68</v>
      </c>
      <c r="Q71" s="399">
        <v>662.68</v>
      </c>
      <c r="R71" s="399"/>
      <c r="S71" s="399">
        <v>522.37</v>
      </c>
      <c r="T71" s="399">
        <v>144.41999999999999</v>
      </c>
      <c r="U71" s="399"/>
      <c r="V71" s="399">
        <v>441868.39719999995</v>
      </c>
      <c r="W71" s="399">
        <v>441868.39719999995</v>
      </c>
      <c r="X71" s="399">
        <v>431895.06319999998</v>
      </c>
      <c r="Y71" s="399">
        <v>0</v>
      </c>
      <c r="Z71" s="399">
        <v>40689.198401316295</v>
      </c>
      <c r="AA71" s="399">
        <v>0</v>
      </c>
      <c r="AB71" s="399">
        <v>0</v>
      </c>
      <c r="AC71" s="399">
        <v>0</v>
      </c>
      <c r="AD71" s="399">
        <v>67569.273875311497</v>
      </c>
      <c r="AE71" s="399">
        <v>219948.27549046636</v>
      </c>
      <c r="AF71" s="399">
        <v>95705.454083450444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6284.0325161126302</v>
      </c>
      <c r="AM71" s="399"/>
      <c r="AN71" s="399">
        <v>964.10343744802469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10707.7983513073</v>
      </c>
      <c r="BH71" s="399">
        <v>0</v>
      </c>
      <c r="BI71" s="399">
        <v>223.57</v>
      </c>
      <c r="BJ71" s="399">
        <v>1033.58</v>
      </c>
      <c r="BK71" s="399">
        <v>158119.72</v>
      </c>
      <c r="BL71" s="399">
        <v>1194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106413.25243475774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431895.06319999998</v>
      </c>
      <c r="CJ71" s="399">
        <v>-9973.3640000000014</v>
      </c>
      <c r="CK71" s="399"/>
      <c r="CL71" s="399"/>
      <c r="CM71" s="399"/>
      <c r="CN71" s="399"/>
      <c r="CO71" s="399">
        <v>-13843.38519999999</v>
      </c>
      <c r="CP71" s="399">
        <v>3870.0512000000022</v>
      </c>
      <c r="CQ71" s="399">
        <v>31</v>
      </c>
      <c r="CR71" s="399">
        <v>-63.603201674035517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2827.8654395292106</v>
      </c>
      <c r="DA71" s="399">
        <v>0</v>
      </c>
      <c r="DB71" s="399">
        <v>0</v>
      </c>
      <c r="DC71" s="399">
        <v>3869.9136265319685</v>
      </c>
      <c r="DD71" s="399">
        <v>0</v>
      </c>
      <c r="DE71" s="399">
        <v>0</v>
      </c>
      <c r="DF71" s="399">
        <v>0</v>
      </c>
      <c r="DG71" s="399">
        <v>432.97694103978574</v>
      </c>
      <c r="DH71" s="399">
        <v>0</v>
      </c>
      <c r="DI71" s="399">
        <v>-6251.1269212323969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-826.88165160047811</v>
      </c>
      <c r="DP71" s="399">
        <v>-116.35063594208293</v>
      </c>
      <c r="DQ71" s="399">
        <v>0</v>
      </c>
      <c r="DR71" s="399">
        <v>0</v>
      </c>
      <c r="DS71" s="399"/>
      <c r="DT71" s="399"/>
      <c r="DU71" s="399"/>
      <c r="DV71" s="399">
        <v>219948.27549046636</v>
      </c>
      <c r="DW71" s="399">
        <v>0</v>
      </c>
      <c r="DX71" s="399">
        <v>0</v>
      </c>
      <c r="DY71" s="399">
        <v>-13843.385200000019</v>
      </c>
      <c r="DZ71" s="399">
        <v>3870.0512000000017</v>
      </c>
      <c r="EA71" s="399">
        <v>0</v>
      </c>
      <c r="EB71" s="399">
        <v>0</v>
      </c>
      <c r="EC71" s="399">
        <v>-9905.8611834031763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225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2359</v>
      </c>
      <c r="C72" s="399" t="s">
        <v>2357</v>
      </c>
      <c r="D72" s="399" t="s">
        <v>1826</v>
      </c>
      <c r="E72" s="399" t="s">
        <v>919</v>
      </c>
      <c r="F72" s="399" t="s">
        <v>1240</v>
      </c>
      <c r="G72" s="399" t="s">
        <v>1240</v>
      </c>
      <c r="H72" s="399" t="s">
        <v>1240</v>
      </c>
      <c r="I72" s="399" t="s">
        <v>1240</v>
      </c>
      <c r="J72" s="399" t="s">
        <v>2358</v>
      </c>
      <c r="K72" s="789">
        <v>44470</v>
      </c>
      <c r="L72" s="399">
        <v>0</v>
      </c>
      <c r="M72" s="399">
        <v>0</v>
      </c>
      <c r="N72" s="399">
        <v>-6.8659999999999997</v>
      </c>
      <c r="O72" s="399">
        <v>-6.8659999999999997</v>
      </c>
      <c r="P72" s="399">
        <v>-6.8659999999999997</v>
      </c>
      <c r="Q72" s="399">
        <v>-6.8659999999999997</v>
      </c>
      <c r="R72" s="399"/>
      <c r="S72" s="399">
        <v>522.37</v>
      </c>
      <c r="T72" s="399">
        <v>144.41999999999999</v>
      </c>
      <c r="U72" s="399"/>
      <c r="V72" s="399">
        <v>-4578.1801399999995</v>
      </c>
      <c r="W72" s="399">
        <v>-4578.1801399999995</v>
      </c>
      <c r="X72" s="399">
        <v>-4474.8468400000002</v>
      </c>
      <c r="Y72" s="399">
        <v>0</v>
      </c>
      <c r="Z72" s="399">
        <v>-421.57909733723318</v>
      </c>
      <c r="AA72" s="399">
        <v>0</v>
      </c>
      <c r="AB72" s="399">
        <v>0</v>
      </c>
      <c r="AC72" s="399">
        <v>0</v>
      </c>
      <c r="AD72" s="399">
        <v>-700.08244466090525</v>
      </c>
      <c r="AE72" s="399">
        <v>-2278.8749615463603</v>
      </c>
      <c r="AF72" s="399">
        <v>-991.60024104691672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-65.108600313317623</v>
      </c>
      <c r="AM72" s="399"/>
      <c r="AN72" s="399">
        <v>-9.9890357359783568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-110.94305468714299</v>
      </c>
      <c r="BH72" s="399">
        <v>0</v>
      </c>
      <c r="BI72" s="399">
        <v>0</v>
      </c>
      <c r="BJ72" s="399">
        <v>0</v>
      </c>
      <c r="BK72" s="399">
        <v>-1627.92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-1102.5432957340597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-4477.4538000000002</v>
      </c>
      <c r="CJ72" s="399">
        <v>100.6963399999986</v>
      </c>
      <c r="CK72" s="399"/>
      <c r="CL72" s="399"/>
      <c r="CM72" s="399"/>
      <c r="CN72" s="399"/>
      <c r="CO72" s="399">
        <v>143.4307399999999</v>
      </c>
      <c r="CP72" s="399">
        <v>-40.09744000000002</v>
      </c>
      <c r="CQ72" s="399">
        <v>31</v>
      </c>
      <c r="CR72" s="399">
        <v>0.6589901350484979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-29.299396553098973</v>
      </c>
      <c r="DA72" s="399">
        <v>0</v>
      </c>
      <c r="DB72" s="399">
        <v>0</v>
      </c>
      <c r="DC72" s="399">
        <v>-40.09601460700253</v>
      </c>
      <c r="DD72" s="399">
        <v>0</v>
      </c>
      <c r="DE72" s="399">
        <v>0</v>
      </c>
      <c r="DF72" s="399">
        <v>0</v>
      </c>
      <c r="DG72" s="399">
        <v>-4.4860561314347365</v>
      </c>
      <c r="DH72" s="399">
        <v>0</v>
      </c>
      <c r="DI72" s="399">
        <v>64.767666809292052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8.5672865031219985</v>
      </c>
      <c r="DP72" s="399">
        <v>1.2055041141702496</v>
      </c>
      <c r="DQ72" s="399">
        <v>0</v>
      </c>
      <c r="DR72" s="399">
        <v>0</v>
      </c>
      <c r="DS72" s="399"/>
      <c r="DT72" s="399"/>
      <c r="DU72" s="399"/>
      <c r="DV72" s="399">
        <v>-2278.8749615463603</v>
      </c>
      <c r="DW72" s="399">
        <v>0</v>
      </c>
      <c r="DX72" s="399">
        <v>0</v>
      </c>
      <c r="DY72" s="399">
        <v>143.43073999999979</v>
      </c>
      <c r="DZ72" s="399">
        <v>-40.09744000000012</v>
      </c>
      <c r="EA72" s="399">
        <v>0</v>
      </c>
      <c r="EB72" s="399">
        <v>0</v>
      </c>
      <c r="EC72" s="399">
        <v>102.63421694520139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225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2360</v>
      </c>
      <c r="C73" s="399" t="s">
        <v>2357</v>
      </c>
      <c r="D73" s="399" t="s">
        <v>1826</v>
      </c>
      <c r="E73" s="399" t="s">
        <v>919</v>
      </c>
      <c r="F73" s="399" t="s">
        <v>1240</v>
      </c>
      <c r="G73" s="399" t="s">
        <v>1240</v>
      </c>
      <c r="H73" s="399" t="s">
        <v>1240</v>
      </c>
      <c r="I73" s="399" t="s">
        <v>1240</v>
      </c>
      <c r="J73" s="399" t="s">
        <v>2358</v>
      </c>
      <c r="K73" s="789">
        <v>44470</v>
      </c>
      <c r="L73" s="399">
        <v>0</v>
      </c>
      <c r="M73" s="399">
        <v>0</v>
      </c>
      <c r="N73" s="399">
        <v>21.484000000000002</v>
      </c>
      <c r="O73" s="399">
        <v>21.484000000000002</v>
      </c>
      <c r="P73" s="399">
        <v>21.484000000000002</v>
      </c>
      <c r="Q73" s="399">
        <v>21.484000000000002</v>
      </c>
      <c r="R73" s="399"/>
      <c r="S73" s="399">
        <v>522.37</v>
      </c>
      <c r="T73" s="399">
        <v>144.41999999999999</v>
      </c>
      <c r="U73" s="399"/>
      <c r="V73" s="399">
        <v>14325.316360000001</v>
      </c>
      <c r="W73" s="399">
        <v>14325.316360000001</v>
      </c>
      <c r="X73" s="399">
        <v>14001.982160000001</v>
      </c>
      <c r="Y73" s="399">
        <v>0</v>
      </c>
      <c r="Z73" s="399">
        <v>1319.1385562471771</v>
      </c>
      <c r="AA73" s="399">
        <v>0</v>
      </c>
      <c r="AB73" s="399">
        <v>0</v>
      </c>
      <c r="AC73" s="399">
        <v>0</v>
      </c>
      <c r="AD73" s="399">
        <v>2190.5871309488625</v>
      </c>
      <c r="AE73" s="399">
        <v>7130.6946801430258</v>
      </c>
      <c r="AF73" s="399">
        <v>3102.7584588773611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203.7275224484876</v>
      </c>
      <c r="AM73" s="399"/>
      <c r="AN73" s="399">
        <v>31.256108906460685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347.1454393968221</v>
      </c>
      <c r="BH73" s="399">
        <v>0</v>
      </c>
      <c r="BI73" s="399">
        <v>0.48</v>
      </c>
      <c r="BJ73" s="399">
        <v>2.2200000000000002</v>
      </c>
      <c r="BK73" s="399">
        <v>9755.2999999999993</v>
      </c>
      <c r="BL73" s="399">
        <v>31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3449.9038982741831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13999.3752</v>
      </c>
      <c r="CJ73" s="399">
        <v>-325.97116000000096</v>
      </c>
      <c r="CK73" s="399"/>
      <c r="CL73" s="399"/>
      <c r="CM73" s="399"/>
      <c r="CN73" s="399"/>
      <c r="CO73" s="399">
        <v>-448.80075999999974</v>
      </c>
      <c r="CP73" s="399">
        <v>125.46656000000009</v>
      </c>
      <c r="CQ73" s="399">
        <v>31</v>
      </c>
      <c r="CR73" s="399">
        <v>-2.0620075824917876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91.67903226722683</v>
      </c>
      <c r="DA73" s="399">
        <v>0</v>
      </c>
      <c r="DB73" s="399">
        <v>0</v>
      </c>
      <c r="DC73" s="399">
        <v>125.46209988593728</v>
      </c>
      <c r="DD73" s="399">
        <v>0</v>
      </c>
      <c r="DE73" s="399">
        <v>0</v>
      </c>
      <c r="DF73" s="399">
        <v>0</v>
      </c>
      <c r="DG73" s="399">
        <v>14.037056499817027</v>
      </c>
      <c r="DH73" s="399">
        <v>0</v>
      </c>
      <c r="DI73" s="399">
        <v>-202.66072731296686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-26.807396334557666</v>
      </c>
      <c r="DP73" s="399">
        <v>-3.7720725879454804</v>
      </c>
      <c r="DQ73" s="399">
        <v>0</v>
      </c>
      <c r="DR73" s="399">
        <v>0</v>
      </c>
      <c r="DS73" s="399"/>
      <c r="DT73" s="399"/>
      <c r="DU73" s="399"/>
      <c r="DV73" s="399">
        <v>7130.6946801430258</v>
      </c>
      <c r="DW73" s="399">
        <v>0</v>
      </c>
      <c r="DX73" s="399">
        <v>0</v>
      </c>
      <c r="DY73" s="399">
        <v>-448.80076000000008</v>
      </c>
      <c r="DZ73" s="399">
        <v>125.4665600000003</v>
      </c>
      <c r="EA73" s="399">
        <v>0</v>
      </c>
      <c r="EB73" s="399">
        <v>0</v>
      </c>
      <c r="EC73" s="399">
        <v>-321.14674000155992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225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957</v>
      </c>
      <c r="C74" s="399" t="s">
        <v>2366</v>
      </c>
      <c r="D74" s="399" t="s">
        <v>534</v>
      </c>
      <c r="E74" s="399" t="s">
        <v>919</v>
      </c>
      <c r="F74" s="399" t="s">
        <v>1240</v>
      </c>
      <c r="G74" s="399" t="s">
        <v>1240</v>
      </c>
      <c r="H74" s="399" t="s">
        <v>1240</v>
      </c>
      <c r="I74" s="399" t="s">
        <v>894</v>
      </c>
      <c r="J74" s="399" t="s">
        <v>2358</v>
      </c>
      <c r="K74" s="789">
        <v>44470</v>
      </c>
      <c r="L74" s="399">
        <v>0</v>
      </c>
      <c r="M74" s="399">
        <v>0</v>
      </c>
      <c r="N74" s="399">
        <v>6.4610000000000003</v>
      </c>
      <c r="O74" s="399">
        <v>6.4610000000000003</v>
      </c>
      <c r="P74" s="399">
        <v>6.4610000000000003</v>
      </c>
      <c r="Q74" s="399">
        <v>6.4610000000000003</v>
      </c>
      <c r="R74" s="399"/>
      <c r="S74" s="399">
        <v>2740.31</v>
      </c>
      <c r="T74" s="399">
        <v>144.41999999999999</v>
      </c>
      <c r="U74" s="399"/>
      <c r="V74" s="399">
        <v>18638.240529999999</v>
      </c>
      <c r="W74" s="399">
        <v>18638.240529999999</v>
      </c>
      <c r="X74" s="399">
        <v>18261.499620000002</v>
      </c>
      <c r="Y74" s="399">
        <v>0</v>
      </c>
      <c r="Z74" s="399">
        <v>345.13918098884386</v>
      </c>
      <c r="AA74" s="399">
        <v>0</v>
      </c>
      <c r="AB74" s="399">
        <v>0</v>
      </c>
      <c r="AC74" s="399">
        <v>0</v>
      </c>
      <c r="AD74" s="399">
        <v>4862.9544363911673</v>
      </c>
      <c r="AE74" s="399">
        <v>12392.246883897507</v>
      </c>
      <c r="AF74" s="399">
        <v>933.10940247657004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61.268084273863266</v>
      </c>
      <c r="AM74" s="399"/>
      <c r="AN74" s="399">
        <v>3.2155440994913675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40.307610076245673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973.41701255281566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18258.673199999997</v>
      </c>
      <c r="CJ74" s="399">
        <v>-379.59732999999687</v>
      </c>
      <c r="CK74" s="399"/>
      <c r="CL74" s="399"/>
      <c r="CM74" s="399"/>
      <c r="CN74" s="399"/>
      <c r="CO74" s="399">
        <v>-414.4731500000006</v>
      </c>
      <c r="CP74" s="399">
        <v>37.732240000000026</v>
      </c>
      <c r="CQ74" s="399">
        <v>31</v>
      </c>
      <c r="CR74" s="399">
        <v>181.40786793996904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203.52121601973795</v>
      </c>
      <c r="DA74" s="399">
        <v>0</v>
      </c>
      <c r="DB74" s="399">
        <v>0</v>
      </c>
      <c r="DC74" s="399">
        <v>37.730898685674902</v>
      </c>
      <c r="DD74" s="399">
        <v>0</v>
      </c>
      <c r="DE74" s="399">
        <v>0</v>
      </c>
      <c r="DF74" s="399">
        <v>0</v>
      </c>
      <c r="DG74" s="399">
        <v>1.6298649954783571</v>
      </c>
      <c r="DH74" s="399">
        <v>0</v>
      </c>
      <c r="DI74" s="399">
        <v>-53.024117225707244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-8.0619338911551495</v>
      </c>
      <c r="DP74" s="399">
        <v>-0.38806064405906771</v>
      </c>
      <c r="DQ74" s="399">
        <v>0</v>
      </c>
      <c r="DR74" s="399">
        <v>0</v>
      </c>
      <c r="DS74" s="399"/>
      <c r="DT74" s="399"/>
      <c r="DU74" s="399"/>
      <c r="DV74" s="399">
        <v>12392.246883897507</v>
      </c>
      <c r="DW74" s="399">
        <v>0</v>
      </c>
      <c r="DX74" s="399">
        <v>0</v>
      </c>
      <c r="DY74" s="399">
        <v>-414.47314999999799</v>
      </c>
      <c r="DZ74" s="399">
        <v>37.732239999999933</v>
      </c>
      <c r="EA74" s="399">
        <v>0</v>
      </c>
      <c r="EB74" s="399">
        <v>0</v>
      </c>
      <c r="EC74" s="399">
        <v>-558.11247943918534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225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957</v>
      </c>
      <c r="C75" s="399" t="s">
        <v>2366</v>
      </c>
      <c r="D75" s="399" t="s">
        <v>534</v>
      </c>
      <c r="E75" s="399" t="s">
        <v>919</v>
      </c>
      <c r="F75" s="399" t="s">
        <v>1240</v>
      </c>
      <c r="G75" s="399" t="s">
        <v>1240</v>
      </c>
      <c r="H75" s="399" t="s">
        <v>1240</v>
      </c>
      <c r="I75" s="399" t="s">
        <v>2328</v>
      </c>
      <c r="J75" s="399" t="s">
        <v>2358</v>
      </c>
      <c r="K75" s="789">
        <v>44470</v>
      </c>
      <c r="L75" s="399">
        <v>0</v>
      </c>
      <c r="M75" s="399">
        <v>0</v>
      </c>
      <c r="N75" s="399">
        <v>392.959</v>
      </c>
      <c r="O75" s="399">
        <v>392.959</v>
      </c>
      <c r="P75" s="399">
        <v>392.959</v>
      </c>
      <c r="Q75" s="399">
        <v>392.959</v>
      </c>
      <c r="R75" s="399"/>
      <c r="S75" s="399">
        <v>69.64</v>
      </c>
      <c r="T75" s="399">
        <v>144.41999999999999</v>
      </c>
      <c r="U75" s="399"/>
      <c r="V75" s="399">
        <v>84116.803539999994</v>
      </c>
      <c r="W75" s="399">
        <v>84116.803539999994</v>
      </c>
      <c r="X75" s="399">
        <v>82772.883759999997</v>
      </c>
      <c r="Y75" s="399">
        <v>0</v>
      </c>
      <c r="Z75" s="399">
        <v>20991.417338213138</v>
      </c>
      <c r="AA75" s="399">
        <v>0</v>
      </c>
      <c r="AB75" s="399">
        <v>0</v>
      </c>
      <c r="AC75" s="399">
        <v>0</v>
      </c>
      <c r="AD75" s="399">
        <v>0</v>
      </c>
      <c r="AE75" s="399">
        <v>0</v>
      </c>
      <c r="AF75" s="399">
        <v>56751.855392012141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3726.3341786369037</v>
      </c>
      <c r="AM75" s="399"/>
      <c r="AN75" s="399">
        <v>195.56987986256436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2451.5149586676093</v>
      </c>
      <c r="BH75" s="399">
        <v>0</v>
      </c>
      <c r="BI75" s="399">
        <v>0</v>
      </c>
      <c r="BJ75" s="399">
        <v>0</v>
      </c>
      <c r="BK75" s="399">
        <v>0</v>
      </c>
      <c r="BL75" s="399">
        <v>0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59203.370350679754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82773.094400000002</v>
      </c>
      <c r="CJ75" s="399">
        <v>-1343.739139999976</v>
      </c>
      <c r="CK75" s="399"/>
      <c r="CL75" s="399"/>
      <c r="CM75" s="399"/>
      <c r="CN75" s="399"/>
      <c r="CO75" s="399">
        <v>-3638.8003399999993</v>
      </c>
      <c r="CP75" s="399">
        <v>2294.8805600000014</v>
      </c>
      <c r="CQ75" s="399">
        <v>31</v>
      </c>
      <c r="CR75" s="399">
        <v>-1344.9371843488043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0</v>
      </c>
      <c r="DA75" s="399">
        <v>0</v>
      </c>
      <c r="DB75" s="399">
        <v>0</v>
      </c>
      <c r="DC75" s="399">
        <v>2294.798981059299</v>
      </c>
      <c r="DD75" s="399">
        <v>0</v>
      </c>
      <c r="DE75" s="399">
        <v>0</v>
      </c>
      <c r="DF75" s="399">
        <v>0</v>
      </c>
      <c r="DG75" s="399">
        <v>99.128636241785898</v>
      </c>
      <c r="DH75" s="399">
        <v>0</v>
      </c>
      <c r="DI75" s="399">
        <v>-3224.9348523288463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-490.32804208859852</v>
      </c>
      <c r="DP75" s="399">
        <v>-23.601907232441931</v>
      </c>
      <c r="DQ75" s="399">
        <v>0</v>
      </c>
      <c r="DR75" s="399">
        <v>0</v>
      </c>
      <c r="DS75" s="399"/>
      <c r="DT75" s="399"/>
      <c r="DU75" s="399"/>
      <c r="DV75" s="399">
        <v>0</v>
      </c>
      <c r="DW75" s="399">
        <v>0</v>
      </c>
      <c r="DX75" s="399">
        <v>0</v>
      </c>
      <c r="DY75" s="399">
        <v>-3638.800339999998</v>
      </c>
      <c r="DZ75" s="399">
        <v>2294.8805600000051</v>
      </c>
      <c r="EA75" s="399">
        <v>0</v>
      </c>
      <c r="EB75" s="399">
        <v>0</v>
      </c>
      <c r="EC75" s="399">
        <v>0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225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957</v>
      </c>
      <c r="C76" s="399" t="s">
        <v>2366</v>
      </c>
      <c r="D76" s="399" t="s">
        <v>534</v>
      </c>
      <c r="E76" s="399" t="s">
        <v>919</v>
      </c>
      <c r="F76" s="399" t="s">
        <v>1240</v>
      </c>
      <c r="G76" s="399" t="s">
        <v>1240</v>
      </c>
      <c r="H76" s="399" t="s">
        <v>1240</v>
      </c>
      <c r="I76" s="399" t="s">
        <v>1240</v>
      </c>
      <c r="J76" s="399" t="s">
        <v>2358</v>
      </c>
      <c r="K76" s="789">
        <v>44470</v>
      </c>
      <c r="L76" s="399">
        <v>1882</v>
      </c>
      <c r="M76" s="399">
        <v>1882</v>
      </c>
      <c r="N76" s="399">
        <v>0</v>
      </c>
      <c r="O76" s="399">
        <v>0</v>
      </c>
      <c r="P76" s="399">
        <v>0</v>
      </c>
      <c r="Q76" s="399">
        <v>0</v>
      </c>
      <c r="R76" s="399">
        <v>34.950000000000003</v>
      </c>
      <c r="S76" s="399"/>
      <c r="T76" s="399"/>
      <c r="U76" s="399">
        <v>65775.900000000009</v>
      </c>
      <c r="V76" s="399"/>
      <c r="W76" s="399">
        <v>65775.900000000009</v>
      </c>
      <c r="X76" s="399">
        <v>64891.359999999993</v>
      </c>
      <c r="Y76" s="399">
        <v>0</v>
      </c>
      <c r="Z76" s="399">
        <v>0</v>
      </c>
      <c r="AA76" s="399">
        <v>0</v>
      </c>
      <c r="AB76" s="399">
        <v>0</v>
      </c>
      <c r="AC76" s="399">
        <v>0</v>
      </c>
      <c r="AD76" s="399">
        <v>23844.525040524433</v>
      </c>
      <c r="AE76" s="399">
        <v>41940.008642060595</v>
      </c>
      <c r="AF76" s="399"/>
      <c r="AG76" s="399"/>
      <c r="AH76" s="399"/>
      <c r="AI76" s="399">
        <v>0</v>
      </c>
      <c r="AJ76" s="399">
        <v>0</v>
      </c>
      <c r="AK76" s="399">
        <v>0</v>
      </c>
      <c r="AL76" s="399">
        <v>0</v>
      </c>
      <c r="AM76" s="399"/>
      <c r="AN76" s="399">
        <v>0</v>
      </c>
      <c r="AO76" s="399">
        <v>0</v>
      </c>
      <c r="AP76" s="399">
        <v>0</v>
      </c>
      <c r="AQ76" s="399">
        <v>0</v>
      </c>
      <c r="AR76" s="399">
        <v>0</v>
      </c>
      <c r="AS76" s="399"/>
      <c r="AT76" s="399"/>
      <c r="AU76" s="399">
        <v>0</v>
      </c>
      <c r="AV76" s="399">
        <v>0</v>
      </c>
      <c r="AW76" s="399">
        <v>0</v>
      </c>
      <c r="AX76" s="399"/>
      <c r="AY76" s="399"/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/>
      <c r="BG76" s="399">
        <v>0</v>
      </c>
      <c r="BH76" s="399">
        <v>0</v>
      </c>
      <c r="BI76" s="399">
        <v>0</v>
      </c>
      <c r="BJ76" s="399">
        <v>0</v>
      </c>
      <c r="BK76" s="399">
        <v>61737.11</v>
      </c>
      <c r="BL76" s="399">
        <v>15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0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64891.359999999993</v>
      </c>
      <c r="CJ76" s="399">
        <v>-884.56999999999971</v>
      </c>
      <c r="CK76" s="399"/>
      <c r="CL76" s="399"/>
      <c r="CM76" s="399"/>
      <c r="CN76" s="399"/>
      <c r="CO76" s="399">
        <v>-884.54000000001122</v>
      </c>
      <c r="CP76" s="399">
        <v>0</v>
      </c>
      <c r="CQ76" s="399">
        <v>31</v>
      </c>
      <c r="CR76" s="399">
        <v>997.92560163522649</v>
      </c>
      <c r="CS76" s="399">
        <v>0</v>
      </c>
      <c r="CT76" s="399">
        <v>0</v>
      </c>
      <c r="CU76" s="399">
        <v>0</v>
      </c>
      <c r="CV76" s="399">
        <v>0</v>
      </c>
      <c r="CW76" s="399"/>
      <c r="CX76" s="399"/>
      <c r="CY76" s="399"/>
      <c r="CZ76" s="399">
        <v>997.92560163522649</v>
      </c>
      <c r="DA76" s="399">
        <v>0</v>
      </c>
      <c r="DB76" s="399">
        <v>0</v>
      </c>
      <c r="DC76" s="399"/>
      <c r="DD76" s="399"/>
      <c r="DE76" s="399">
        <v>0</v>
      </c>
      <c r="DF76" s="399">
        <v>0</v>
      </c>
      <c r="DG76" s="399">
        <v>0</v>
      </c>
      <c r="DH76" s="399">
        <v>0</v>
      </c>
      <c r="DI76" s="399">
        <v>0</v>
      </c>
      <c r="DJ76" s="399"/>
      <c r="DK76" s="399">
        <v>0</v>
      </c>
      <c r="DL76" s="399">
        <v>0</v>
      </c>
      <c r="DM76" s="399"/>
      <c r="DN76" s="399">
        <v>0</v>
      </c>
      <c r="DO76" s="399">
        <v>0</v>
      </c>
      <c r="DP76" s="399">
        <v>0</v>
      </c>
      <c r="DQ76" s="399">
        <v>0</v>
      </c>
      <c r="DR76" s="399">
        <v>0</v>
      </c>
      <c r="DS76" s="399"/>
      <c r="DT76" s="399"/>
      <c r="DU76" s="399">
        <v>41940.008642060595</v>
      </c>
      <c r="DV76" s="399"/>
      <c r="DW76" s="399">
        <v>0</v>
      </c>
      <c r="DX76" s="399">
        <v>0</v>
      </c>
      <c r="DY76" s="399">
        <v>-884.54000000001543</v>
      </c>
      <c r="DZ76" s="399"/>
      <c r="EA76" s="399">
        <v>0</v>
      </c>
      <c r="EB76" s="399"/>
      <c r="EC76" s="399">
        <v>-1888.8618367775052</v>
      </c>
      <c r="ED76" s="399"/>
      <c r="EE76" s="399">
        <v>0</v>
      </c>
      <c r="EF76" s="399">
        <v>0</v>
      </c>
      <c r="EG76" s="399"/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/>
      <c r="EN76" s="399"/>
      <c r="EO76" s="399">
        <v>0</v>
      </c>
      <c r="EP76" s="399">
        <v>0</v>
      </c>
      <c r="EQ76" s="399"/>
      <c r="ER76" s="399">
        <v>0</v>
      </c>
      <c r="ES76" s="399"/>
      <c r="ET76" s="399">
        <v>0</v>
      </c>
      <c r="EU76" s="399"/>
      <c r="EV76" s="399">
        <v>225</v>
      </c>
      <c r="EW76" s="399"/>
      <c r="EX76" s="399"/>
      <c r="EY76" s="399"/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957</v>
      </c>
      <c r="C77" s="399" t="s">
        <v>2367</v>
      </c>
      <c r="D77" s="399" t="s">
        <v>1826</v>
      </c>
      <c r="E77" s="399" t="s">
        <v>919</v>
      </c>
      <c r="F77" s="399" t="s">
        <v>1240</v>
      </c>
      <c r="G77" s="399" t="s">
        <v>1240</v>
      </c>
      <c r="H77" s="399" t="s">
        <v>1240</v>
      </c>
      <c r="I77" s="399" t="s">
        <v>894</v>
      </c>
      <c r="J77" s="399" t="s">
        <v>2358</v>
      </c>
      <c r="K77" s="789">
        <v>44470</v>
      </c>
      <c r="L77" s="399">
        <v>0</v>
      </c>
      <c r="M77" s="399">
        <v>0</v>
      </c>
      <c r="N77" s="399">
        <v>0.114</v>
      </c>
      <c r="O77" s="399">
        <v>0.114</v>
      </c>
      <c r="P77" s="399">
        <v>0.114</v>
      </c>
      <c r="Q77" s="399">
        <v>0.114</v>
      </c>
      <c r="R77" s="399"/>
      <c r="S77" s="399">
        <v>1585.55</v>
      </c>
      <c r="T77" s="399">
        <v>144.41999999999999</v>
      </c>
      <c r="U77" s="399"/>
      <c r="V77" s="399">
        <v>197.21657999999999</v>
      </c>
      <c r="W77" s="399">
        <v>197.21657999999999</v>
      </c>
      <c r="X77" s="399">
        <v>192.51978</v>
      </c>
      <c r="Y77" s="399">
        <v>0</v>
      </c>
      <c r="Z77" s="399">
        <v>6.9997111995986865</v>
      </c>
      <c r="AA77" s="399">
        <v>0</v>
      </c>
      <c r="AB77" s="399">
        <v>0</v>
      </c>
      <c r="AC77" s="399">
        <v>0</v>
      </c>
      <c r="AD77" s="399">
        <v>40.125288480251243</v>
      </c>
      <c r="AE77" s="399">
        <v>130.53901913498882</v>
      </c>
      <c r="AF77" s="399">
        <v>16.464087893875405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1.0810341444390053</v>
      </c>
      <c r="AM77" s="399"/>
      <c r="AN77" s="399">
        <v>0.16585349168388186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1.8420489709196479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18.306136864795054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185.7647</v>
      </c>
      <c r="CJ77" s="399">
        <v>-11.481879999999961</v>
      </c>
      <c r="CK77" s="399"/>
      <c r="CL77" s="399"/>
      <c r="CM77" s="399"/>
      <c r="CN77" s="399"/>
      <c r="CO77" s="399">
        <v>-5.3625599999999958</v>
      </c>
      <c r="CP77" s="399">
        <v>0.66576000000000046</v>
      </c>
      <c r="CQ77" s="399">
        <v>31</v>
      </c>
      <c r="CR77" s="399">
        <v>1.1818818735281837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1.6792975569608615</v>
      </c>
      <c r="DA77" s="399">
        <v>0</v>
      </c>
      <c r="DB77" s="399">
        <v>0</v>
      </c>
      <c r="DC77" s="399">
        <v>0.66573633341075933</v>
      </c>
      <c r="DD77" s="399">
        <v>0</v>
      </c>
      <c r="DE77" s="399">
        <v>0</v>
      </c>
      <c r="DF77" s="399">
        <v>0</v>
      </c>
      <c r="DG77" s="399">
        <v>7.4484474072758378E-2</v>
      </c>
      <c r="DH77" s="399">
        <v>0</v>
      </c>
      <c r="DI77" s="399">
        <v>-1.0753734366820984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-0.14224740188696605</v>
      </c>
      <c r="DP77" s="399">
        <v>-2.001565234713204E-2</v>
      </c>
      <c r="DQ77" s="399">
        <v>0</v>
      </c>
      <c r="DR77" s="399">
        <v>0</v>
      </c>
      <c r="DS77" s="399"/>
      <c r="DT77" s="399"/>
      <c r="DU77" s="399"/>
      <c r="DV77" s="399">
        <v>130.53901913498882</v>
      </c>
      <c r="DW77" s="399">
        <v>0</v>
      </c>
      <c r="DX77" s="399">
        <v>0</v>
      </c>
      <c r="DY77" s="399">
        <v>-5.362560000000002</v>
      </c>
      <c r="DZ77" s="399">
        <v>0.6657599999999988</v>
      </c>
      <c r="EA77" s="399">
        <v>0</v>
      </c>
      <c r="EB77" s="399">
        <v>0</v>
      </c>
      <c r="EC77" s="399">
        <v>-5.8791158952504077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225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957</v>
      </c>
      <c r="C78" s="399" t="s">
        <v>2367</v>
      </c>
      <c r="D78" s="399" t="s">
        <v>1826</v>
      </c>
      <c r="E78" s="399" t="s">
        <v>919</v>
      </c>
      <c r="F78" s="399" t="s">
        <v>1240</v>
      </c>
      <c r="G78" s="399" t="s">
        <v>1240</v>
      </c>
      <c r="H78" s="399" t="s">
        <v>1240</v>
      </c>
      <c r="I78" s="399" t="s">
        <v>2328</v>
      </c>
      <c r="J78" s="399" t="s">
        <v>2358</v>
      </c>
      <c r="K78" s="789">
        <v>44470</v>
      </c>
      <c r="L78" s="399">
        <v>0</v>
      </c>
      <c r="M78" s="399">
        <v>0</v>
      </c>
      <c r="N78" s="399">
        <v>5.37</v>
      </c>
      <c r="O78" s="399">
        <v>5.37</v>
      </c>
      <c r="P78" s="399">
        <v>5.37</v>
      </c>
      <c r="Q78" s="399">
        <v>5.37</v>
      </c>
      <c r="R78" s="399"/>
      <c r="S78" s="399">
        <v>387.88</v>
      </c>
      <c r="T78" s="399">
        <v>144.41999999999999</v>
      </c>
      <c r="U78" s="399"/>
      <c r="V78" s="399">
        <v>2858.451</v>
      </c>
      <c r="W78" s="399">
        <v>2858.451</v>
      </c>
      <c r="X78" s="399">
        <v>2795.4609</v>
      </c>
      <c r="Y78" s="399">
        <v>0</v>
      </c>
      <c r="Z78" s="399">
        <v>329.72323808635917</v>
      </c>
      <c r="AA78" s="399">
        <v>0</v>
      </c>
      <c r="AB78" s="399">
        <v>0</v>
      </c>
      <c r="AC78" s="399">
        <v>0</v>
      </c>
      <c r="AD78" s="399">
        <v>377.86002119470083</v>
      </c>
      <c r="AE78" s="399">
        <v>1229.8151868219734</v>
      </c>
      <c r="AF78" s="399">
        <v>775.54519289570976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50.922397856468926</v>
      </c>
      <c r="AM78" s="399"/>
      <c r="AN78" s="399">
        <v>7.8125723714249613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86.770201524899207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862.31539442060898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2795.4609</v>
      </c>
      <c r="CJ78" s="399">
        <v>-63.020100000000639</v>
      </c>
      <c r="CK78" s="399"/>
      <c r="CL78" s="399"/>
      <c r="CM78" s="399"/>
      <c r="CN78" s="399"/>
      <c r="CO78" s="399">
        <v>-94.350899999999967</v>
      </c>
      <c r="CP78" s="399">
        <v>31.360800000000019</v>
      </c>
      <c r="CQ78" s="399">
        <v>31</v>
      </c>
      <c r="CR78" s="399">
        <v>-7.6169440575540648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15.813952609406044</v>
      </c>
      <c r="DA78" s="399">
        <v>0</v>
      </c>
      <c r="DB78" s="399">
        <v>0</v>
      </c>
      <c r="DC78" s="399">
        <v>31.359685179085886</v>
      </c>
      <c r="DD78" s="399">
        <v>0</v>
      </c>
      <c r="DE78" s="399">
        <v>0</v>
      </c>
      <c r="DF78" s="399">
        <v>0</v>
      </c>
      <c r="DG78" s="399">
        <v>3.5086107523746648</v>
      </c>
      <c r="DH78" s="399">
        <v>0</v>
      </c>
      <c r="DI78" s="399">
        <v>-50.655748727919899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-6.7006012994123409</v>
      </c>
      <c r="DP78" s="399">
        <v>-0.9428425710885886</v>
      </c>
      <c r="DQ78" s="399">
        <v>0</v>
      </c>
      <c r="DR78" s="399">
        <v>0</v>
      </c>
      <c r="DS78" s="399"/>
      <c r="DT78" s="399"/>
      <c r="DU78" s="399"/>
      <c r="DV78" s="399">
        <v>1229.8151868219734</v>
      </c>
      <c r="DW78" s="399">
        <v>0</v>
      </c>
      <c r="DX78" s="399">
        <v>0</v>
      </c>
      <c r="DY78" s="399">
        <v>-94.350899999999683</v>
      </c>
      <c r="DZ78" s="399">
        <v>31.36080000000004</v>
      </c>
      <c r="EA78" s="399">
        <v>0</v>
      </c>
      <c r="EB78" s="399">
        <v>0</v>
      </c>
      <c r="EC78" s="399">
        <v>-55.387470052831759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225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957</v>
      </c>
      <c r="C79" s="399" t="s">
        <v>2367</v>
      </c>
      <c r="D79" s="399" t="s">
        <v>1826</v>
      </c>
      <c r="E79" s="399" t="s">
        <v>919</v>
      </c>
      <c r="F79" s="399" t="s">
        <v>1240</v>
      </c>
      <c r="G79" s="399" t="s">
        <v>1240</v>
      </c>
      <c r="H79" s="399" t="s">
        <v>1240</v>
      </c>
      <c r="I79" s="399" t="s">
        <v>1240</v>
      </c>
      <c r="J79" s="399" t="s">
        <v>2358</v>
      </c>
      <c r="K79" s="789">
        <v>44470</v>
      </c>
      <c r="L79" s="399">
        <v>0</v>
      </c>
      <c r="M79" s="399">
        <v>0</v>
      </c>
      <c r="N79" s="399">
        <v>0</v>
      </c>
      <c r="O79" s="399">
        <v>0</v>
      </c>
      <c r="P79" s="399">
        <v>0</v>
      </c>
      <c r="Q79" s="399">
        <v>0</v>
      </c>
      <c r="R79" s="399"/>
      <c r="S79" s="399"/>
      <c r="T79" s="399"/>
      <c r="U79" s="399"/>
      <c r="V79" s="399"/>
      <c r="W79" s="399"/>
      <c r="X79" s="399"/>
      <c r="Y79" s="399"/>
      <c r="Z79" s="399"/>
      <c r="AA79" s="399">
        <v>0</v>
      </c>
      <c r="AB79" s="399"/>
      <c r="AC79" s="399"/>
      <c r="AD79" s="399"/>
      <c r="AE79" s="399"/>
      <c r="AF79" s="399"/>
      <c r="AG79" s="399"/>
      <c r="AH79" s="399"/>
      <c r="AI79" s="399"/>
      <c r="AJ79" s="399"/>
      <c r="AK79" s="399"/>
      <c r="AL79" s="399"/>
      <c r="AM79" s="399"/>
      <c r="AN79" s="399"/>
      <c r="AO79" s="399"/>
      <c r="AP79" s="399"/>
      <c r="AQ79" s="399"/>
      <c r="AR79" s="399"/>
      <c r="AS79" s="399"/>
      <c r="AT79" s="399"/>
      <c r="AU79" s="399"/>
      <c r="AV79" s="399"/>
      <c r="AW79" s="399"/>
      <c r="AX79" s="399"/>
      <c r="AY79" s="399"/>
      <c r="AZ79" s="399">
        <v>0</v>
      </c>
      <c r="BA79" s="399"/>
      <c r="BB79" s="399"/>
      <c r="BC79" s="399"/>
      <c r="BD79" s="399"/>
      <c r="BE79" s="399"/>
      <c r="BF79" s="399"/>
      <c r="BG79" s="399"/>
      <c r="BH79" s="399"/>
      <c r="BI79" s="399">
        <v>0</v>
      </c>
      <c r="BJ79" s="399">
        <v>0</v>
      </c>
      <c r="BK79" s="399">
        <v>1167.23</v>
      </c>
      <c r="BL79" s="399">
        <v>4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/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/>
      <c r="CJ79" s="399">
        <v>-0.03</v>
      </c>
      <c r="CK79" s="399"/>
      <c r="CL79" s="399"/>
      <c r="CM79" s="399"/>
      <c r="CN79" s="399"/>
      <c r="CO79" s="399">
        <v>0</v>
      </c>
      <c r="CP79" s="399">
        <v>0</v>
      </c>
      <c r="CQ79" s="399">
        <v>31</v>
      </c>
      <c r="CR79" s="399"/>
      <c r="CS79" s="399"/>
      <c r="CT79" s="399"/>
      <c r="CU79" s="399"/>
      <c r="CV79" s="399"/>
      <c r="CW79" s="399"/>
      <c r="CX79" s="399"/>
      <c r="CY79" s="399"/>
      <c r="CZ79" s="399"/>
      <c r="DA79" s="399"/>
      <c r="DB79" s="399"/>
      <c r="DC79" s="399"/>
      <c r="DD79" s="399"/>
      <c r="DE79" s="399"/>
      <c r="DF79" s="399"/>
      <c r="DG79" s="399"/>
      <c r="DH79" s="399"/>
      <c r="DI79" s="399"/>
      <c r="DJ79" s="399"/>
      <c r="DK79" s="399">
        <v>0</v>
      </c>
      <c r="DL79" s="399"/>
      <c r="DM79" s="399"/>
      <c r="DN79" s="399"/>
      <c r="DO79" s="399"/>
      <c r="DP79" s="399"/>
      <c r="DQ79" s="399"/>
      <c r="DR79" s="399"/>
      <c r="DS79" s="399"/>
      <c r="DT79" s="399"/>
      <c r="DU79" s="399"/>
      <c r="DV79" s="399"/>
      <c r="DW79" s="399"/>
      <c r="DX79" s="399"/>
      <c r="DY79" s="399"/>
      <c r="DZ79" s="399"/>
      <c r="EA79" s="399"/>
      <c r="EB79" s="399"/>
      <c r="EC79" s="399"/>
      <c r="ED79" s="399"/>
      <c r="EE79" s="399"/>
      <c r="EF79" s="399"/>
      <c r="EG79" s="399"/>
      <c r="EH79" s="399"/>
      <c r="EI79" s="399"/>
      <c r="EJ79" s="399"/>
      <c r="EK79" s="399"/>
      <c r="EL79" s="399"/>
      <c r="EM79" s="399"/>
      <c r="EN79" s="399"/>
      <c r="EO79" s="399"/>
      <c r="EP79" s="399"/>
      <c r="EQ79" s="399"/>
      <c r="ER79" s="399"/>
      <c r="ES79" s="399"/>
      <c r="ET79" s="399"/>
      <c r="EU79" s="399"/>
      <c r="EV79" s="399">
        <v>225</v>
      </c>
      <c r="EW79" s="399"/>
      <c r="EX79" s="399"/>
      <c r="EY79" s="399"/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957</v>
      </c>
      <c r="C80" s="399" t="s">
        <v>2367</v>
      </c>
      <c r="D80" s="399" t="s">
        <v>1826</v>
      </c>
      <c r="E80" s="399" t="s">
        <v>919</v>
      </c>
      <c r="F80" s="399" t="s">
        <v>1240</v>
      </c>
      <c r="G80" s="399" t="s">
        <v>1240</v>
      </c>
      <c r="H80" s="399" t="s">
        <v>1240</v>
      </c>
      <c r="I80" s="399" t="s">
        <v>2368</v>
      </c>
      <c r="J80" s="399" t="s">
        <v>2358</v>
      </c>
      <c r="K80" s="789">
        <v>44470</v>
      </c>
      <c r="L80" s="399">
        <v>0</v>
      </c>
      <c r="M80" s="399">
        <v>0</v>
      </c>
      <c r="N80" s="399">
        <v>9.5000000000000001E-2</v>
      </c>
      <c r="O80" s="399">
        <v>9.5000000000000001E-2</v>
      </c>
      <c r="P80" s="399">
        <v>9.5000000000000001E-2</v>
      </c>
      <c r="Q80" s="399">
        <v>9.5000000000000001E-2</v>
      </c>
      <c r="R80" s="399"/>
      <c r="S80" s="399">
        <v>986.74</v>
      </c>
      <c r="T80" s="399">
        <v>144.41999999999999</v>
      </c>
      <c r="U80" s="399"/>
      <c r="V80" s="399">
        <v>107.4602</v>
      </c>
      <c r="W80" s="399">
        <v>107.4602</v>
      </c>
      <c r="X80" s="399">
        <v>104.94555</v>
      </c>
      <c r="Y80" s="399">
        <v>0</v>
      </c>
      <c r="Z80" s="399">
        <v>5.8330926663322389</v>
      </c>
      <c r="AA80" s="399">
        <v>0</v>
      </c>
      <c r="AB80" s="399">
        <v>0</v>
      </c>
      <c r="AC80" s="399">
        <v>0</v>
      </c>
      <c r="AD80" s="399">
        <v>20.063602103336553</v>
      </c>
      <c r="AE80" s="399">
        <v>65.269521088317106</v>
      </c>
      <c r="AF80" s="399">
        <v>13.720073244896168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0.9008617870325043</v>
      </c>
      <c r="AM80" s="399"/>
      <c r="AN80" s="399">
        <v>0.13821124306990154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1.5350408090997065</v>
      </c>
      <c r="BH80" s="399">
        <v>0</v>
      </c>
      <c r="BI80" s="399">
        <v>0</v>
      </c>
      <c r="BJ80" s="399">
        <v>0</v>
      </c>
      <c r="BK80" s="399">
        <v>0</v>
      </c>
      <c r="BL80" s="399">
        <v>0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15.255114053995875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110.46899999999999</v>
      </c>
      <c r="CJ80" s="399">
        <v>2.9787999999999784</v>
      </c>
      <c r="CK80" s="399"/>
      <c r="CL80" s="399"/>
      <c r="CM80" s="399"/>
      <c r="CN80" s="399"/>
      <c r="CO80" s="399">
        <v>-3.0694500000000056</v>
      </c>
      <c r="CP80" s="399">
        <v>0.55480000000000029</v>
      </c>
      <c r="CQ80" s="399">
        <v>31</v>
      </c>
      <c r="CR80" s="399">
        <v>0.42517579682322548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0.83968886635045337</v>
      </c>
      <c r="DA80" s="399">
        <v>0</v>
      </c>
      <c r="DB80" s="399">
        <v>0</v>
      </c>
      <c r="DC80" s="399">
        <v>0.55478027784230299</v>
      </c>
      <c r="DD80" s="399">
        <v>0</v>
      </c>
      <c r="DE80" s="399">
        <v>0</v>
      </c>
      <c r="DF80" s="399">
        <v>0</v>
      </c>
      <c r="DG80" s="399">
        <v>6.2070395060632055E-2</v>
      </c>
      <c r="DH80" s="399">
        <v>0</v>
      </c>
      <c r="DI80" s="399">
        <v>-0.89614453056841548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-0.11853950157247162</v>
      </c>
      <c r="DP80" s="399">
        <v>-1.66797102892767E-2</v>
      </c>
      <c r="DQ80" s="399">
        <v>0</v>
      </c>
      <c r="DR80" s="399">
        <v>0</v>
      </c>
      <c r="DS80" s="399"/>
      <c r="DT80" s="399"/>
      <c r="DU80" s="399"/>
      <c r="DV80" s="399">
        <v>65.269521088317106</v>
      </c>
      <c r="DW80" s="399">
        <v>0</v>
      </c>
      <c r="DX80" s="399">
        <v>0</v>
      </c>
      <c r="DY80" s="399">
        <v>-3.0694500000000033</v>
      </c>
      <c r="DZ80" s="399">
        <v>0.55480000000000018</v>
      </c>
      <c r="EA80" s="399">
        <v>0</v>
      </c>
      <c r="EB80" s="399">
        <v>0</v>
      </c>
      <c r="EC80" s="399">
        <v>-2.9395584664910643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225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957</v>
      </c>
      <c r="C81" s="399" t="s">
        <v>2357</v>
      </c>
      <c r="D81" s="399" t="s">
        <v>2369</v>
      </c>
      <c r="E81" s="399" t="s">
        <v>895</v>
      </c>
      <c r="F81" s="399" t="s">
        <v>1240</v>
      </c>
      <c r="G81" s="399" t="s">
        <v>1240</v>
      </c>
      <c r="H81" s="399" t="s">
        <v>1240</v>
      </c>
      <c r="I81" s="399" t="s">
        <v>1240</v>
      </c>
      <c r="J81" s="399" t="s">
        <v>2358</v>
      </c>
      <c r="K81" s="789">
        <v>44470</v>
      </c>
      <c r="L81" s="399">
        <v>0</v>
      </c>
      <c r="M81" s="399">
        <v>0</v>
      </c>
      <c r="N81" s="399">
        <v>303.26799999999997</v>
      </c>
      <c r="O81" s="399">
        <v>303.26799999999997</v>
      </c>
      <c r="P81" s="399">
        <v>303.26799999999997</v>
      </c>
      <c r="Q81" s="399">
        <v>303.26799999999997</v>
      </c>
      <c r="R81" s="399"/>
      <c r="S81" s="399">
        <v>522.37</v>
      </c>
      <c r="T81" s="399">
        <v>144.41999999999999</v>
      </c>
      <c r="U81" s="399"/>
      <c r="V81" s="399">
        <v>202216.06971999997</v>
      </c>
      <c r="W81" s="399">
        <v>202216.06971999997</v>
      </c>
      <c r="X81" s="399">
        <v>197651.88631999999</v>
      </c>
      <c r="Y81" s="399">
        <v>0</v>
      </c>
      <c r="Z81" s="399">
        <v>18620.951018244687</v>
      </c>
      <c r="AA81" s="399">
        <v>0</v>
      </c>
      <c r="AB81" s="399">
        <v>0</v>
      </c>
      <c r="AC81" s="399">
        <v>0</v>
      </c>
      <c r="AD81" s="399">
        <v>30922.31325770804</v>
      </c>
      <c r="AE81" s="399">
        <v>100656.83831025948</v>
      </c>
      <c r="AF81" s="399">
        <v>43798.51760877022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2875.8163413660368</v>
      </c>
      <c r="AM81" s="399"/>
      <c r="AN81" s="399">
        <v>441.21102382445156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4900.3026957268394</v>
      </c>
      <c r="BH81" s="399">
        <v>0</v>
      </c>
      <c r="BI81" s="399">
        <v>4.6399999999999997</v>
      </c>
      <c r="BJ81" s="399">
        <v>21.52</v>
      </c>
      <c r="BK81" s="399">
        <v>45008.12</v>
      </c>
      <c r="BL81" s="399">
        <v>764</v>
      </c>
      <c r="BM81" s="399"/>
      <c r="BN81" s="399"/>
      <c r="BO81" s="399"/>
      <c r="BP81" s="399"/>
      <c r="BQ81" s="399"/>
      <c r="BR81" s="399">
        <v>23715.5576</v>
      </c>
      <c r="BS81" s="399"/>
      <c r="BT81" s="399"/>
      <c r="BU81" s="399"/>
      <c r="BV81" s="399">
        <v>48698.820304497058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173937.47579999999</v>
      </c>
      <c r="CJ81" s="399">
        <v>-4011.1185600000317</v>
      </c>
      <c r="CK81" s="399"/>
      <c r="CL81" s="399"/>
      <c r="CM81" s="399"/>
      <c r="CN81" s="399"/>
      <c r="CO81" s="399">
        <v>-6335.2685199999951</v>
      </c>
      <c r="CP81" s="399">
        <v>1771.0851200000009</v>
      </c>
      <c r="CQ81" s="399">
        <v>31</v>
      </c>
      <c r="CR81" s="399">
        <v>-29.107285213482101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1294.1406049905672</v>
      </c>
      <c r="DA81" s="399">
        <v>0</v>
      </c>
      <c r="DB81" s="399">
        <v>0</v>
      </c>
      <c r="DC81" s="399">
        <v>1771.02216105978</v>
      </c>
      <c r="DD81" s="399">
        <v>0</v>
      </c>
      <c r="DE81" s="399">
        <v>0</v>
      </c>
      <c r="DF81" s="399">
        <v>0</v>
      </c>
      <c r="DG81" s="399">
        <v>198.14699546576594</v>
      </c>
      <c r="DH81" s="399">
        <v>0</v>
      </c>
      <c r="DI81" s="399">
        <v>-2860.7574683833918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-378.41302697768788</v>
      </c>
      <c r="DP81" s="399">
        <v>-53.246551368509131</v>
      </c>
      <c r="DQ81" s="399">
        <v>0</v>
      </c>
      <c r="DR81" s="399">
        <v>0</v>
      </c>
      <c r="DS81" s="399"/>
      <c r="DT81" s="399"/>
      <c r="DU81" s="399"/>
      <c r="DV81" s="399">
        <v>100656.83831025948</v>
      </c>
      <c r="DW81" s="399">
        <v>0</v>
      </c>
      <c r="DX81" s="399">
        <v>0</v>
      </c>
      <c r="DY81" s="399">
        <v>-6335.2685199999833</v>
      </c>
      <c r="DZ81" s="399">
        <v>1771.0851200000034</v>
      </c>
      <c r="EA81" s="399">
        <v>0</v>
      </c>
      <c r="EB81" s="399">
        <v>0</v>
      </c>
      <c r="EC81" s="399">
        <v>-4533.3052293238288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225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2359</v>
      </c>
      <c r="C82" s="399" t="s">
        <v>2357</v>
      </c>
      <c r="D82" s="399" t="s">
        <v>2369</v>
      </c>
      <c r="E82" s="399" t="s">
        <v>895</v>
      </c>
      <c r="F82" s="399" t="s">
        <v>1240</v>
      </c>
      <c r="G82" s="399" t="s">
        <v>1240</v>
      </c>
      <c r="H82" s="399" t="s">
        <v>1240</v>
      </c>
      <c r="I82" s="399" t="s">
        <v>1240</v>
      </c>
      <c r="J82" s="399" t="s">
        <v>2358</v>
      </c>
      <c r="K82" s="789">
        <v>44470</v>
      </c>
      <c r="L82" s="399">
        <v>0</v>
      </c>
      <c r="M82" s="399">
        <v>0</v>
      </c>
      <c r="N82" s="399">
        <v>-1</v>
      </c>
      <c r="O82" s="399">
        <v>-1</v>
      </c>
      <c r="P82" s="399">
        <v>-1</v>
      </c>
      <c r="Q82" s="399">
        <v>-1</v>
      </c>
      <c r="R82" s="399"/>
      <c r="S82" s="399">
        <v>522.37</v>
      </c>
      <c r="T82" s="399">
        <v>144.41999999999999</v>
      </c>
      <c r="U82" s="399"/>
      <c r="V82" s="399">
        <v>-666.79</v>
      </c>
      <c r="W82" s="399">
        <v>-666.79</v>
      </c>
      <c r="X82" s="399">
        <v>-651.74</v>
      </c>
      <c r="Y82" s="399">
        <v>0</v>
      </c>
      <c r="Z82" s="399">
        <v>-61.400975435076198</v>
      </c>
      <c r="AA82" s="399">
        <v>0</v>
      </c>
      <c r="AB82" s="399">
        <v>0</v>
      </c>
      <c r="AC82" s="399">
        <v>0</v>
      </c>
      <c r="AD82" s="399">
        <v>-101.963653460662</v>
      </c>
      <c r="AE82" s="399">
        <v>-331.907218401742</v>
      </c>
      <c r="AF82" s="399">
        <v>-144.42182363048599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-9.4827556529737294</v>
      </c>
      <c r="AM82" s="399"/>
      <c r="AN82" s="399">
        <v>-1.4548551902094899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-16.1583243063127</v>
      </c>
      <c r="BH82" s="399">
        <v>0</v>
      </c>
      <c r="BI82" s="399">
        <v>0</v>
      </c>
      <c r="BJ82" s="399">
        <v>0</v>
      </c>
      <c r="BK82" s="399">
        <v>-238.84</v>
      </c>
      <c r="BL82" s="399">
        <v>0</v>
      </c>
      <c r="BM82" s="399"/>
      <c r="BN82" s="399"/>
      <c r="BO82" s="399"/>
      <c r="BP82" s="399"/>
      <c r="BQ82" s="399"/>
      <c r="BR82" s="399">
        <v>-78.200000000000017</v>
      </c>
      <c r="BS82" s="399"/>
      <c r="BT82" s="399"/>
      <c r="BU82" s="399"/>
      <c r="BV82" s="399">
        <v>-160.58014793679868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-573.54</v>
      </c>
      <c r="CJ82" s="399">
        <v>13.200000000000045</v>
      </c>
      <c r="CK82" s="399"/>
      <c r="CL82" s="399"/>
      <c r="CM82" s="399"/>
      <c r="CN82" s="399"/>
      <c r="CO82" s="399">
        <v>20.889999999999986</v>
      </c>
      <c r="CP82" s="399">
        <v>-5.8400000000000034</v>
      </c>
      <c r="CQ82" s="399">
        <v>31</v>
      </c>
      <c r="CR82" s="399">
        <v>9.5978755468649979E-2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-4.2673167132389977</v>
      </c>
      <c r="DA82" s="399">
        <v>0</v>
      </c>
      <c r="DB82" s="399">
        <v>0</v>
      </c>
      <c r="DC82" s="399">
        <v>-5.8397923983400233</v>
      </c>
      <c r="DD82" s="399">
        <v>0</v>
      </c>
      <c r="DE82" s="399">
        <v>0</v>
      </c>
      <c r="DF82" s="399">
        <v>0</v>
      </c>
      <c r="DG82" s="399">
        <v>-0.65337257958560002</v>
      </c>
      <c r="DH82" s="399">
        <v>0</v>
      </c>
      <c r="DI82" s="399">
        <v>9.4331003217727982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1.2477842270786486</v>
      </c>
      <c r="DP82" s="399">
        <v>0.17557589778186</v>
      </c>
      <c r="DQ82" s="399">
        <v>0</v>
      </c>
      <c r="DR82" s="399">
        <v>0</v>
      </c>
      <c r="DS82" s="399"/>
      <c r="DT82" s="399"/>
      <c r="DU82" s="399"/>
      <c r="DV82" s="399">
        <v>-331.907218401742</v>
      </c>
      <c r="DW82" s="399">
        <v>0</v>
      </c>
      <c r="DX82" s="399">
        <v>0</v>
      </c>
      <c r="DY82" s="399">
        <v>20.889999999999986</v>
      </c>
      <c r="DZ82" s="399">
        <v>-5.8400000000000034</v>
      </c>
      <c r="EA82" s="399">
        <v>0</v>
      </c>
      <c r="EB82" s="399">
        <v>0</v>
      </c>
      <c r="EC82" s="399">
        <v>14.948181902884016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225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8" customFormat="1">
      <c r="A83" s="399">
        <v>81</v>
      </c>
      <c r="B83" s="399" t="s">
        <v>2360</v>
      </c>
      <c r="C83" s="399" t="s">
        <v>2357</v>
      </c>
      <c r="D83" s="399" t="s">
        <v>2369</v>
      </c>
      <c r="E83" s="399" t="s">
        <v>895</v>
      </c>
      <c r="F83" s="399" t="s">
        <v>1240</v>
      </c>
      <c r="G83" s="399" t="s">
        <v>1240</v>
      </c>
      <c r="H83" s="399" t="s">
        <v>1240</v>
      </c>
      <c r="I83" s="399" t="s">
        <v>1240</v>
      </c>
      <c r="J83" s="399" t="s">
        <v>2358</v>
      </c>
      <c r="K83" s="789">
        <v>44470</v>
      </c>
      <c r="L83" s="399">
        <v>0</v>
      </c>
      <c r="M83" s="399">
        <v>0</v>
      </c>
      <c r="N83" s="399">
        <v>0.56699999999999995</v>
      </c>
      <c r="O83" s="399">
        <v>0.56699999999999995</v>
      </c>
      <c r="P83" s="399">
        <v>0.56699999999999995</v>
      </c>
      <c r="Q83" s="399">
        <v>0.56699999999999995</v>
      </c>
      <c r="R83" s="399"/>
      <c r="S83" s="399">
        <v>522.37</v>
      </c>
      <c r="T83" s="399">
        <v>144.41999999999999</v>
      </c>
      <c r="U83" s="399"/>
      <c r="V83" s="399">
        <v>378.06993</v>
      </c>
      <c r="W83" s="399">
        <v>378.06993</v>
      </c>
      <c r="X83" s="399">
        <v>369.53657999999996</v>
      </c>
      <c r="Y83" s="399">
        <v>0</v>
      </c>
      <c r="Z83" s="399">
        <v>34.814353071688203</v>
      </c>
      <c r="AA83" s="399">
        <v>0</v>
      </c>
      <c r="AB83" s="399">
        <v>0</v>
      </c>
      <c r="AC83" s="399">
        <v>0</v>
      </c>
      <c r="AD83" s="399">
        <v>57.813391512195352</v>
      </c>
      <c r="AE83" s="399">
        <v>188.19139283378769</v>
      </c>
      <c r="AF83" s="399">
        <v>81.887173998485551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5.3767224552361039</v>
      </c>
      <c r="AM83" s="399"/>
      <c r="AN83" s="399">
        <v>0.82490289284878071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9.1617698816792998</v>
      </c>
      <c r="BH83" s="399">
        <v>0</v>
      </c>
      <c r="BI83" s="399">
        <v>0</v>
      </c>
      <c r="BJ83" s="399">
        <v>0</v>
      </c>
      <c r="BK83" s="399">
        <v>271.67</v>
      </c>
      <c r="BL83" s="399">
        <v>4</v>
      </c>
      <c r="BM83" s="399"/>
      <c r="BN83" s="399"/>
      <c r="BO83" s="399"/>
      <c r="BP83" s="399"/>
      <c r="BQ83" s="399"/>
      <c r="BR83" s="399">
        <v>44.339400000000005</v>
      </c>
      <c r="BS83" s="399"/>
      <c r="BT83" s="399"/>
      <c r="BU83" s="399"/>
      <c r="BV83" s="399">
        <v>91.048943880164856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326.91779999999994</v>
      </c>
      <c r="CJ83" s="399">
        <v>-5.8107899999999972</v>
      </c>
      <c r="CK83" s="399"/>
      <c r="CL83" s="399"/>
      <c r="CM83" s="399"/>
      <c r="CN83" s="399"/>
      <c r="CO83" s="399">
        <v>-11.844629999999992</v>
      </c>
      <c r="CP83" s="399">
        <v>3.3112800000000018</v>
      </c>
      <c r="CQ83" s="399">
        <v>31</v>
      </c>
      <c r="CR83" s="399">
        <v>-5.4419954350720445E-2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2.4195685764065118</v>
      </c>
      <c r="DA83" s="399">
        <v>0</v>
      </c>
      <c r="DB83" s="399">
        <v>0</v>
      </c>
      <c r="DC83" s="399">
        <v>3.3111622898587854</v>
      </c>
      <c r="DD83" s="399">
        <v>0</v>
      </c>
      <c r="DE83" s="399">
        <v>0</v>
      </c>
      <c r="DF83" s="399">
        <v>0</v>
      </c>
      <c r="DG83" s="399">
        <v>0.3704622526250354</v>
      </c>
      <c r="DH83" s="399">
        <v>0</v>
      </c>
      <c r="DI83" s="399">
        <v>-5.3485678824451774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-0.70749365675359321</v>
      </c>
      <c r="DP83" s="399">
        <v>-9.9551534042314649E-2</v>
      </c>
      <c r="DQ83" s="399">
        <v>0</v>
      </c>
      <c r="DR83" s="399">
        <v>0</v>
      </c>
      <c r="DS83" s="399"/>
      <c r="DT83" s="399"/>
      <c r="DU83" s="399"/>
      <c r="DV83" s="399">
        <v>188.19139283378769</v>
      </c>
      <c r="DW83" s="399">
        <v>0</v>
      </c>
      <c r="DX83" s="399">
        <v>0</v>
      </c>
      <c r="DY83" s="399">
        <v>-11.844629999999995</v>
      </c>
      <c r="DZ83" s="399">
        <v>3.3112800000000107</v>
      </c>
      <c r="EA83" s="399">
        <v>0</v>
      </c>
      <c r="EB83" s="399">
        <v>0</v>
      </c>
      <c r="EC83" s="399">
        <v>-8.4756191389352296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225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8" customFormat="1">
      <c r="A84" s="399">
        <v>82</v>
      </c>
      <c r="B84" s="399" t="s">
        <v>957</v>
      </c>
      <c r="C84" s="399" t="s">
        <v>2366</v>
      </c>
      <c r="D84" s="399" t="s">
        <v>534</v>
      </c>
      <c r="E84" s="399" t="s">
        <v>895</v>
      </c>
      <c r="F84" s="399" t="s">
        <v>1240</v>
      </c>
      <c r="G84" s="399" t="s">
        <v>1240</v>
      </c>
      <c r="H84" s="399" t="s">
        <v>1240</v>
      </c>
      <c r="I84" s="399" t="s">
        <v>894</v>
      </c>
      <c r="J84" s="399" t="s">
        <v>2358</v>
      </c>
      <c r="K84" s="789">
        <v>44470</v>
      </c>
      <c r="L84" s="399">
        <v>0</v>
      </c>
      <c r="M84" s="399">
        <v>0</v>
      </c>
      <c r="N84" s="399">
        <v>0.79800000000000004</v>
      </c>
      <c r="O84" s="399">
        <v>0.76607999999999998</v>
      </c>
      <c r="P84" s="399">
        <v>0.79800000000000004</v>
      </c>
      <c r="Q84" s="399">
        <v>0.76607999999999998</v>
      </c>
      <c r="R84" s="399"/>
      <c r="S84" s="399">
        <v>2740.31</v>
      </c>
      <c r="T84" s="399">
        <v>144.41999999999999</v>
      </c>
      <c r="U84" s="399"/>
      <c r="V84" s="399">
        <v>2302.0145400000001</v>
      </c>
      <c r="W84" s="399">
        <v>2302.0145400000001</v>
      </c>
      <c r="X84" s="399">
        <v>2255.4831599999998</v>
      </c>
      <c r="Y84" s="399">
        <v>0</v>
      </c>
      <c r="Z84" s="399">
        <v>42.628241205556009</v>
      </c>
      <c r="AA84" s="399">
        <v>0</v>
      </c>
      <c r="AB84" s="399">
        <v>0</v>
      </c>
      <c r="AC84" s="399">
        <v>0</v>
      </c>
      <c r="AD84" s="399">
        <v>600.6249249713901</v>
      </c>
      <c r="AE84" s="399">
        <v>1530.5700376644809</v>
      </c>
      <c r="AF84" s="399">
        <v>115.24861525712782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7.5672390110730365</v>
      </c>
      <c r="AM84" s="399"/>
      <c r="AN84" s="399">
        <v>0.39715279235321332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4.9784047114756307</v>
      </c>
      <c r="BH84" s="399">
        <v>0</v>
      </c>
      <c r="BI84" s="399">
        <v>0</v>
      </c>
      <c r="BJ84" s="399">
        <v>0</v>
      </c>
      <c r="BK84" s="399">
        <v>0</v>
      </c>
      <c r="BL84" s="399">
        <v>0</v>
      </c>
      <c r="BM84" s="399"/>
      <c r="BN84" s="399"/>
      <c r="BO84" s="399"/>
      <c r="BP84" s="399"/>
      <c r="BQ84" s="399"/>
      <c r="BR84" s="399">
        <v>90.219326400000156</v>
      </c>
      <c r="BS84" s="399"/>
      <c r="BT84" s="399"/>
      <c r="BU84" s="399"/>
      <c r="BV84" s="399">
        <v>120.22701996860346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2176.3433999999997</v>
      </c>
      <c r="CJ84" s="399">
        <v>-33.620558400000846</v>
      </c>
      <c r="CK84" s="399"/>
      <c r="CL84" s="399"/>
      <c r="CM84" s="399"/>
      <c r="CN84" s="399"/>
      <c r="CO84" s="399">
        <v>-51.191700000000075</v>
      </c>
      <c r="CP84" s="399">
        <v>4.6603200000000031</v>
      </c>
      <c r="CQ84" s="399">
        <v>31</v>
      </c>
      <c r="CR84" s="399">
        <v>22.40573883548916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25.136964925514803</v>
      </c>
      <c r="DA84" s="399">
        <v>0</v>
      </c>
      <c r="DB84" s="399">
        <v>0</v>
      </c>
      <c r="DC84" s="399">
        <v>4.6601543338753402</v>
      </c>
      <c r="DD84" s="399">
        <v>0</v>
      </c>
      <c r="DE84" s="399">
        <v>0</v>
      </c>
      <c r="DF84" s="399">
        <v>0</v>
      </c>
      <c r="DG84" s="399">
        <v>0.20130510236677335</v>
      </c>
      <c r="DH84" s="399">
        <v>0</v>
      </c>
      <c r="DI84" s="399">
        <v>-6.5490242293939573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-0.99573181320876181</v>
      </c>
      <c r="DP84" s="399">
        <v>-4.7929483664933603E-2</v>
      </c>
      <c r="DQ84" s="399">
        <v>0</v>
      </c>
      <c r="DR84" s="399">
        <v>0</v>
      </c>
      <c r="DS84" s="399"/>
      <c r="DT84" s="399"/>
      <c r="DU84" s="399"/>
      <c r="DV84" s="399">
        <v>1530.5700376644809</v>
      </c>
      <c r="DW84" s="399">
        <v>0</v>
      </c>
      <c r="DX84" s="399">
        <v>0</v>
      </c>
      <c r="DY84" s="399">
        <v>-51.19170000000031</v>
      </c>
      <c r="DZ84" s="399">
        <v>4.6603199999999987</v>
      </c>
      <c r="EA84" s="399">
        <v>0</v>
      </c>
      <c r="EB84" s="399">
        <v>0</v>
      </c>
      <c r="EC84" s="399">
        <v>-68.932635597039052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225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8" customFormat="1">
      <c r="A85" s="399">
        <v>83</v>
      </c>
      <c r="B85" s="399" t="s">
        <v>957</v>
      </c>
      <c r="C85" s="399" t="s">
        <v>2366</v>
      </c>
      <c r="D85" s="399" t="s">
        <v>534</v>
      </c>
      <c r="E85" s="399" t="s">
        <v>895</v>
      </c>
      <c r="F85" s="399" t="s">
        <v>1240</v>
      </c>
      <c r="G85" s="399" t="s">
        <v>1240</v>
      </c>
      <c r="H85" s="399" t="s">
        <v>1240</v>
      </c>
      <c r="I85" s="399" t="s">
        <v>2328</v>
      </c>
      <c r="J85" s="399" t="s">
        <v>2358</v>
      </c>
      <c r="K85" s="789">
        <v>44470</v>
      </c>
      <c r="L85" s="399">
        <v>0</v>
      </c>
      <c r="M85" s="399">
        <v>0</v>
      </c>
      <c r="N85" s="399">
        <v>36.095999999999997</v>
      </c>
      <c r="O85" s="399">
        <v>34.652159999999995</v>
      </c>
      <c r="P85" s="399">
        <v>36.095999999999997</v>
      </c>
      <c r="Q85" s="399">
        <v>34.652159999999995</v>
      </c>
      <c r="R85" s="399"/>
      <c r="S85" s="399">
        <v>69.64</v>
      </c>
      <c r="T85" s="399">
        <v>144.41999999999999</v>
      </c>
      <c r="U85" s="399"/>
      <c r="V85" s="399">
        <v>7726.7097599999979</v>
      </c>
      <c r="W85" s="399">
        <v>7726.7097599999979</v>
      </c>
      <c r="X85" s="399">
        <v>7603.2614399999984</v>
      </c>
      <c r="Y85" s="399">
        <v>0</v>
      </c>
      <c r="Z85" s="399">
        <v>1928.2067600949242</v>
      </c>
      <c r="AA85" s="399">
        <v>0</v>
      </c>
      <c r="AB85" s="399">
        <v>0</v>
      </c>
      <c r="AC85" s="399">
        <v>0</v>
      </c>
      <c r="AD85" s="399">
        <v>0</v>
      </c>
      <c r="AE85" s="399">
        <v>0</v>
      </c>
      <c r="AF85" s="399">
        <v>5213.0501457660221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342.28954804973972</v>
      </c>
      <c r="AM85" s="399"/>
      <c r="AN85" s="399">
        <v>17.964445103736324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225.18859206193525</v>
      </c>
      <c r="BH85" s="399">
        <v>0</v>
      </c>
      <c r="BI85" s="399">
        <v>0</v>
      </c>
      <c r="BJ85" s="399">
        <v>0</v>
      </c>
      <c r="BK85" s="399">
        <v>0</v>
      </c>
      <c r="BL85" s="399">
        <v>0</v>
      </c>
      <c r="BM85" s="399"/>
      <c r="BN85" s="399"/>
      <c r="BO85" s="399"/>
      <c r="BP85" s="399"/>
      <c r="BQ85" s="399"/>
      <c r="BR85" s="399">
        <v>304.13045760000034</v>
      </c>
      <c r="BS85" s="399"/>
      <c r="BT85" s="399"/>
      <c r="BU85" s="399"/>
      <c r="BV85" s="399">
        <v>5438.2387378279573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7298.6759999999995</v>
      </c>
      <c r="CJ85" s="399">
        <v>-118.99536960000023</v>
      </c>
      <c r="CK85" s="399"/>
      <c r="CL85" s="399"/>
      <c r="CM85" s="399"/>
      <c r="CN85" s="399"/>
      <c r="CO85" s="399">
        <v>-334.2489599999999</v>
      </c>
      <c r="CP85" s="399">
        <v>210.8006400000001</v>
      </c>
      <c r="CQ85" s="399">
        <v>31</v>
      </c>
      <c r="CR85" s="399">
        <v>-123.54177562100449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0</v>
      </c>
      <c r="DA85" s="399">
        <v>0</v>
      </c>
      <c r="DB85" s="399">
        <v>0</v>
      </c>
      <c r="DC85" s="399">
        <v>210.79314641048131</v>
      </c>
      <c r="DD85" s="399">
        <v>0</v>
      </c>
      <c r="DE85" s="399">
        <v>0</v>
      </c>
      <c r="DF85" s="399">
        <v>0</v>
      </c>
      <c r="DG85" s="399">
        <v>9.1056503446504564</v>
      </c>
      <c r="DH85" s="399">
        <v>0</v>
      </c>
      <c r="DI85" s="399">
        <v>-296.23255461679719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-45.040019460630901</v>
      </c>
      <c r="DP85" s="399">
        <v>-2.1679982987085769</v>
      </c>
      <c r="DQ85" s="399">
        <v>0</v>
      </c>
      <c r="DR85" s="399">
        <v>0</v>
      </c>
      <c r="DS85" s="399"/>
      <c r="DT85" s="399"/>
      <c r="DU85" s="399"/>
      <c r="DV85" s="399">
        <v>0</v>
      </c>
      <c r="DW85" s="399">
        <v>0</v>
      </c>
      <c r="DX85" s="399">
        <v>0</v>
      </c>
      <c r="DY85" s="399">
        <v>-334.2489599999999</v>
      </c>
      <c r="DZ85" s="399">
        <v>210.80064000000039</v>
      </c>
      <c r="EA85" s="399">
        <v>0</v>
      </c>
      <c r="EB85" s="399">
        <v>0</v>
      </c>
      <c r="EC85" s="399">
        <v>0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225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8" customFormat="1">
      <c r="A86" s="399">
        <v>84</v>
      </c>
      <c r="B86" s="399" t="s">
        <v>957</v>
      </c>
      <c r="C86" s="399" t="s">
        <v>2366</v>
      </c>
      <c r="D86" s="399" t="s">
        <v>534</v>
      </c>
      <c r="E86" s="399" t="s">
        <v>895</v>
      </c>
      <c r="F86" s="399" t="s">
        <v>1240</v>
      </c>
      <c r="G86" s="399" t="s">
        <v>1240</v>
      </c>
      <c r="H86" s="399" t="s">
        <v>1240</v>
      </c>
      <c r="I86" s="399" t="s">
        <v>1240</v>
      </c>
      <c r="J86" s="399" t="s">
        <v>2358</v>
      </c>
      <c r="K86" s="789">
        <v>44470</v>
      </c>
      <c r="L86" s="399">
        <v>142</v>
      </c>
      <c r="M86" s="399">
        <v>136.32</v>
      </c>
      <c r="N86" s="399">
        <v>0</v>
      </c>
      <c r="O86" s="399">
        <v>0</v>
      </c>
      <c r="P86" s="399">
        <v>0</v>
      </c>
      <c r="Q86" s="399">
        <v>0</v>
      </c>
      <c r="R86" s="399">
        <v>34.950000000000003</v>
      </c>
      <c r="S86" s="399"/>
      <c r="T86" s="399"/>
      <c r="U86" s="399">
        <v>4962.9000000000005</v>
      </c>
      <c r="V86" s="399"/>
      <c r="W86" s="399">
        <v>4962.9000000000005</v>
      </c>
      <c r="X86" s="399">
        <v>4896.16</v>
      </c>
      <c r="Y86" s="399">
        <v>0</v>
      </c>
      <c r="Z86" s="399">
        <v>0</v>
      </c>
      <c r="AA86" s="399">
        <v>0</v>
      </c>
      <c r="AB86" s="399">
        <v>0</v>
      </c>
      <c r="AC86" s="399">
        <v>0</v>
      </c>
      <c r="AD86" s="399">
        <v>1799.1086906240539</v>
      </c>
      <c r="AE86" s="399">
        <v>3164.4427349482485</v>
      </c>
      <c r="AF86" s="399"/>
      <c r="AG86" s="399"/>
      <c r="AH86" s="399"/>
      <c r="AI86" s="399">
        <v>0</v>
      </c>
      <c r="AJ86" s="399">
        <v>0</v>
      </c>
      <c r="AK86" s="399">
        <v>0</v>
      </c>
      <c r="AL86" s="399">
        <v>0</v>
      </c>
      <c r="AM86" s="399"/>
      <c r="AN86" s="399">
        <v>0</v>
      </c>
      <c r="AO86" s="399">
        <v>0</v>
      </c>
      <c r="AP86" s="399">
        <v>0</v>
      </c>
      <c r="AQ86" s="399">
        <v>0</v>
      </c>
      <c r="AR86" s="399">
        <v>0</v>
      </c>
      <c r="AS86" s="399"/>
      <c r="AT86" s="399"/>
      <c r="AU86" s="399">
        <v>0</v>
      </c>
      <c r="AV86" s="399">
        <v>0</v>
      </c>
      <c r="AW86" s="399">
        <v>0</v>
      </c>
      <c r="AX86" s="399"/>
      <c r="AY86" s="399"/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/>
      <c r="BG86" s="399">
        <v>0</v>
      </c>
      <c r="BH86" s="399">
        <v>0</v>
      </c>
      <c r="BI86" s="399">
        <v>0</v>
      </c>
      <c r="BJ86" s="399">
        <v>0</v>
      </c>
      <c r="BK86" s="399">
        <v>6261.21</v>
      </c>
      <c r="BL86" s="399">
        <v>1</v>
      </c>
      <c r="BM86" s="399"/>
      <c r="BN86" s="399"/>
      <c r="BO86" s="399"/>
      <c r="BP86" s="399"/>
      <c r="BQ86" s="399"/>
      <c r="BR86" s="399">
        <v>195.84640000000022</v>
      </c>
      <c r="BS86" s="399"/>
      <c r="BT86" s="399"/>
      <c r="BU86" s="399"/>
      <c r="BV86" s="399">
        <v>0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4700.3135999999995</v>
      </c>
      <c r="CJ86" s="399">
        <v>-64.100400000001173</v>
      </c>
      <c r="CK86" s="399"/>
      <c r="CL86" s="399"/>
      <c r="CM86" s="399"/>
      <c r="CN86" s="399"/>
      <c r="CO86" s="399">
        <v>-66.740000000000848</v>
      </c>
      <c r="CP86" s="399">
        <v>0</v>
      </c>
      <c r="CQ86" s="399">
        <v>31</v>
      </c>
      <c r="CR86" s="399">
        <v>75.295130410309412</v>
      </c>
      <c r="CS86" s="399">
        <v>0</v>
      </c>
      <c r="CT86" s="399">
        <v>0</v>
      </c>
      <c r="CU86" s="399">
        <v>0</v>
      </c>
      <c r="CV86" s="399">
        <v>0</v>
      </c>
      <c r="CW86" s="399"/>
      <c r="CX86" s="399"/>
      <c r="CY86" s="399"/>
      <c r="CZ86" s="399">
        <v>75.295130410309412</v>
      </c>
      <c r="DA86" s="399">
        <v>0</v>
      </c>
      <c r="DB86" s="399">
        <v>0</v>
      </c>
      <c r="DC86" s="399"/>
      <c r="DD86" s="399"/>
      <c r="DE86" s="399">
        <v>0</v>
      </c>
      <c r="DF86" s="399">
        <v>0</v>
      </c>
      <c r="DG86" s="399">
        <v>0</v>
      </c>
      <c r="DH86" s="399">
        <v>0</v>
      </c>
      <c r="DI86" s="399">
        <v>0</v>
      </c>
      <c r="DJ86" s="399"/>
      <c r="DK86" s="399">
        <v>0</v>
      </c>
      <c r="DL86" s="399">
        <v>0</v>
      </c>
      <c r="DM86" s="399"/>
      <c r="DN86" s="399">
        <v>0</v>
      </c>
      <c r="DO86" s="399">
        <v>0</v>
      </c>
      <c r="DP86" s="399">
        <v>0</v>
      </c>
      <c r="DQ86" s="399">
        <v>0</v>
      </c>
      <c r="DR86" s="399">
        <v>0</v>
      </c>
      <c r="DS86" s="399"/>
      <c r="DT86" s="399"/>
      <c r="DU86" s="399">
        <v>3164.4427349482485</v>
      </c>
      <c r="DV86" s="399"/>
      <c r="DW86" s="399">
        <v>0</v>
      </c>
      <c r="DX86" s="399">
        <v>0</v>
      </c>
      <c r="DY86" s="399">
        <v>-66.740000000000691</v>
      </c>
      <c r="DZ86" s="399"/>
      <c r="EA86" s="399">
        <v>0</v>
      </c>
      <c r="EB86" s="399"/>
      <c r="EC86" s="399">
        <v>-142.51773688756884</v>
      </c>
      <c r="ED86" s="399"/>
      <c r="EE86" s="399">
        <v>0</v>
      </c>
      <c r="EF86" s="399">
        <v>0</v>
      </c>
      <c r="EG86" s="399"/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/>
      <c r="EN86" s="399"/>
      <c r="EO86" s="399">
        <v>0</v>
      </c>
      <c r="EP86" s="399">
        <v>0</v>
      </c>
      <c r="EQ86" s="399"/>
      <c r="ER86" s="399">
        <v>0</v>
      </c>
      <c r="ES86" s="399"/>
      <c r="ET86" s="399">
        <v>0</v>
      </c>
      <c r="EU86" s="399"/>
      <c r="EV86" s="399">
        <v>225</v>
      </c>
      <c r="EW86" s="399"/>
      <c r="EX86" s="399"/>
      <c r="EY86" s="399"/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8" customFormat="1">
      <c r="A87" s="399">
        <v>85</v>
      </c>
      <c r="B87" s="399" t="s">
        <v>957</v>
      </c>
      <c r="C87" s="399" t="s">
        <v>2357</v>
      </c>
      <c r="D87" s="399" t="s">
        <v>1826</v>
      </c>
      <c r="E87" s="399" t="s">
        <v>2370</v>
      </c>
      <c r="F87" s="399" t="s">
        <v>1240</v>
      </c>
      <c r="G87" s="399" t="s">
        <v>1240</v>
      </c>
      <c r="H87" s="399" t="s">
        <v>1240</v>
      </c>
      <c r="I87" s="399" t="s">
        <v>1240</v>
      </c>
      <c r="J87" s="399" t="s">
        <v>2358</v>
      </c>
      <c r="K87" s="789">
        <v>44470</v>
      </c>
      <c r="L87" s="399">
        <v>0</v>
      </c>
      <c r="M87" s="399">
        <v>0</v>
      </c>
      <c r="N87" s="399">
        <v>66.320999999999998</v>
      </c>
      <c r="O87" s="399">
        <v>66.320999999999998</v>
      </c>
      <c r="P87" s="399">
        <v>66.320999999999998</v>
      </c>
      <c r="Q87" s="399">
        <v>66.320999999999998</v>
      </c>
      <c r="R87" s="399"/>
      <c r="S87" s="399">
        <v>522.37</v>
      </c>
      <c r="T87" s="399">
        <v>144.41999999999999</v>
      </c>
      <c r="U87" s="399"/>
      <c r="V87" s="399">
        <v>44222.17959</v>
      </c>
      <c r="W87" s="399">
        <v>44222.17959</v>
      </c>
      <c r="X87" s="399">
        <v>43224.048539999996</v>
      </c>
      <c r="Y87" s="399">
        <v>0</v>
      </c>
      <c r="Z87" s="399">
        <v>4072.1740918296882</v>
      </c>
      <c r="AA87" s="399">
        <v>0</v>
      </c>
      <c r="AB87" s="399">
        <v>0</v>
      </c>
      <c r="AC87" s="399">
        <v>0</v>
      </c>
      <c r="AD87" s="399">
        <v>6762.3314611645646</v>
      </c>
      <c r="AE87" s="399">
        <v>22012.418631621931</v>
      </c>
      <c r="AF87" s="399">
        <v>9578.1997649974601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628.9058376608707</v>
      </c>
      <c r="AM87" s="399"/>
      <c r="AN87" s="399">
        <v>96.487451069883576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1071.6362263189646</v>
      </c>
      <c r="BH87" s="399">
        <v>0</v>
      </c>
      <c r="BI87" s="399">
        <v>320.49</v>
      </c>
      <c r="BJ87" s="399">
        <v>1481.96</v>
      </c>
      <c r="BK87" s="399">
        <v>13539.71</v>
      </c>
      <c r="BL87" s="399">
        <v>125</v>
      </c>
      <c r="BM87" s="399"/>
      <c r="BN87" s="399"/>
      <c r="BO87" s="399"/>
      <c r="BP87" s="399"/>
      <c r="BQ87" s="399"/>
      <c r="BR87" s="399"/>
      <c r="BS87" s="399"/>
      <c r="BT87" s="399"/>
      <c r="BU87" s="399"/>
      <c r="BV87" s="399">
        <v>10649.835991316424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43223.396799999995</v>
      </c>
      <c r="CJ87" s="399">
        <v>-998.81279000001086</v>
      </c>
      <c r="CK87" s="399"/>
      <c r="CL87" s="399"/>
      <c r="CM87" s="399"/>
      <c r="CN87" s="399"/>
      <c r="CO87" s="399">
        <v>-1385.4456899999991</v>
      </c>
      <c r="CP87" s="399">
        <v>387.31464000000022</v>
      </c>
      <c r="CQ87" s="399">
        <v>31</v>
      </c>
      <c r="CR87" s="399">
        <v>-6.3654070414340822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283.01271173872374</v>
      </c>
      <c r="DA87" s="399">
        <v>0</v>
      </c>
      <c r="DB87" s="399">
        <v>0</v>
      </c>
      <c r="DC87" s="399">
        <v>387.30087165031</v>
      </c>
      <c r="DD87" s="399">
        <v>0</v>
      </c>
      <c r="DE87" s="399">
        <v>0</v>
      </c>
      <c r="DF87" s="399">
        <v>0</v>
      </c>
      <c r="DG87" s="399">
        <v>43.332322850696528</v>
      </c>
      <c r="DH87" s="399">
        <v>0</v>
      </c>
      <c r="DI87" s="399">
        <v>-625.6126464402937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-82.754297724083017</v>
      </c>
      <c r="DP87" s="399">
        <v>-11.644369116790728</v>
      </c>
      <c r="DQ87" s="399">
        <v>0</v>
      </c>
      <c r="DR87" s="399">
        <v>0</v>
      </c>
      <c r="DS87" s="399"/>
      <c r="DT87" s="399"/>
      <c r="DU87" s="399"/>
      <c r="DV87" s="399">
        <v>22012.418631621931</v>
      </c>
      <c r="DW87" s="399">
        <v>0</v>
      </c>
      <c r="DX87" s="399">
        <v>0</v>
      </c>
      <c r="DY87" s="399">
        <v>-1385.4456900000005</v>
      </c>
      <c r="DZ87" s="399">
        <v>387.31464000000051</v>
      </c>
      <c r="EA87" s="399">
        <v>0</v>
      </c>
      <c r="EB87" s="399">
        <v>0</v>
      </c>
      <c r="EC87" s="399">
        <v>-991.37837198117268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225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8" customFormat="1">
      <c r="A88" s="399">
        <v>86</v>
      </c>
      <c r="B88" s="399" t="s">
        <v>2360</v>
      </c>
      <c r="C88" s="399" t="s">
        <v>2357</v>
      </c>
      <c r="D88" s="399" t="s">
        <v>1826</v>
      </c>
      <c r="E88" s="399" t="s">
        <v>2370</v>
      </c>
      <c r="F88" s="399" t="s">
        <v>1240</v>
      </c>
      <c r="G88" s="399" t="s">
        <v>1240</v>
      </c>
      <c r="H88" s="399" t="s">
        <v>1240</v>
      </c>
      <c r="I88" s="399" t="s">
        <v>1240</v>
      </c>
      <c r="J88" s="399" t="s">
        <v>2358</v>
      </c>
      <c r="K88" s="789">
        <v>44470</v>
      </c>
      <c r="L88" s="399">
        <v>0</v>
      </c>
      <c r="M88" s="399">
        <v>0</v>
      </c>
      <c r="N88" s="399">
        <v>1.5960000000000001</v>
      </c>
      <c r="O88" s="399">
        <v>1.5960000000000001</v>
      </c>
      <c r="P88" s="399">
        <v>1.5960000000000001</v>
      </c>
      <c r="Q88" s="399">
        <v>1.5960000000000001</v>
      </c>
      <c r="R88" s="399"/>
      <c r="S88" s="399">
        <v>522.37</v>
      </c>
      <c r="T88" s="399">
        <v>144.41999999999999</v>
      </c>
      <c r="U88" s="399"/>
      <c r="V88" s="399">
        <v>1064.1968400000001</v>
      </c>
      <c r="W88" s="399">
        <v>1064.1968400000001</v>
      </c>
      <c r="X88" s="399">
        <v>1040.17704</v>
      </c>
      <c r="Y88" s="399">
        <v>0</v>
      </c>
      <c r="Z88" s="399">
        <v>97.995956794381613</v>
      </c>
      <c r="AA88" s="399">
        <v>0</v>
      </c>
      <c r="AB88" s="399">
        <v>0</v>
      </c>
      <c r="AC88" s="399">
        <v>0</v>
      </c>
      <c r="AD88" s="399">
        <v>162.73399092321657</v>
      </c>
      <c r="AE88" s="399">
        <v>529.72392056918022</v>
      </c>
      <c r="AF88" s="399">
        <v>230.49723051425565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15.134478022146073</v>
      </c>
      <c r="AM88" s="399"/>
      <c r="AN88" s="399">
        <v>2.321948883574346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25.788685592875069</v>
      </c>
      <c r="BH88" s="399">
        <v>0</v>
      </c>
      <c r="BI88" s="399">
        <v>5.53</v>
      </c>
      <c r="BJ88" s="399">
        <v>25.53</v>
      </c>
      <c r="BK88" s="399">
        <v>409.1</v>
      </c>
      <c r="BL88" s="399">
        <v>2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>
        <v>256.28591610713073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1042.7840000000001</v>
      </c>
      <c r="CJ88" s="399">
        <v>-21.442839999999933</v>
      </c>
      <c r="CK88" s="399"/>
      <c r="CL88" s="399"/>
      <c r="CM88" s="399"/>
      <c r="CN88" s="399"/>
      <c r="CO88" s="399">
        <v>-33.34043999999998</v>
      </c>
      <c r="CP88" s="399">
        <v>9.3206400000000063</v>
      </c>
      <c r="CQ88" s="399">
        <v>31</v>
      </c>
      <c r="CR88" s="399">
        <v>-0.15318209372810543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6.8106374743294396</v>
      </c>
      <c r="DA88" s="399">
        <v>0</v>
      </c>
      <c r="DB88" s="399">
        <v>0</v>
      </c>
      <c r="DC88" s="399">
        <v>9.3203086677506803</v>
      </c>
      <c r="DD88" s="399">
        <v>0</v>
      </c>
      <c r="DE88" s="399">
        <v>0</v>
      </c>
      <c r="DF88" s="399">
        <v>0</v>
      </c>
      <c r="DG88" s="399">
        <v>1.0427826370186182</v>
      </c>
      <c r="DH88" s="399">
        <v>0</v>
      </c>
      <c r="DI88" s="399">
        <v>-15.055228113549376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-1.9914636264175236</v>
      </c>
      <c r="DP88" s="399">
        <v>-0.28021913285984867</v>
      </c>
      <c r="DQ88" s="399">
        <v>0</v>
      </c>
      <c r="DR88" s="399">
        <v>0</v>
      </c>
      <c r="DS88" s="399"/>
      <c r="DT88" s="399"/>
      <c r="DU88" s="399"/>
      <c r="DV88" s="399">
        <v>529.72392056918022</v>
      </c>
      <c r="DW88" s="399">
        <v>0</v>
      </c>
      <c r="DX88" s="399">
        <v>0</v>
      </c>
      <c r="DY88" s="399">
        <v>-33.340439999999944</v>
      </c>
      <c r="DZ88" s="399">
        <v>9.3206399999999974</v>
      </c>
      <c r="EA88" s="399">
        <v>0</v>
      </c>
      <c r="EB88" s="399">
        <v>0</v>
      </c>
      <c r="EC88" s="399">
        <v>-23.857298317002858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225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8" customFormat="1">
      <c r="A89" s="399">
        <v>87</v>
      </c>
      <c r="B89" s="399" t="s">
        <v>957</v>
      </c>
      <c r="C89" s="399" t="s">
        <v>2366</v>
      </c>
      <c r="D89" s="399" t="s">
        <v>534</v>
      </c>
      <c r="E89" s="399" t="s">
        <v>2370</v>
      </c>
      <c r="F89" s="399" t="s">
        <v>1240</v>
      </c>
      <c r="G89" s="399" t="s">
        <v>1240</v>
      </c>
      <c r="H89" s="399" t="s">
        <v>1240</v>
      </c>
      <c r="I89" s="399" t="s">
        <v>894</v>
      </c>
      <c r="J89" s="399" t="s">
        <v>2358</v>
      </c>
      <c r="K89" s="789">
        <v>44470</v>
      </c>
      <c r="L89" s="399">
        <v>0</v>
      </c>
      <c r="M89" s="399">
        <v>0</v>
      </c>
      <c r="N89" s="399">
        <v>9.0999999999999998E-2</v>
      </c>
      <c r="O89" s="399">
        <v>9.0999999999999998E-2</v>
      </c>
      <c r="P89" s="399">
        <v>9.0999999999999998E-2</v>
      </c>
      <c r="Q89" s="399">
        <v>9.0999999999999998E-2</v>
      </c>
      <c r="R89" s="399"/>
      <c r="S89" s="399">
        <v>2740.31</v>
      </c>
      <c r="T89" s="399">
        <v>144.41999999999999</v>
      </c>
      <c r="U89" s="399"/>
      <c r="V89" s="399">
        <v>262.51042999999999</v>
      </c>
      <c r="W89" s="399">
        <v>262.51042999999999</v>
      </c>
      <c r="X89" s="399">
        <v>257.20421999999996</v>
      </c>
      <c r="Y89" s="399">
        <v>0</v>
      </c>
      <c r="Z89" s="399">
        <v>4.8611152251949834</v>
      </c>
      <c r="AA89" s="399">
        <v>0</v>
      </c>
      <c r="AB89" s="399">
        <v>0</v>
      </c>
      <c r="AC89" s="399">
        <v>0</v>
      </c>
      <c r="AD89" s="399">
        <v>68.492316005509394</v>
      </c>
      <c r="AE89" s="399">
        <v>174.53868850559869</v>
      </c>
      <c r="AF89" s="399">
        <v>13.142385950374225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0.86293076442060934</v>
      </c>
      <c r="AM89" s="399"/>
      <c r="AN89" s="399">
        <v>4.5289353513962918E-2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0.56771281797529116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13.710098768349516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254.37779999999998</v>
      </c>
      <c r="CJ89" s="399">
        <v>-8.1626299999999787</v>
      </c>
      <c r="CK89" s="399"/>
      <c r="CL89" s="399"/>
      <c r="CM89" s="399"/>
      <c r="CN89" s="399"/>
      <c r="CO89" s="399">
        <v>-5.837650000000008</v>
      </c>
      <c r="CP89" s="399">
        <v>0.53144000000000025</v>
      </c>
      <c r="CQ89" s="399">
        <v>31</v>
      </c>
      <c r="CR89" s="399">
        <v>2.5550403935206845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2.8664960002779907</v>
      </c>
      <c r="DA89" s="399">
        <v>0</v>
      </c>
      <c r="DB89" s="399">
        <v>0</v>
      </c>
      <c r="DC89" s="399">
        <v>0.53142110824894218</v>
      </c>
      <c r="DD89" s="399">
        <v>0</v>
      </c>
      <c r="DE89" s="399">
        <v>0</v>
      </c>
      <c r="DF89" s="399">
        <v>0</v>
      </c>
      <c r="DG89" s="399">
        <v>2.2955845006737419E-2</v>
      </c>
      <c r="DH89" s="399">
        <v>0</v>
      </c>
      <c r="DI89" s="399">
        <v>-0.74681855247474971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-0.11354836466415696</v>
      </c>
      <c r="DP89" s="399">
        <v>-5.4656428740713775E-3</v>
      </c>
      <c r="DQ89" s="399">
        <v>0</v>
      </c>
      <c r="DR89" s="399">
        <v>0</v>
      </c>
      <c r="DS89" s="399"/>
      <c r="DT89" s="399"/>
      <c r="DU89" s="399"/>
      <c r="DV89" s="399">
        <v>174.53868850559869</v>
      </c>
      <c r="DW89" s="399">
        <v>0</v>
      </c>
      <c r="DX89" s="399">
        <v>0</v>
      </c>
      <c r="DY89" s="399">
        <v>-5.8376499999999965</v>
      </c>
      <c r="DZ89" s="399">
        <v>0.53143999999999991</v>
      </c>
      <c r="EA89" s="399">
        <v>0</v>
      </c>
      <c r="EB89" s="399">
        <v>0</v>
      </c>
      <c r="EC89" s="399">
        <v>-7.8607391470307846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225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8" customFormat="1">
      <c r="A90" s="399">
        <v>88</v>
      </c>
      <c r="B90" s="399" t="s">
        <v>957</v>
      </c>
      <c r="C90" s="399" t="s">
        <v>2366</v>
      </c>
      <c r="D90" s="399" t="s">
        <v>534</v>
      </c>
      <c r="E90" s="399" t="s">
        <v>2370</v>
      </c>
      <c r="F90" s="399" t="s">
        <v>1240</v>
      </c>
      <c r="G90" s="399" t="s">
        <v>1240</v>
      </c>
      <c r="H90" s="399" t="s">
        <v>1240</v>
      </c>
      <c r="I90" s="399" t="s">
        <v>2328</v>
      </c>
      <c r="J90" s="399" t="s">
        <v>2358</v>
      </c>
      <c r="K90" s="789">
        <v>44470</v>
      </c>
      <c r="L90" s="399">
        <v>0</v>
      </c>
      <c r="M90" s="399">
        <v>0</v>
      </c>
      <c r="N90" s="399">
        <v>2.0419999999999998</v>
      </c>
      <c r="O90" s="399">
        <v>2.0419999999999998</v>
      </c>
      <c r="P90" s="399">
        <v>2.0419999999999998</v>
      </c>
      <c r="Q90" s="399">
        <v>2.0419999999999998</v>
      </c>
      <c r="R90" s="399"/>
      <c r="S90" s="399">
        <v>69.64</v>
      </c>
      <c r="T90" s="399">
        <v>144.41999999999999</v>
      </c>
      <c r="U90" s="399"/>
      <c r="V90" s="399">
        <v>437.11051999999995</v>
      </c>
      <c r="W90" s="399">
        <v>437.11051999999995</v>
      </c>
      <c r="X90" s="399">
        <v>430.12687999999991</v>
      </c>
      <c r="Y90" s="399">
        <v>0</v>
      </c>
      <c r="Z90" s="399">
        <v>109.08128889943028</v>
      </c>
      <c r="AA90" s="399">
        <v>0</v>
      </c>
      <c r="AB90" s="399">
        <v>0</v>
      </c>
      <c r="AC90" s="399">
        <v>0</v>
      </c>
      <c r="AD90" s="399">
        <v>0</v>
      </c>
      <c r="AE90" s="399">
        <v>0</v>
      </c>
      <c r="AF90" s="399">
        <v>294.90936385345236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19.363787043372355</v>
      </c>
      <c r="AM90" s="399"/>
      <c r="AN90" s="399">
        <v>1.0162731854451899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12.739226091269719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307.64858994472206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429.7056</v>
      </c>
      <c r="CJ90" s="399">
        <v>-7.43491999999992</v>
      </c>
      <c r="CK90" s="399"/>
      <c r="CL90" s="399"/>
      <c r="CM90" s="399"/>
      <c r="CN90" s="399"/>
      <c r="CO90" s="399">
        <v>-18.908919999999995</v>
      </c>
      <c r="CP90" s="399">
        <v>11.925280000000006</v>
      </c>
      <c r="CQ90" s="399">
        <v>31</v>
      </c>
      <c r="CR90" s="399">
        <v>-6.988926912070383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11.924856077410311</v>
      </c>
      <c r="DD90" s="399">
        <v>0</v>
      </c>
      <c r="DE90" s="399">
        <v>0</v>
      </c>
      <c r="DF90" s="399">
        <v>0</v>
      </c>
      <c r="DG90" s="399">
        <v>0.51511907146986502</v>
      </c>
      <c r="DH90" s="399">
        <v>0</v>
      </c>
      <c r="DI90" s="399">
        <v>-16.758280045642181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-2.5479753916946031</v>
      </c>
      <c r="DP90" s="399">
        <v>-0.12264662361377754</v>
      </c>
      <c r="DQ90" s="399">
        <v>0</v>
      </c>
      <c r="DR90" s="399">
        <v>0</v>
      </c>
      <c r="DS90" s="399"/>
      <c r="DT90" s="399"/>
      <c r="DU90" s="399"/>
      <c r="DV90" s="399">
        <v>0</v>
      </c>
      <c r="DW90" s="399">
        <v>0</v>
      </c>
      <c r="DX90" s="399">
        <v>0</v>
      </c>
      <c r="DY90" s="399">
        <v>-18.908919999999981</v>
      </c>
      <c r="DZ90" s="399">
        <v>11.925279999999987</v>
      </c>
      <c r="EA90" s="399">
        <v>0</v>
      </c>
      <c r="EB90" s="399">
        <v>0</v>
      </c>
      <c r="EC90" s="399">
        <v>0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225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8" customFormat="1">
      <c r="A91" s="399">
        <v>89</v>
      </c>
      <c r="B91" s="399" t="s">
        <v>957</v>
      </c>
      <c r="C91" s="399" t="s">
        <v>2366</v>
      </c>
      <c r="D91" s="399" t="s">
        <v>534</v>
      </c>
      <c r="E91" s="399" t="s">
        <v>2370</v>
      </c>
      <c r="F91" s="399" t="s">
        <v>1240</v>
      </c>
      <c r="G91" s="399" t="s">
        <v>1240</v>
      </c>
      <c r="H91" s="399" t="s">
        <v>1240</v>
      </c>
      <c r="I91" s="399" t="s">
        <v>1240</v>
      </c>
      <c r="J91" s="399" t="s">
        <v>2358</v>
      </c>
      <c r="K91" s="789">
        <v>44470</v>
      </c>
      <c r="L91" s="399">
        <v>75</v>
      </c>
      <c r="M91" s="399">
        <v>75</v>
      </c>
      <c r="N91" s="399">
        <v>0</v>
      </c>
      <c r="O91" s="399">
        <v>0</v>
      </c>
      <c r="P91" s="399">
        <v>0</v>
      </c>
      <c r="Q91" s="399">
        <v>0</v>
      </c>
      <c r="R91" s="399">
        <v>34.950000000000003</v>
      </c>
      <c r="S91" s="399"/>
      <c r="T91" s="399"/>
      <c r="U91" s="399">
        <v>2621.25</v>
      </c>
      <c r="V91" s="399"/>
      <c r="W91" s="399">
        <v>2621.25</v>
      </c>
      <c r="X91" s="399">
        <v>2585.9999999999995</v>
      </c>
      <c r="Y91" s="399">
        <v>0</v>
      </c>
      <c r="Z91" s="399">
        <v>0</v>
      </c>
      <c r="AA91" s="399">
        <v>0</v>
      </c>
      <c r="AB91" s="399">
        <v>0</v>
      </c>
      <c r="AC91" s="399">
        <v>0</v>
      </c>
      <c r="AD91" s="399">
        <v>950.23346335777501</v>
      </c>
      <c r="AE91" s="399">
        <v>1671.3605994444974</v>
      </c>
      <c r="AF91" s="399"/>
      <c r="AG91" s="399"/>
      <c r="AH91" s="399"/>
      <c r="AI91" s="399">
        <v>0</v>
      </c>
      <c r="AJ91" s="399">
        <v>0</v>
      </c>
      <c r="AK91" s="399">
        <v>0</v>
      </c>
      <c r="AL91" s="399">
        <v>0</v>
      </c>
      <c r="AM91" s="399"/>
      <c r="AN91" s="399">
        <v>0</v>
      </c>
      <c r="AO91" s="399">
        <v>0</v>
      </c>
      <c r="AP91" s="399">
        <v>0</v>
      </c>
      <c r="AQ91" s="399">
        <v>0</v>
      </c>
      <c r="AR91" s="399">
        <v>0</v>
      </c>
      <c r="AS91" s="399"/>
      <c r="AT91" s="399"/>
      <c r="AU91" s="399">
        <v>0</v>
      </c>
      <c r="AV91" s="399">
        <v>0</v>
      </c>
      <c r="AW91" s="399">
        <v>0</v>
      </c>
      <c r="AX91" s="399"/>
      <c r="AY91" s="399"/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/>
      <c r="BG91" s="399">
        <v>0</v>
      </c>
      <c r="BH91" s="399">
        <v>0</v>
      </c>
      <c r="BI91" s="399">
        <v>21.53</v>
      </c>
      <c r="BJ91" s="399">
        <v>99.42</v>
      </c>
      <c r="BK91" s="399">
        <v>696.51</v>
      </c>
      <c r="BL91" s="399">
        <v>1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0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2585.9999999999995</v>
      </c>
      <c r="CJ91" s="399">
        <v>-35.28000000000111</v>
      </c>
      <c r="CK91" s="399"/>
      <c r="CL91" s="399"/>
      <c r="CM91" s="399"/>
      <c r="CN91" s="399"/>
      <c r="CO91" s="399">
        <v>-35.250000000000448</v>
      </c>
      <c r="CP91" s="399">
        <v>0</v>
      </c>
      <c r="CQ91" s="399">
        <v>31</v>
      </c>
      <c r="CR91" s="399">
        <v>39.768554794177476</v>
      </c>
      <c r="CS91" s="399">
        <v>0</v>
      </c>
      <c r="CT91" s="399">
        <v>0</v>
      </c>
      <c r="CU91" s="399">
        <v>0</v>
      </c>
      <c r="CV91" s="399">
        <v>0</v>
      </c>
      <c r="CW91" s="399"/>
      <c r="CX91" s="399"/>
      <c r="CY91" s="399"/>
      <c r="CZ91" s="399">
        <v>39.768554794177476</v>
      </c>
      <c r="DA91" s="399">
        <v>0</v>
      </c>
      <c r="DB91" s="399">
        <v>0</v>
      </c>
      <c r="DC91" s="399"/>
      <c r="DD91" s="399"/>
      <c r="DE91" s="399">
        <v>0</v>
      </c>
      <c r="DF91" s="399">
        <v>0</v>
      </c>
      <c r="DG91" s="399">
        <v>0</v>
      </c>
      <c r="DH91" s="399">
        <v>0</v>
      </c>
      <c r="DI91" s="399">
        <v>0</v>
      </c>
      <c r="DJ91" s="399"/>
      <c r="DK91" s="399">
        <v>0</v>
      </c>
      <c r="DL91" s="399">
        <v>0</v>
      </c>
      <c r="DM91" s="399"/>
      <c r="DN91" s="399">
        <v>0</v>
      </c>
      <c r="DO91" s="399">
        <v>0</v>
      </c>
      <c r="DP91" s="399">
        <v>0</v>
      </c>
      <c r="DQ91" s="399">
        <v>0</v>
      </c>
      <c r="DR91" s="399">
        <v>0</v>
      </c>
      <c r="DS91" s="399"/>
      <c r="DT91" s="399"/>
      <c r="DU91" s="399">
        <v>1671.3605994444974</v>
      </c>
      <c r="DV91" s="399"/>
      <c r="DW91" s="399">
        <v>0</v>
      </c>
      <c r="DX91" s="399">
        <v>0</v>
      </c>
      <c r="DY91" s="399">
        <v>-35.250000000000455</v>
      </c>
      <c r="DZ91" s="399"/>
      <c r="EA91" s="399">
        <v>0</v>
      </c>
      <c r="EB91" s="399"/>
      <c r="EC91" s="399">
        <v>-75.273452581462379</v>
      </c>
      <c r="ED91" s="399"/>
      <c r="EE91" s="399">
        <v>0</v>
      </c>
      <c r="EF91" s="399">
        <v>0</v>
      </c>
      <c r="EG91" s="399"/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/>
      <c r="EN91" s="399"/>
      <c r="EO91" s="399">
        <v>0</v>
      </c>
      <c r="EP91" s="399">
        <v>0</v>
      </c>
      <c r="EQ91" s="399"/>
      <c r="ER91" s="399">
        <v>0</v>
      </c>
      <c r="ES91" s="399"/>
      <c r="ET91" s="399">
        <v>0</v>
      </c>
      <c r="EU91" s="399"/>
      <c r="EV91" s="399">
        <v>225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8" customFormat="1">
      <c r="A92" s="399">
        <v>90</v>
      </c>
      <c r="B92" s="399" t="s">
        <v>957</v>
      </c>
      <c r="C92" s="399" t="s">
        <v>2357</v>
      </c>
      <c r="D92" s="399" t="s">
        <v>2371</v>
      </c>
      <c r="E92" s="399" t="s">
        <v>2372</v>
      </c>
      <c r="F92" s="399" t="s">
        <v>2373</v>
      </c>
      <c r="G92" s="399" t="s">
        <v>1240</v>
      </c>
      <c r="H92" s="399" t="s">
        <v>1240</v>
      </c>
      <c r="I92" s="399" t="s">
        <v>1240</v>
      </c>
      <c r="J92" s="399" t="s">
        <v>2358</v>
      </c>
      <c r="K92" s="789">
        <v>44470</v>
      </c>
      <c r="L92" s="399">
        <v>0</v>
      </c>
      <c r="M92" s="399">
        <v>0</v>
      </c>
      <c r="N92" s="399">
        <v>398.983</v>
      </c>
      <c r="O92" s="399">
        <v>398.983</v>
      </c>
      <c r="P92" s="399">
        <v>398.983</v>
      </c>
      <c r="Q92" s="399">
        <v>398.983</v>
      </c>
      <c r="R92" s="399"/>
      <c r="S92" s="399">
        <v>287.3</v>
      </c>
      <c r="T92" s="399">
        <v>79.430000000000007</v>
      </c>
      <c r="U92" s="399"/>
      <c r="V92" s="399">
        <v>146319.03559000001</v>
      </c>
      <c r="W92" s="399">
        <v>146319.03559000001</v>
      </c>
      <c r="X92" s="399">
        <v>143019.44618</v>
      </c>
      <c r="Y92" s="399">
        <v>0</v>
      </c>
      <c r="Z92" s="399">
        <v>13473.869960107149</v>
      </c>
      <c r="AA92" s="399">
        <v>0</v>
      </c>
      <c r="AB92" s="399">
        <v>0</v>
      </c>
      <c r="AC92" s="399">
        <v>0</v>
      </c>
      <c r="AD92" s="399">
        <v>22374.970391782419</v>
      </c>
      <c r="AE92" s="399">
        <v>72833.935745770184</v>
      </c>
      <c r="AF92" s="399">
        <v>31692.018851659286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2080.9020642797291</v>
      </c>
      <c r="AM92" s="399"/>
      <c r="AN92" s="399">
        <v>319.2543685954451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3545.7931886880642</v>
      </c>
      <c r="BH92" s="399">
        <v>0</v>
      </c>
      <c r="BI92" s="399">
        <v>1274.53</v>
      </c>
      <c r="BJ92" s="399">
        <v>5882.63</v>
      </c>
      <c r="BK92" s="399">
        <v>65362.48</v>
      </c>
      <c r="BL92" s="399">
        <v>6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35237.812040347351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143018.3708</v>
      </c>
      <c r="CJ92" s="399">
        <v>-3300.6947900000087</v>
      </c>
      <c r="CK92" s="399"/>
      <c r="CL92" s="399"/>
      <c r="CM92" s="399"/>
      <c r="CN92" s="399"/>
      <c r="CO92" s="399">
        <v>-4580.3248400000075</v>
      </c>
      <c r="CP92" s="399">
        <v>1280.7354299999975</v>
      </c>
      <c r="CQ92" s="399">
        <v>31</v>
      </c>
      <c r="CR92" s="399">
        <v>-21.061640486470424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936.4227533089288</v>
      </c>
      <c r="DA92" s="399">
        <v>0</v>
      </c>
      <c r="DB92" s="399">
        <v>0</v>
      </c>
      <c r="DC92" s="399">
        <v>1281.4878397566317</v>
      </c>
      <c r="DD92" s="399">
        <v>0</v>
      </c>
      <c r="DE92" s="399">
        <v>0</v>
      </c>
      <c r="DF92" s="399">
        <v>0</v>
      </c>
      <c r="DG92" s="399">
        <v>143.37650355644064</v>
      </c>
      <c r="DH92" s="399">
        <v>0</v>
      </c>
      <c r="DI92" s="399">
        <v>-2070.0056661250164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-273.81458184988355</v>
      </c>
      <c r="DP92" s="399">
        <v>-38.528489133586106</v>
      </c>
      <c r="DQ92" s="399">
        <v>0</v>
      </c>
      <c r="DR92" s="399">
        <v>0</v>
      </c>
      <c r="DS92" s="399"/>
      <c r="DT92" s="399"/>
      <c r="DU92" s="399"/>
      <c r="DV92" s="399">
        <v>72833.935745770184</v>
      </c>
      <c r="DW92" s="399">
        <v>0</v>
      </c>
      <c r="DX92" s="399">
        <v>0</v>
      </c>
      <c r="DY92" s="399">
        <v>-4580.3248400000011</v>
      </c>
      <c r="DZ92" s="399">
        <v>1280.735429999997</v>
      </c>
      <c r="EA92" s="399">
        <v>0</v>
      </c>
      <c r="EB92" s="399">
        <v>0</v>
      </c>
      <c r="EC92" s="399">
        <v>-3280.2387530870183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225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8" customFormat="1">
      <c r="A93" s="399">
        <v>91</v>
      </c>
      <c r="B93" s="399" t="s">
        <v>957</v>
      </c>
      <c r="C93" s="399" t="s">
        <v>2357</v>
      </c>
      <c r="D93" s="399" t="s">
        <v>1826</v>
      </c>
      <c r="E93" s="399" t="s">
        <v>922</v>
      </c>
      <c r="F93" s="399" t="s">
        <v>2374</v>
      </c>
      <c r="G93" s="399" t="s">
        <v>1240</v>
      </c>
      <c r="H93" s="399" t="s">
        <v>1240</v>
      </c>
      <c r="I93" s="399" t="s">
        <v>1240</v>
      </c>
      <c r="J93" s="399" t="s">
        <v>2358</v>
      </c>
      <c r="K93" s="789">
        <v>44470</v>
      </c>
      <c r="L93" s="399">
        <v>0</v>
      </c>
      <c r="M93" s="399">
        <v>0</v>
      </c>
      <c r="N93" s="399">
        <v>16.812000000000001</v>
      </c>
      <c r="O93" s="399">
        <v>15.803280000000001</v>
      </c>
      <c r="P93" s="399">
        <v>16.812000000000001</v>
      </c>
      <c r="Q93" s="399">
        <v>15.803280000000001</v>
      </c>
      <c r="R93" s="399"/>
      <c r="S93" s="399">
        <v>522.37</v>
      </c>
      <c r="T93" s="399">
        <v>144.41999999999999</v>
      </c>
      <c r="U93" s="399"/>
      <c r="V93" s="399">
        <v>11210.073480000001</v>
      </c>
      <c r="W93" s="399">
        <v>11210.073480000001</v>
      </c>
      <c r="X93" s="399">
        <v>10957.052879999999</v>
      </c>
      <c r="Y93" s="399">
        <v>0</v>
      </c>
      <c r="Z93" s="399">
        <v>1032.2731990145012</v>
      </c>
      <c r="AA93" s="399">
        <v>0</v>
      </c>
      <c r="AB93" s="399">
        <v>0</v>
      </c>
      <c r="AC93" s="399">
        <v>0</v>
      </c>
      <c r="AD93" s="399">
        <v>1714.2129419806497</v>
      </c>
      <c r="AE93" s="399">
        <v>5580.0241557700865</v>
      </c>
      <c r="AF93" s="399">
        <v>2428.0196988757307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159.42408803779435</v>
      </c>
      <c r="AM93" s="399"/>
      <c r="AN93" s="399">
        <v>24.459025457801946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271.65374823772913</v>
      </c>
      <c r="BH93" s="399">
        <v>0</v>
      </c>
      <c r="BI93" s="399">
        <v>76.62</v>
      </c>
      <c r="BJ93" s="399">
        <v>354.74</v>
      </c>
      <c r="BK93" s="399">
        <v>4162.04</v>
      </c>
      <c r="BL93" s="399">
        <v>33</v>
      </c>
      <c r="BM93" s="399"/>
      <c r="BN93" s="399"/>
      <c r="BO93" s="399"/>
      <c r="BP93" s="399"/>
      <c r="BQ93" s="399">
        <v>657.4231728000002</v>
      </c>
      <c r="BR93" s="399"/>
      <c r="BS93" s="399"/>
      <c r="BT93" s="399"/>
      <c r="BU93" s="399"/>
      <c r="BV93" s="399">
        <v>2699.6734471134596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10297.492000000002</v>
      </c>
      <c r="CJ93" s="399">
        <v>-240.0070711999997</v>
      </c>
      <c r="CK93" s="399"/>
      <c r="CL93" s="399"/>
      <c r="CM93" s="399"/>
      <c r="CN93" s="399"/>
      <c r="CO93" s="399">
        <v>-351.20267999999982</v>
      </c>
      <c r="CP93" s="399">
        <v>98.18208000000007</v>
      </c>
      <c r="CQ93" s="399">
        <v>31</v>
      </c>
      <c r="CR93" s="399">
        <v>-1.6135948369392281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71.742128582973919</v>
      </c>
      <c r="DA93" s="399">
        <v>0</v>
      </c>
      <c r="DB93" s="399">
        <v>0</v>
      </c>
      <c r="DC93" s="399">
        <v>98.178589800892496</v>
      </c>
      <c r="DD93" s="399">
        <v>0</v>
      </c>
      <c r="DE93" s="399">
        <v>0</v>
      </c>
      <c r="DF93" s="399">
        <v>0</v>
      </c>
      <c r="DG93" s="399">
        <v>10.984499807993132</v>
      </c>
      <c r="DH93" s="399">
        <v>0</v>
      </c>
      <c r="DI93" s="399">
        <v>-158.58928260964433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-20.97774842564624</v>
      </c>
      <c r="DP93" s="399">
        <v>-2.9517819935086287</v>
      </c>
      <c r="DQ93" s="399">
        <v>0</v>
      </c>
      <c r="DR93" s="399">
        <v>0</v>
      </c>
      <c r="DS93" s="399"/>
      <c r="DT93" s="399"/>
      <c r="DU93" s="399"/>
      <c r="DV93" s="399">
        <v>5580.0241557700865</v>
      </c>
      <c r="DW93" s="399">
        <v>0</v>
      </c>
      <c r="DX93" s="399">
        <v>0</v>
      </c>
      <c r="DY93" s="399">
        <v>-351.20268000000033</v>
      </c>
      <c r="DZ93" s="399">
        <v>98.182080000000042</v>
      </c>
      <c r="EA93" s="399">
        <v>0</v>
      </c>
      <c r="EB93" s="399">
        <v>0</v>
      </c>
      <c r="EC93" s="399">
        <v>-251.30883415128574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225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8" customFormat="1">
      <c r="A94" s="399">
        <v>92</v>
      </c>
      <c r="B94" s="399" t="s">
        <v>957</v>
      </c>
      <c r="C94" s="399" t="s">
        <v>2357</v>
      </c>
      <c r="D94" s="399" t="s">
        <v>1826</v>
      </c>
      <c r="E94" s="399" t="s">
        <v>2375</v>
      </c>
      <c r="F94" s="399" t="s">
        <v>1240</v>
      </c>
      <c r="G94" s="399" t="s">
        <v>1240</v>
      </c>
      <c r="H94" s="399" t="s">
        <v>1240</v>
      </c>
      <c r="I94" s="399" t="s">
        <v>1240</v>
      </c>
      <c r="J94" s="399" t="s">
        <v>2358</v>
      </c>
      <c r="K94" s="789">
        <v>44470</v>
      </c>
      <c r="L94" s="399">
        <v>0</v>
      </c>
      <c r="M94" s="399">
        <v>0</v>
      </c>
      <c r="N94" s="399">
        <v>5.6</v>
      </c>
      <c r="O94" s="399">
        <v>5.6</v>
      </c>
      <c r="P94" s="399">
        <v>5.6</v>
      </c>
      <c r="Q94" s="399">
        <v>5.6</v>
      </c>
      <c r="R94" s="399"/>
      <c r="S94" s="399">
        <v>522.37</v>
      </c>
      <c r="T94" s="399">
        <v>144.41999999999999</v>
      </c>
      <c r="U94" s="399"/>
      <c r="V94" s="399">
        <v>3734.0239999999999</v>
      </c>
      <c r="W94" s="399">
        <v>3734.0239999999999</v>
      </c>
      <c r="X94" s="399">
        <v>3649.7439999999997</v>
      </c>
      <c r="Y94" s="399">
        <v>0</v>
      </c>
      <c r="Z94" s="399">
        <v>343.84546243642671</v>
      </c>
      <c r="AA94" s="399">
        <v>0</v>
      </c>
      <c r="AB94" s="399">
        <v>0</v>
      </c>
      <c r="AC94" s="399">
        <v>0</v>
      </c>
      <c r="AD94" s="399">
        <v>570.99645937970718</v>
      </c>
      <c r="AE94" s="399">
        <v>1858.6804230497551</v>
      </c>
      <c r="AF94" s="399">
        <v>808.76221233072147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53.10343165665288</v>
      </c>
      <c r="AM94" s="399"/>
      <c r="AN94" s="399">
        <v>8.1471890651731425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90.486616115351111</v>
      </c>
      <c r="BH94" s="399">
        <v>0</v>
      </c>
      <c r="BI94" s="399">
        <v>0</v>
      </c>
      <c r="BJ94" s="399">
        <v>0</v>
      </c>
      <c r="BK94" s="399">
        <v>0</v>
      </c>
      <c r="BL94" s="399">
        <v>3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899.24882844607259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3649.7439999999997</v>
      </c>
      <c r="CJ94" s="399">
        <v>-84.310000000000855</v>
      </c>
      <c r="CK94" s="399"/>
      <c r="CL94" s="399"/>
      <c r="CM94" s="399"/>
      <c r="CN94" s="399"/>
      <c r="CO94" s="399">
        <v>-116.98399999999991</v>
      </c>
      <c r="CP94" s="399">
        <v>32.704000000000015</v>
      </c>
      <c r="CQ94" s="399">
        <v>31</v>
      </c>
      <c r="CR94" s="399">
        <v>-0.53748103062480368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23.896973594138331</v>
      </c>
      <c r="DA94" s="399">
        <v>0</v>
      </c>
      <c r="DB94" s="399">
        <v>0</v>
      </c>
      <c r="DC94" s="399">
        <v>32.702837430704108</v>
      </c>
      <c r="DD94" s="399">
        <v>0</v>
      </c>
      <c r="DE94" s="399">
        <v>0</v>
      </c>
      <c r="DF94" s="399">
        <v>0</v>
      </c>
      <c r="DG94" s="399">
        <v>3.6588864456793573</v>
      </c>
      <c r="DH94" s="399">
        <v>0</v>
      </c>
      <c r="DI94" s="399">
        <v>-52.82536180192767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-6.9875916716404305</v>
      </c>
      <c r="DP94" s="399">
        <v>-0.98322502757841512</v>
      </c>
      <c r="DQ94" s="399">
        <v>0</v>
      </c>
      <c r="DR94" s="399">
        <v>0</v>
      </c>
      <c r="DS94" s="399"/>
      <c r="DT94" s="399"/>
      <c r="DU94" s="399"/>
      <c r="DV94" s="399">
        <v>1858.6804230497551</v>
      </c>
      <c r="DW94" s="399">
        <v>0</v>
      </c>
      <c r="DX94" s="399">
        <v>0</v>
      </c>
      <c r="DY94" s="399">
        <v>-116.98399999999992</v>
      </c>
      <c r="DZ94" s="399">
        <v>32.704000000000065</v>
      </c>
      <c r="EA94" s="399">
        <v>0</v>
      </c>
      <c r="EB94" s="399">
        <v>0</v>
      </c>
      <c r="EC94" s="399">
        <v>-83.709818656150446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225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8" customFormat="1">
      <c r="A95" s="399">
        <v>93</v>
      </c>
      <c r="B95" s="399" t="s">
        <v>957</v>
      </c>
      <c r="C95" s="399" t="s">
        <v>2357</v>
      </c>
      <c r="D95" s="399" t="s">
        <v>2369</v>
      </c>
      <c r="E95" s="399" t="s">
        <v>895</v>
      </c>
      <c r="F95" s="399" t="s">
        <v>2376</v>
      </c>
      <c r="G95" s="399" t="s">
        <v>2377</v>
      </c>
      <c r="H95" s="399" t="s">
        <v>1240</v>
      </c>
      <c r="I95" s="399" t="s">
        <v>1240</v>
      </c>
      <c r="J95" s="399" t="s">
        <v>2358</v>
      </c>
      <c r="K95" s="789">
        <v>44470</v>
      </c>
      <c r="L95" s="399">
        <v>0</v>
      </c>
      <c r="M95" s="399">
        <v>0</v>
      </c>
      <c r="N95" s="399">
        <v>0</v>
      </c>
      <c r="O95" s="399">
        <v>0</v>
      </c>
      <c r="P95" s="399">
        <v>0</v>
      </c>
      <c r="Q95" s="399">
        <v>0</v>
      </c>
      <c r="R95" s="399"/>
      <c r="S95" s="399"/>
      <c r="T95" s="399"/>
      <c r="U95" s="399"/>
      <c r="V95" s="399"/>
      <c r="W95" s="399"/>
      <c r="X95" s="399"/>
      <c r="Y95" s="399"/>
      <c r="Z95" s="399"/>
      <c r="AA95" s="399">
        <v>0</v>
      </c>
      <c r="AB95" s="399"/>
      <c r="AC95" s="399"/>
      <c r="AD95" s="399"/>
      <c r="AE95" s="399"/>
      <c r="AF95" s="399"/>
      <c r="AG95" s="399"/>
      <c r="AH95" s="399"/>
      <c r="AI95" s="399"/>
      <c r="AJ95" s="399"/>
      <c r="AK95" s="399"/>
      <c r="AL95" s="399"/>
      <c r="AM95" s="399"/>
      <c r="AN95" s="399"/>
      <c r="AO95" s="399"/>
      <c r="AP95" s="399"/>
      <c r="AQ95" s="399"/>
      <c r="AR95" s="399"/>
      <c r="AS95" s="399"/>
      <c r="AT95" s="399"/>
      <c r="AU95" s="399"/>
      <c r="AV95" s="399"/>
      <c r="AW95" s="399"/>
      <c r="AX95" s="399"/>
      <c r="AY95" s="399"/>
      <c r="AZ95" s="399">
        <v>0</v>
      </c>
      <c r="BA95" s="399"/>
      <c r="BB95" s="399"/>
      <c r="BC95" s="399"/>
      <c r="BD95" s="399"/>
      <c r="BE95" s="399"/>
      <c r="BF95" s="399"/>
      <c r="BG95" s="399"/>
      <c r="BH95" s="399"/>
      <c r="BI95" s="399">
        <v>0</v>
      </c>
      <c r="BJ95" s="399">
        <v>0</v>
      </c>
      <c r="BK95" s="399">
        <v>353.74</v>
      </c>
      <c r="BL95" s="399">
        <v>2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/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/>
      <c r="CJ95" s="399">
        <v>-0.03</v>
      </c>
      <c r="CK95" s="399"/>
      <c r="CL95" s="399"/>
      <c r="CM95" s="399"/>
      <c r="CN95" s="399"/>
      <c r="CO95" s="399">
        <v>0</v>
      </c>
      <c r="CP95" s="399">
        <v>0</v>
      </c>
      <c r="CQ95" s="399">
        <v>31</v>
      </c>
      <c r="CR95" s="399"/>
      <c r="CS95" s="399"/>
      <c r="CT95" s="399"/>
      <c r="CU95" s="399"/>
      <c r="CV95" s="399"/>
      <c r="CW95" s="399"/>
      <c r="CX95" s="399"/>
      <c r="CY95" s="399"/>
      <c r="CZ95" s="399"/>
      <c r="DA95" s="399"/>
      <c r="DB95" s="399"/>
      <c r="DC95" s="399"/>
      <c r="DD95" s="399"/>
      <c r="DE95" s="399"/>
      <c r="DF95" s="399"/>
      <c r="DG95" s="399"/>
      <c r="DH95" s="399"/>
      <c r="DI95" s="399"/>
      <c r="DJ95" s="399"/>
      <c r="DK95" s="399">
        <v>0</v>
      </c>
      <c r="DL95" s="399"/>
      <c r="DM95" s="399"/>
      <c r="DN95" s="399"/>
      <c r="DO95" s="399"/>
      <c r="DP95" s="399"/>
      <c r="DQ95" s="399"/>
      <c r="DR95" s="399"/>
      <c r="DS95" s="399"/>
      <c r="DT95" s="399"/>
      <c r="DU95" s="399"/>
      <c r="DV95" s="399"/>
      <c r="DW95" s="399"/>
      <c r="DX95" s="399"/>
      <c r="DY95" s="399"/>
      <c r="DZ95" s="399"/>
      <c r="EA95" s="399"/>
      <c r="EB95" s="399"/>
      <c r="EC95" s="399"/>
      <c r="ED95" s="399"/>
      <c r="EE95" s="399"/>
      <c r="EF95" s="399"/>
      <c r="EG95" s="399"/>
      <c r="EH95" s="399"/>
      <c r="EI95" s="399"/>
      <c r="EJ95" s="399"/>
      <c r="EK95" s="399"/>
      <c r="EL95" s="399"/>
      <c r="EM95" s="399"/>
      <c r="EN95" s="399"/>
      <c r="EO95" s="399"/>
      <c r="EP95" s="399"/>
      <c r="EQ95" s="399"/>
      <c r="ER95" s="399"/>
      <c r="ES95" s="399"/>
      <c r="ET95" s="399"/>
      <c r="EU95" s="399"/>
      <c r="EV95" s="399">
        <v>225</v>
      </c>
      <c r="EW95" s="399"/>
      <c r="EX95" s="399"/>
      <c r="EY95" s="399"/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8" customFormat="1">
      <c r="A96" s="399">
        <v>94</v>
      </c>
      <c r="B96" s="399" t="s">
        <v>957</v>
      </c>
      <c r="C96" s="399" t="s">
        <v>2357</v>
      </c>
      <c r="D96" s="399" t="s">
        <v>2369</v>
      </c>
      <c r="E96" s="399" t="s">
        <v>895</v>
      </c>
      <c r="F96" s="399" t="s">
        <v>2376</v>
      </c>
      <c r="G96" s="399" t="s">
        <v>2377</v>
      </c>
      <c r="H96" s="399" t="s">
        <v>1240</v>
      </c>
      <c r="I96" s="399" t="s">
        <v>1240</v>
      </c>
      <c r="J96" s="399" t="s">
        <v>2358</v>
      </c>
      <c r="K96" s="789">
        <v>44470</v>
      </c>
      <c r="L96" s="399">
        <v>0</v>
      </c>
      <c r="M96" s="399">
        <v>0</v>
      </c>
      <c r="N96" s="399">
        <v>1.0900000000000001</v>
      </c>
      <c r="O96" s="399">
        <v>1.0900000000000001</v>
      </c>
      <c r="P96" s="399">
        <v>1.0900000000000001</v>
      </c>
      <c r="Q96" s="399">
        <v>1.0900000000000001</v>
      </c>
      <c r="R96" s="399"/>
      <c r="S96" s="399">
        <v>522.37</v>
      </c>
      <c r="T96" s="399">
        <v>144.41999999999999</v>
      </c>
      <c r="U96" s="399"/>
      <c r="V96" s="399">
        <v>726.80110000000013</v>
      </c>
      <c r="W96" s="399">
        <v>726.80110000000013</v>
      </c>
      <c r="X96" s="399">
        <v>710.39660000000003</v>
      </c>
      <c r="Y96" s="399">
        <v>0</v>
      </c>
      <c r="Z96" s="399">
        <v>66.927063224233066</v>
      </c>
      <c r="AA96" s="399">
        <v>0</v>
      </c>
      <c r="AB96" s="399">
        <v>0</v>
      </c>
      <c r="AC96" s="399">
        <v>0</v>
      </c>
      <c r="AD96" s="399">
        <v>111.14038227212158</v>
      </c>
      <c r="AE96" s="399">
        <v>361.77886805789882</v>
      </c>
      <c r="AF96" s="399">
        <v>157.41978775722973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10.336203661741365</v>
      </c>
      <c r="AM96" s="399"/>
      <c r="AN96" s="399">
        <v>1.5857921573283442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17.612573493880845</v>
      </c>
      <c r="BH96" s="399">
        <v>0</v>
      </c>
      <c r="BI96" s="399">
        <v>0</v>
      </c>
      <c r="BJ96" s="399">
        <v>0</v>
      </c>
      <c r="BK96" s="399">
        <v>0</v>
      </c>
      <c r="BL96" s="399">
        <v>0</v>
      </c>
      <c r="BM96" s="399"/>
      <c r="BN96" s="399"/>
      <c r="BO96" s="399"/>
      <c r="BP96" s="399"/>
      <c r="BQ96" s="399"/>
      <c r="BR96" s="399">
        <v>85.238000000000028</v>
      </c>
      <c r="BS96" s="399"/>
      <c r="BT96" s="399"/>
      <c r="BU96" s="399"/>
      <c r="BV96" s="399">
        <v>175.03236125111056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625.15859999999998</v>
      </c>
      <c r="CJ96" s="399">
        <v>-14.450700000000097</v>
      </c>
      <c r="CK96" s="399"/>
      <c r="CL96" s="399"/>
      <c r="CM96" s="399"/>
      <c r="CN96" s="399"/>
      <c r="CO96" s="399">
        <v>-22.770099999999985</v>
      </c>
      <c r="CP96" s="399">
        <v>6.3656000000000041</v>
      </c>
      <c r="CQ96" s="399">
        <v>31</v>
      </c>
      <c r="CR96" s="399">
        <v>-0.10461684346086031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4.6513752174305125</v>
      </c>
      <c r="DA96" s="399">
        <v>0</v>
      </c>
      <c r="DB96" s="399">
        <v>0</v>
      </c>
      <c r="DC96" s="399">
        <v>6.365373714190639</v>
      </c>
      <c r="DD96" s="399">
        <v>0</v>
      </c>
      <c r="DE96" s="399">
        <v>0</v>
      </c>
      <c r="DF96" s="399">
        <v>0</v>
      </c>
      <c r="DG96" s="399">
        <v>0.71217611174830253</v>
      </c>
      <c r="DH96" s="399">
        <v>0</v>
      </c>
      <c r="DI96" s="399">
        <v>-10.282079350732353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-1.3600848075157259</v>
      </c>
      <c r="DP96" s="399">
        <v>-0.19137772858222757</v>
      </c>
      <c r="DQ96" s="399">
        <v>0</v>
      </c>
      <c r="DR96" s="399">
        <v>0</v>
      </c>
      <c r="DS96" s="399"/>
      <c r="DT96" s="399"/>
      <c r="DU96" s="399"/>
      <c r="DV96" s="399">
        <v>361.77886805789882</v>
      </c>
      <c r="DW96" s="399">
        <v>0</v>
      </c>
      <c r="DX96" s="399">
        <v>0</v>
      </c>
      <c r="DY96" s="399">
        <v>-22.77010000000007</v>
      </c>
      <c r="DZ96" s="399">
        <v>6.3656000000000006</v>
      </c>
      <c r="EA96" s="399">
        <v>0</v>
      </c>
      <c r="EB96" s="399">
        <v>0</v>
      </c>
      <c r="EC96" s="399">
        <v>-16.293518274143594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225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8" customFormat="1">
      <c r="A97" s="399">
        <v>95</v>
      </c>
      <c r="B97" s="399" t="s">
        <v>957</v>
      </c>
      <c r="C97" s="399" t="s">
        <v>2357</v>
      </c>
      <c r="D97" s="399" t="s">
        <v>2369</v>
      </c>
      <c r="E97" s="399" t="s">
        <v>895</v>
      </c>
      <c r="F97" s="399" t="s">
        <v>2376</v>
      </c>
      <c r="G97" s="399" t="s">
        <v>2378</v>
      </c>
      <c r="H97" s="399" t="s">
        <v>1240</v>
      </c>
      <c r="I97" s="399" t="s">
        <v>1240</v>
      </c>
      <c r="J97" s="399" t="s">
        <v>2358</v>
      </c>
      <c r="K97" s="789">
        <v>44470</v>
      </c>
      <c r="L97" s="399">
        <v>0</v>
      </c>
      <c r="M97" s="399">
        <v>0</v>
      </c>
      <c r="N97" s="399">
        <v>0.73</v>
      </c>
      <c r="O97" s="399">
        <v>0.29199999999999998</v>
      </c>
      <c r="P97" s="399">
        <v>0.73</v>
      </c>
      <c r="Q97" s="399">
        <v>0.29199999999999998</v>
      </c>
      <c r="R97" s="399"/>
      <c r="S97" s="399">
        <v>522.37</v>
      </c>
      <c r="T97" s="399">
        <v>144.41999999999999</v>
      </c>
      <c r="U97" s="399"/>
      <c r="V97" s="399">
        <v>486.75670000000002</v>
      </c>
      <c r="W97" s="399">
        <v>486.75670000000002</v>
      </c>
      <c r="X97" s="399">
        <v>475.77019999999999</v>
      </c>
      <c r="Y97" s="399">
        <v>0</v>
      </c>
      <c r="Z97" s="399">
        <v>44.822712067605622</v>
      </c>
      <c r="AA97" s="399">
        <v>0</v>
      </c>
      <c r="AB97" s="399">
        <v>0</v>
      </c>
      <c r="AC97" s="399">
        <v>0</v>
      </c>
      <c r="AD97" s="399">
        <v>74.433467026283253</v>
      </c>
      <c r="AE97" s="399">
        <v>242.29226943327166</v>
      </c>
      <c r="AF97" s="399">
        <v>105.42793125025477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6.9224116266708222</v>
      </c>
      <c r="AM97" s="399"/>
      <c r="AN97" s="399">
        <v>1.0620442888529276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11.795576743608271</v>
      </c>
      <c r="BH97" s="399">
        <v>0</v>
      </c>
      <c r="BI97" s="399">
        <v>0</v>
      </c>
      <c r="BJ97" s="399">
        <v>0</v>
      </c>
      <c r="BK97" s="399">
        <v>0</v>
      </c>
      <c r="BL97" s="399">
        <v>0</v>
      </c>
      <c r="BM97" s="399"/>
      <c r="BN97" s="399"/>
      <c r="BO97" s="399"/>
      <c r="BP97" s="399"/>
      <c r="BQ97" s="399"/>
      <c r="BR97" s="399"/>
      <c r="BS97" s="399">
        <v>308.29652000000004</v>
      </c>
      <c r="BT97" s="399"/>
      <c r="BU97" s="399"/>
      <c r="BV97" s="399">
        <v>117.22350799386304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166.32659999999998</v>
      </c>
      <c r="CJ97" s="399">
        <v>-5.040239999999983</v>
      </c>
      <c r="CK97" s="399"/>
      <c r="CL97" s="399"/>
      <c r="CM97" s="399"/>
      <c r="CN97" s="399"/>
      <c r="CO97" s="399">
        <v>-15.24969999999999</v>
      </c>
      <c r="CP97" s="399">
        <v>4.2632000000000021</v>
      </c>
      <c r="CQ97" s="399">
        <v>31</v>
      </c>
      <c r="CR97" s="399">
        <v>-7.0064491492161096E-2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3.1151412006644676</v>
      </c>
      <c r="DA97" s="399">
        <v>0</v>
      </c>
      <c r="DB97" s="399">
        <v>0</v>
      </c>
      <c r="DC97" s="399">
        <v>4.2630484507882187</v>
      </c>
      <c r="DD97" s="399">
        <v>0</v>
      </c>
      <c r="DE97" s="399">
        <v>0</v>
      </c>
      <c r="DF97" s="399">
        <v>0</v>
      </c>
      <c r="DG97" s="399">
        <v>0.47696198309748894</v>
      </c>
      <c r="DH97" s="399">
        <v>0</v>
      </c>
      <c r="DI97" s="399">
        <v>-6.8861632348941413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-0.91088248576741382</v>
      </c>
      <c r="DP97" s="399">
        <v>-0.12817040538075775</v>
      </c>
      <c r="DQ97" s="399">
        <v>0</v>
      </c>
      <c r="DR97" s="399">
        <v>0</v>
      </c>
      <c r="DS97" s="399"/>
      <c r="DT97" s="399"/>
      <c r="DU97" s="399"/>
      <c r="DV97" s="399">
        <v>242.29226943327166</v>
      </c>
      <c r="DW97" s="399">
        <v>0</v>
      </c>
      <c r="DX97" s="399">
        <v>0</v>
      </c>
      <c r="DY97" s="399">
        <v>-15.249700000000018</v>
      </c>
      <c r="DZ97" s="399">
        <v>4.2631999999999977</v>
      </c>
      <c r="EA97" s="399">
        <v>0</v>
      </c>
      <c r="EB97" s="399">
        <v>0</v>
      </c>
      <c r="EC97" s="399">
        <v>-10.912172789105341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225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8" customFormat="1">
      <c r="A98" s="399">
        <v>96</v>
      </c>
      <c r="B98" s="399" t="s">
        <v>957</v>
      </c>
      <c r="C98" s="399" t="s">
        <v>2357</v>
      </c>
      <c r="D98" s="399" t="s">
        <v>1823</v>
      </c>
      <c r="E98" s="399" t="s">
        <v>890</v>
      </c>
      <c r="F98" s="399" t="s">
        <v>890</v>
      </c>
      <c r="G98" s="399" t="s">
        <v>1240</v>
      </c>
      <c r="H98" s="399" t="s">
        <v>1240</v>
      </c>
      <c r="I98" s="399" t="s">
        <v>1240</v>
      </c>
      <c r="J98" s="399" t="s">
        <v>2358</v>
      </c>
      <c r="K98" s="789">
        <v>44501</v>
      </c>
      <c r="L98" s="399">
        <v>0</v>
      </c>
      <c r="M98" s="399">
        <v>0</v>
      </c>
      <c r="N98" s="399">
        <v>2298.2170000000001</v>
      </c>
      <c r="O98" s="399">
        <v>2298.2170000000001</v>
      </c>
      <c r="P98" s="399">
        <v>2298.2170000000001</v>
      </c>
      <c r="Q98" s="399">
        <v>2298.2170000000001</v>
      </c>
      <c r="R98" s="399"/>
      <c r="S98" s="399">
        <v>522.37</v>
      </c>
      <c r="T98" s="399">
        <v>144.41999999999999</v>
      </c>
      <c r="U98" s="399"/>
      <c r="V98" s="399">
        <v>1532428.1134300001</v>
      </c>
      <c r="W98" s="399">
        <v>1532428.1134300001</v>
      </c>
      <c r="X98" s="399">
        <v>1497839.9475800002</v>
      </c>
      <c r="Y98" s="399">
        <v>0</v>
      </c>
      <c r="Z98" s="399">
        <v>141112.76556147452</v>
      </c>
      <c r="AA98" s="399">
        <v>0</v>
      </c>
      <c r="AB98" s="399">
        <v>0</v>
      </c>
      <c r="AC98" s="399">
        <v>0</v>
      </c>
      <c r="AD98" s="399">
        <v>234334.60176540224</v>
      </c>
      <c r="AE98" s="399">
        <v>762794.8117535963</v>
      </c>
      <c r="AF98" s="399">
        <v>331912.69023858465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21793.430248510325</v>
      </c>
      <c r="AM98" s="399"/>
      <c r="AN98" s="399">
        <v>3343.5729306776834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37135.335612281058</v>
      </c>
      <c r="BH98" s="399">
        <v>0</v>
      </c>
      <c r="BI98" s="399">
        <v>545.98</v>
      </c>
      <c r="BJ98" s="399">
        <v>2535.71</v>
      </c>
      <c r="BK98" s="399">
        <v>335458.31</v>
      </c>
      <c r="BL98" s="399">
        <v>11966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369048.0258508657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1497841.9027999998</v>
      </c>
      <c r="CJ98" s="399">
        <v>-34586.240630000364</v>
      </c>
      <c r="CK98" s="399"/>
      <c r="CL98" s="399"/>
      <c r="CM98" s="399"/>
      <c r="CN98" s="399"/>
      <c r="CO98" s="399">
        <v>-48009.753129999968</v>
      </c>
      <c r="CP98" s="399">
        <v>13421.587280000009</v>
      </c>
      <c r="CQ98" s="399">
        <v>30</v>
      </c>
      <c r="CR98" s="399">
        <v>-220.58000745682511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9807.2198147499876</v>
      </c>
      <c r="DA98" s="399">
        <v>0</v>
      </c>
      <c r="DB98" s="399">
        <v>0</v>
      </c>
      <c r="DC98" s="399">
        <v>13421.110166335769</v>
      </c>
      <c r="DD98" s="399">
        <v>0</v>
      </c>
      <c r="DE98" s="399">
        <v>0</v>
      </c>
      <c r="DF98" s="399">
        <v>0</v>
      </c>
      <c r="DG98" s="399">
        <v>1501.5919697374775</v>
      </c>
      <c r="DH98" s="399">
        <v>0</v>
      </c>
      <c r="DI98" s="399">
        <v>-21679.311522203716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-2867.6789230040085</v>
      </c>
      <c r="DP98" s="399">
        <v>-403.51151307253303</v>
      </c>
      <c r="DQ98" s="399">
        <v>0</v>
      </c>
      <c r="DR98" s="399">
        <v>0</v>
      </c>
      <c r="DS98" s="399"/>
      <c r="DT98" s="399"/>
      <c r="DU98" s="399"/>
      <c r="DV98" s="399">
        <v>762794.8117535963</v>
      </c>
      <c r="DW98" s="399">
        <v>0</v>
      </c>
      <c r="DX98" s="399">
        <v>0</v>
      </c>
      <c r="DY98" s="399">
        <v>-48009.753130000085</v>
      </c>
      <c r="DZ98" s="399">
        <v>13421.587280000036</v>
      </c>
      <c r="EA98" s="399">
        <v>0</v>
      </c>
      <c r="EB98" s="399">
        <v>0</v>
      </c>
      <c r="EC98" s="399">
        <v>-34354.165768300416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225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8" customFormat="1">
      <c r="A99" s="399">
        <v>97</v>
      </c>
      <c r="B99" s="399" t="s">
        <v>2359</v>
      </c>
      <c r="C99" s="399" t="s">
        <v>2357</v>
      </c>
      <c r="D99" s="399" t="s">
        <v>1823</v>
      </c>
      <c r="E99" s="399" t="s">
        <v>890</v>
      </c>
      <c r="F99" s="399" t="s">
        <v>890</v>
      </c>
      <c r="G99" s="399" t="s">
        <v>1240</v>
      </c>
      <c r="H99" s="399" t="s">
        <v>1240</v>
      </c>
      <c r="I99" s="399" t="s">
        <v>1240</v>
      </c>
      <c r="J99" s="399" t="s">
        <v>2358</v>
      </c>
      <c r="K99" s="789">
        <v>44501</v>
      </c>
      <c r="L99" s="399">
        <v>0</v>
      </c>
      <c r="M99" s="399">
        <v>0</v>
      </c>
      <c r="N99" s="399">
        <v>-10.891</v>
      </c>
      <c r="O99" s="399">
        <v>-10.891</v>
      </c>
      <c r="P99" s="399">
        <v>-10.891</v>
      </c>
      <c r="Q99" s="399">
        <v>-10.891</v>
      </c>
      <c r="R99" s="399"/>
      <c r="S99" s="399">
        <v>522.37</v>
      </c>
      <c r="T99" s="399">
        <v>144.41999999999999</v>
      </c>
      <c r="U99" s="399"/>
      <c r="V99" s="399">
        <v>-7262.0098899999994</v>
      </c>
      <c r="W99" s="399">
        <v>-7262.0098899999994</v>
      </c>
      <c r="X99" s="399">
        <v>-7098.1003400000009</v>
      </c>
      <c r="Y99" s="399">
        <v>0</v>
      </c>
      <c r="Z99" s="399">
        <v>-668.71802346341485</v>
      </c>
      <c r="AA99" s="399">
        <v>0</v>
      </c>
      <c r="AB99" s="399">
        <v>0</v>
      </c>
      <c r="AC99" s="399">
        <v>0</v>
      </c>
      <c r="AD99" s="399">
        <v>-1110.4861498400699</v>
      </c>
      <c r="AE99" s="399">
        <v>-3614.801515613372</v>
      </c>
      <c r="AF99" s="399">
        <v>-1572.898081159623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-103.27669181653688</v>
      </c>
      <c r="AM99" s="399"/>
      <c r="AN99" s="399">
        <v>-15.844827876571555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-175.9803100200516</v>
      </c>
      <c r="BH99" s="399">
        <v>0</v>
      </c>
      <c r="BI99" s="399">
        <v>-37.24</v>
      </c>
      <c r="BJ99" s="399">
        <v>-171.81</v>
      </c>
      <c r="BK99" s="399">
        <v>-2538.15</v>
      </c>
      <c r="BL99" s="399">
        <v>0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-1748.8783911796745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-7097.4486000000006</v>
      </c>
      <c r="CJ99" s="399">
        <v>164.53128999999808</v>
      </c>
      <c r="CK99" s="399"/>
      <c r="CL99" s="399"/>
      <c r="CM99" s="399"/>
      <c r="CN99" s="399"/>
      <c r="CO99" s="399">
        <v>227.51298999999986</v>
      </c>
      <c r="CP99" s="399">
        <v>-63.603440000000035</v>
      </c>
      <c r="CQ99" s="399">
        <v>30</v>
      </c>
      <c r="CR99" s="399">
        <v>1.0453046258094219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-46.475346323886015</v>
      </c>
      <c r="DA99" s="399">
        <v>0</v>
      </c>
      <c r="DB99" s="399">
        <v>0</v>
      </c>
      <c r="DC99" s="399">
        <v>-63.601179010321175</v>
      </c>
      <c r="DD99" s="399">
        <v>0</v>
      </c>
      <c r="DE99" s="399">
        <v>0</v>
      </c>
      <c r="DF99" s="399">
        <v>0</v>
      </c>
      <c r="DG99" s="399">
        <v>-7.1158807642667909</v>
      </c>
      <c r="DH99" s="399">
        <v>0</v>
      </c>
      <c r="DI99" s="399">
        <v>102.73589560442747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13.589618017113551</v>
      </c>
      <c r="DP99" s="399">
        <v>1.9121971027422369</v>
      </c>
      <c r="DQ99" s="399">
        <v>0</v>
      </c>
      <c r="DR99" s="399">
        <v>0</v>
      </c>
      <c r="DS99" s="399"/>
      <c r="DT99" s="399"/>
      <c r="DU99" s="399"/>
      <c r="DV99" s="399">
        <v>-3614.801515613372</v>
      </c>
      <c r="DW99" s="399">
        <v>0</v>
      </c>
      <c r="DX99" s="399">
        <v>0</v>
      </c>
      <c r="DY99" s="399">
        <v>227.51298999999926</v>
      </c>
      <c r="DZ99" s="399">
        <v>-63.603440000000091</v>
      </c>
      <c r="EA99" s="399">
        <v>0</v>
      </c>
      <c r="EB99" s="399">
        <v>0</v>
      </c>
      <c r="EC99" s="399">
        <v>162.80064910430974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225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8" customFormat="1">
      <c r="A100" s="399">
        <v>98</v>
      </c>
      <c r="B100" s="399" t="s">
        <v>2360</v>
      </c>
      <c r="C100" s="399" t="s">
        <v>2357</v>
      </c>
      <c r="D100" s="399" t="s">
        <v>1823</v>
      </c>
      <c r="E100" s="399" t="s">
        <v>890</v>
      </c>
      <c r="F100" s="399" t="s">
        <v>890</v>
      </c>
      <c r="G100" s="399" t="s">
        <v>1240</v>
      </c>
      <c r="H100" s="399" t="s">
        <v>1240</v>
      </c>
      <c r="I100" s="399" t="s">
        <v>1240</v>
      </c>
      <c r="J100" s="399" t="s">
        <v>2358</v>
      </c>
      <c r="K100" s="789">
        <v>44501</v>
      </c>
      <c r="L100" s="399">
        <v>0</v>
      </c>
      <c r="M100" s="399">
        <v>0</v>
      </c>
      <c r="N100" s="399">
        <v>5.09</v>
      </c>
      <c r="O100" s="399">
        <v>5.09</v>
      </c>
      <c r="P100" s="399">
        <v>5.09</v>
      </c>
      <c r="Q100" s="399">
        <v>5.09</v>
      </c>
      <c r="R100" s="399"/>
      <c r="S100" s="399">
        <v>522.37</v>
      </c>
      <c r="T100" s="399">
        <v>144.41999999999999</v>
      </c>
      <c r="U100" s="399"/>
      <c r="V100" s="399">
        <v>3393.9611</v>
      </c>
      <c r="W100" s="399">
        <v>3393.9611</v>
      </c>
      <c r="X100" s="399">
        <v>3317.3565999999996</v>
      </c>
      <c r="Y100" s="399">
        <v>0</v>
      </c>
      <c r="Z100" s="399">
        <v>312.53096496453782</v>
      </c>
      <c r="AA100" s="399">
        <v>0</v>
      </c>
      <c r="AB100" s="399">
        <v>0</v>
      </c>
      <c r="AC100" s="399">
        <v>0</v>
      </c>
      <c r="AD100" s="399">
        <v>518.99499611476961</v>
      </c>
      <c r="AE100" s="399">
        <v>1689.4077416648668</v>
      </c>
      <c r="AF100" s="399">
        <v>735.10708227917371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48.267226273636282</v>
      </c>
      <c r="AM100" s="399"/>
      <c r="AN100" s="399">
        <v>7.4052129181663036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82.245870719131645</v>
      </c>
      <c r="BH100" s="399">
        <v>0</v>
      </c>
      <c r="BI100" s="399">
        <v>0.46</v>
      </c>
      <c r="BJ100" s="399">
        <v>2.2200000000000002</v>
      </c>
      <c r="BK100" s="399">
        <v>3796.33</v>
      </c>
      <c r="BL100" s="399">
        <v>63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817.35295299830534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3317.3565999999996</v>
      </c>
      <c r="CJ100" s="399">
        <v>-76.634500000001026</v>
      </c>
      <c r="CK100" s="399"/>
      <c r="CL100" s="399"/>
      <c r="CM100" s="399"/>
      <c r="CN100" s="399"/>
      <c r="CO100" s="399">
        <v>-106.33009999999993</v>
      </c>
      <c r="CP100" s="399">
        <v>29.725600000000018</v>
      </c>
      <c r="CQ100" s="399">
        <v>30</v>
      </c>
      <c r="CR100" s="399">
        <v>-0.48853186533574444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21.720642070386475</v>
      </c>
      <c r="DA100" s="399">
        <v>0</v>
      </c>
      <c r="DB100" s="399">
        <v>0</v>
      </c>
      <c r="DC100" s="399">
        <v>29.724543307550675</v>
      </c>
      <c r="DD100" s="399">
        <v>0</v>
      </c>
      <c r="DE100" s="399">
        <v>0</v>
      </c>
      <c r="DF100" s="399">
        <v>0</v>
      </c>
      <c r="DG100" s="399">
        <v>3.3256664300907062</v>
      </c>
      <c r="DH100" s="399">
        <v>0</v>
      </c>
      <c r="DI100" s="399">
        <v>-48.01448063782351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-6.3512217158303201</v>
      </c>
      <c r="DP100" s="399">
        <v>-0.89368131970966758</v>
      </c>
      <c r="DQ100" s="399">
        <v>0</v>
      </c>
      <c r="DR100" s="399">
        <v>0</v>
      </c>
      <c r="DS100" s="399"/>
      <c r="DT100" s="399"/>
      <c r="DU100" s="399"/>
      <c r="DV100" s="399">
        <v>1689.4077416648668</v>
      </c>
      <c r="DW100" s="399">
        <v>0</v>
      </c>
      <c r="DX100" s="399">
        <v>0</v>
      </c>
      <c r="DY100" s="399">
        <v>-106.33010000000013</v>
      </c>
      <c r="DZ100" s="399">
        <v>29.725599999999986</v>
      </c>
      <c r="EA100" s="399">
        <v>0</v>
      </c>
      <c r="EB100" s="399">
        <v>0</v>
      </c>
      <c r="EC100" s="399">
        <v>-76.086245885679773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225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8" customFormat="1">
      <c r="A101" s="399">
        <v>99</v>
      </c>
      <c r="B101" s="399" t="s">
        <v>957</v>
      </c>
      <c r="C101" s="399" t="s">
        <v>2357</v>
      </c>
      <c r="D101" s="399" t="s">
        <v>1823</v>
      </c>
      <c r="E101" s="399" t="s">
        <v>890</v>
      </c>
      <c r="F101" s="399" t="s">
        <v>2361</v>
      </c>
      <c r="G101" s="399" t="s">
        <v>1240</v>
      </c>
      <c r="H101" s="399" t="s">
        <v>1240</v>
      </c>
      <c r="I101" s="399" t="s">
        <v>1240</v>
      </c>
      <c r="J101" s="399" t="s">
        <v>2358</v>
      </c>
      <c r="K101" s="789">
        <v>44501</v>
      </c>
      <c r="L101" s="399">
        <v>0</v>
      </c>
      <c r="M101" s="399">
        <v>0</v>
      </c>
      <c r="N101" s="399">
        <v>15.48</v>
      </c>
      <c r="O101" s="399">
        <v>15.48</v>
      </c>
      <c r="P101" s="399">
        <v>15.48</v>
      </c>
      <c r="Q101" s="399">
        <v>15.48</v>
      </c>
      <c r="R101" s="399"/>
      <c r="S101" s="399">
        <v>451.48</v>
      </c>
      <c r="T101" s="399">
        <v>144.41999999999999</v>
      </c>
      <c r="U101" s="399"/>
      <c r="V101" s="399">
        <v>9224.5320000000011</v>
      </c>
      <c r="W101" s="399">
        <v>9224.5320000000011</v>
      </c>
      <c r="X101" s="399">
        <v>9157.0391999999993</v>
      </c>
      <c r="Y101" s="399">
        <v>0</v>
      </c>
      <c r="Z101" s="399">
        <v>0</v>
      </c>
      <c r="AA101" s="399">
        <v>0</v>
      </c>
      <c r="AB101" s="399">
        <v>0</v>
      </c>
      <c r="AC101" s="399">
        <v>0</v>
      </c>
      <c r="AD101" s="399">
        <v>1578.3973555710479</v>
      </c>
      <c r="AE101" s="399">
        <v>5137.9237408589661</v>
      </c>
      <c r="AF101" s="399">
        <v>2235.6498297999233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0</v>
      </c>
      <c r="AM101" s="399"/>
      <c r="AN101" s="399">
        <v>22.521158344442906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250.13086026172061</v>
      </c>
      <c r="BH101" s="399">
        <v>0</v>
      </c>
      <c r="BI101" s="399">
        <v>0.86</v>
      </c>
      <c r="BJ101" s="399">
        <v>3.74</v>
      </c>
      <c r="BK101" s="399">
        <v>387.94</v>
      </c>
      <c r="BL101" s="399">
        <v>9</v>
      </c>
      <c r="BM101" s="399"/>
      <c r="BN101" s="399"/>
      <c r="BO101" s="399"/>
      <c r="BP101" s="399"/>
      <c r="BQ101" s="399"/>
      <c r="BR101" s="399"/>
      <c r="BS101" s="399"/>
      <c r="BT101" s="399">
        <v>5952.0599999999995</v>
      </c>
      <c r="BU101" s="399"/>
      <c r="BV101" s="399">
        <v>2485.7806900616438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3204.9791999999998</v>
      </c>
      <c r="CJ101" s="399">
        <v>-23.714400000001206</v>
      </c>
      <c r="CK101" s="399"/>
      <c r="CL101" s="399"/>
      <c r="CM101" s="399"/>
      <c r="CN101" s="399"/>
      <c r="CO101" s="399">
        <v>-157.8960000000007</v>
      </c>
      <c r="CP101" s="399">
        <v>90.403200000000055</v>
      </c>
      <c r="CQ101" s="399">
        <v>30</v>
      </c>
      <c r="CR101" s="399">
        <v>163.85434168156507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66.058062720939688</v>
      </c>
      <c r="DA101" s="399">
        <v>0</v>
      </c>
      <c r="DB101" s="399">
        <v>0</v>
      </c>
      <c r="DC101" s="399">
        <v>90.399986326303406</v>
      </c>
      <c r="DD101" s="399">
        <v>0</v>
      </c>
      <c r="DE101" s="399">
        <v>0</v>
      </c>
      <c r="DF101" s="399">
        <v>0</v>
      </c>
      <c r="DG101" s="399">
        <v>10.114207531985073</v>
      </c>
      <c r="DH101" s="399">
        <v>0</v>
      </c>
      <c r="DI101" s="399">
        <v>0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0</v>
      </c>
      <c r="DP101" s="399">
        <v>-2.7179148976631922</v>
      </c>
      <c r="DQ101" s="399">
        <v>0</v>
      </c>
      <c r="DR101" s="399">
        <v>0</v>
      </c>
      <c r="DS101" s="399"/>
      <c r="DT101" s="399"/>
      <c r="DU101" s="399"/>
      <c r="DV101" s="399">
        <v>5137.9237408589661</v>
      </c>
      <c r="DW101" s="399">
        <v>0</v>
      </c>
      <c r="DX101" s="399">
        <v>0</v>
      </c>
      <c r="DY101" s="399">
        <v>-157.89600000000064</v>
      </c>
      <c r="DZ101" s="399">
        <v>90.403200000000197</v>
      </c>
      <c r="EA101" s="399">
        <v>0</v>
      </c>
      <c r="EB101" s="399">
        <v>0</v>
      </c>
      <c r="EC101" s="399">
        <v>-231.39785585664413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225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8" customFormat="1">
      <c r="A102" s="399">
        <v>100</v>
      </c>
      <c r="B102" s="399" t="s">
        <v>957</v>
      </c>
      <c r="C102" s="399" t="s">
        <v>2357</v>
      </c>
      <c r="D102" s="399" t="s">
        <v>1823</v>
      </c>
      <c r="E102" s="399" t="s">
        <v>890</v>
      </c>
      <c r="F102" s="399" t="s">
        <v>2362</v>
      </c>
      <c r="G102" s="399" t="s">
        <v>1240</v>
      </c>
      <c r="H102" s="399" t="s">
        <v>1240</v>
      </c>
      <c r="I102" s="399" t="s">
        <v>1240</v>
      </c>
      <c r="J102" s="399" t="s">
        <v>2358</v>
      </c>
      <c r="K102" s="789">
        <v>44501</v>
      </c>
      <c r="L102" s="399">
        <v>0</v>
      </c>
      <c r="M102" s="399">
        <v>0</v>
      </c>
      <c r="N102" s="399">
        <v>34.073</v>
      </c>
      <c r="O102" s="399">
        <v>34.073</v>
      </c>
      <c r="P102" s="399">
        <v>34.073</v>
      </c>
      <c r="Q102" s="399">
        <v>34.073</v>
      </c>
      <c r="R102" s="399"/>
      <c r="S102" s="399">
        <v>451.48</v>
      </c>
      <c r="T102" s="399">
        <v>144.41999999999999</v>
      </c>
      <c r="U102" s="399"/>
      <c r="V102" s="399">
        <v>20304.100700000003</v>
      </c>
      <c r="W102" s="399">
        <v>20304.100700000003</v>
      </c>
      <c r="X102" s="399">
        <v>20155.542419999998</v>
      </c>
      <c r="Y102" s="399">
        <v>0</v>
      </c>
      <c r="Z102" s="399">
        <v>0</v>
      </c>
      <c r="AA102" s="399">
        <v>0</v>
      </c>
      <c r="AB102" s="399">
        <v>0</v>
      </c>
      <c r="AC102" s="399">
        <v>0</v>
      </c>
      <c r="AD102" s="399">
        <v>3474.2075643651365</v>
      </c>
      <c r="AE102" s="399">
        <v>11309.074652602556</v>
      </c>
      <c r="AF102" s="399">
        <v>4920.8847965615496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0</v>
      </c>
      <c r="AM102" s="399"/>
      <c r="AN102" s="399">
        <v>49.571280896007949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550.56258408899259</v>
      </c>
      <c r="BH102" s="399">
        <v>0</v>
      </c>
      <c r="BI102" s="399">
        <v>3.22</v>
      </c>
      <c r="BJ102" s="399">
        <v>14.81</v>
      </c>
      <c r="BK102" s="399">
        <v>1474.55</v>
      </c>
      <c r="BL102" s="399">
        <v>58</v>
      </c>
      <c r="BM102" s="399"/>
      <c r="BN102" s="399"/>
      <c r="BO102" s="399"/>
      <c r="BP102" s="399"/>
      <c r="BQ102" s="399"/>
      <c r="BR102" s="399"/>
      <c r="BS102" s="399"/>
      <c r="BT102" s="399">
        <v>8062.01253</v>
      </c>
      <c r="BU102" s="399"/>
      <c r="BV102" s="399">
        <v>5471.4473806505421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12092.465099999998</v>
      </c>
      <c r="CJ102" s="399">
        <v>-90.025320000002466</v>
      </c>
      <c r="CK102" s="399"/>
      <c r="CL102" s="399"/>
      <c r="CM102" s="399"/>
      <c r="CN102" s="399"/>
      <c r="CO102" s="399">
        <v>-347.54460000000154</v>
      </c>
      <c r="CP102" s="399">
        <v>198.98632000000012</v>
      </c>
      <c r="CQ102" s="399">
        <v>30</v>
      </c>
      <c r="CR102" s="399">
        <v>360.65949509793063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145.40028237019214</v>
      </c>
      <c r="DA102" s="399">
        <v>0</v>
      </c>
      <c r="DB102" s="399">
        <v>0</v>
      </c>
      <c r="DC102" s="399">
        <v>198.97924638863878</v>
      </c>
      <c r="DD102" s="399">
        <v>0</v>
      </c>
      <c r="DE102" s="399">
        <v>0</v>
      </c>
      <c r="DF102" s="399">
        <v>0</v>
      </c>
      <c r="DG102" s="399">
        <v>22.262363904220138</v>
      </c>
      <c r="DH102" s="399">
        <v>0</v>
      </c>
      <c r="DI102" s="399">
        <v>0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0</v>
      </c>
      <c r="DP102" s="399">
        <v>-5.9823975651213104</v>
      </c>
      <c r="DQ102" s="399">
        <v>0</v>
      </c>
      <c r="DR102" s="399">
        <v>0</v>
      </c>
      <c r="DS102" s="399"/>
      <c r="DT102" s="399"/>
      <c r="DU102" s="399"/>
      <c r="DV102" s="399">
        <v>11309.074652602556</v>
      </c>
      <c r="DW102" s="399">
        <v>0</v>
      </c>
      <c r="DX102" s="399">
        <v>0</v>
      </c>
      <c r="DY102" s="399">
        <v>-347.54460000000108</v>
      </c>
      <c r="DZ102" s="399">
        <v>198.98631999999998</v>
      </c>
      <c r="EA102" s="399">
        <v>0</v>
      </c>
      <c r="EB102" s="399">
        <v>0</v>
      </c>
      <c r="EC102" s="399">
        <v>-509.32940197696735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225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8" customFormat="1">
      <c r="A103" s="399">
        <v>101</v>
      </c>
      <c r="B103" s="399" t="s">
        <v>2359</v>
      </c>
      <c r="C103" s="399" t="s">
        <v>2357</v>
      </c>
      <c r="D103" s="399" t="s">
        <v>1823</v>
      </c>
      <c r="E103" s="399" t="s">
        <v>890</v>
      </c>
      <c r="F103" s="399" t="s">
        <v>2362</v>
      </c>
      <c r="G103" s="399" t="s">
        <v>1240</v>
      </c>
      <c r="H103" s="399" t="s">
        <v>1240</v>
      </c>
      <c r="I103" s="399" t="s">
        <v>1240</v>
      </c>
      <c r="J103" s="399" t="s">
        <v>2358</v>
      </c>
      <c r="K103" s="789">
        <v>44501</v>
      </c>
      <c r="L103" s="399">
        <v>0</v>
      </c>
      <c r="M103" s="399">
        <v>0</v>
      </c>
      <c r="N103" s="399">
        <v>0</v>
      </c>
      <c r="O103" s="399">
        <v>0</v>
      </c>
      <c r="P103" s="399">
        <v>0</v>
      </c>
      <c r="Q103" s="399">
        <v>0</v>
      </c>
      <c r="R103" s="399"/>
      <c r="S103" s="399"/>
      <c r="T103" s="399"/>
      <c r="U103" s="399"/>
      <c r="V103" s="399"/>
      <c r="W103" s="399"/>
      <c r="X103" s="399"/>
      <c r="Y103" s="399"/>
      <c r="Z103" s="399"/>
      <c r="AA103" s="399">
        <v>0</v>
      </c>
      <c r="AB103" s="399"/>
      <c r="AC103" s="399"/>
      <c r="AD103" s="399"/>
      <c r="AE103" s="399"/>
      <c r="AF103" s="399"/>
      <c r="AG103" s="399"/>
      <c r="AH103" s="399"/>
      <c r="AI103" s="399"/>
      <c r="AJ103" s="399"/>
      <c r="AK103" s="399"/>
      <c r="AL103" s="399"/>
      <c r="AM103" s="399"/>
      <c r="AN103" s="399"/>
      <c r="AO103" s="399"/>
      <c r="AP103" s="399"/>
      <c r="AQ103" s="399"/>
      <c r="AR103" s="399"/>
      <c r="AS103" s="399"/>
      <c r="AT103" s="399"/>
      <c r="AU103" s="399"/>
      <c r="AV103" s="399"/>
      <c r="AW103" s="399"/>
      <c r="AX103" s="399"/>
      <c r="AY103" s="399"/>
      <c r="AZ103" s="399">
        <v>0</v>
      </c>
      <c r="BA103" s="399"/>
      <c r="BB103" s="399"/>
      <c r="BC103" s="399"/>
      <c r="BD103" s="399"/>
      <c r="BE103" s="399"/>
      <c r="BF103" s="399"/>
      <c r="BG103" s="399"/>
      <c r="BH103" s="399"/>
      <c r="BI103" s="399">
        <v>0</v>
      </c>
      <c r="BJ103" s="399">
        <v>0</v>
      </c>
      <c r="BK103" s="399">
        <v>0.67</v>
      </c>
      <c r="BL103" s="399">
        <v>0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/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/>
      <c r="CJ103" s="399">
        <v>-0.03</v>
      </c>
      <c r="CK103" s="399"/>
      <c r="CL103" s="399"/>
      <c r="CM103" s="399"/>
      <c r="CN103" s="399"/>
      <c r="CO103" s="399">
        <v>0</v>
      </c>
      <c r="CP103" s="399">
        <v>0</v>
      </c>
      <c r="CQ103" s="399">
        <v>30</v>
      </c>
      <c r="CR103" s="399"/>
      <c r="CS103" s="399"/>
      <c r="CT103" s="399"/>
      <c r="CU103" s="399"/>
      <c r="CV103" s="399"/>
      <c r="CW103" s="399"/>
      <c r="CX103" s="399"/>
      <c r="CY103" s="399"/>
      <c r="CZ103" s="399"/>
      <c r="DA103" s="399"/>
      <c r="DB103" s="399"/>
      <c r="DC103" s="399"/>
      <c r="DD103" s="399"/>
      <c r="DE103" s="399"/>
      <c r="DF103" s="399"/>
      <c r="DG103" s="399"/>
      <c r="DH103" s="399"/>
      <c r="DI103" s="399"/>
      <c r="DJ103" s="399"/>
      <c r="DK103" s="399">
        <v>0</v>
      </c>
      <c r="DL103" s="399"/>
      <c r="DM103" s="399"/>
      <c r="DN103" s="399"/>
      <c r="DO103" s="399"/>
      <c r="DP103" s="399"/>
      <c r="DQ103" s="399"/>
      <c r="DR103" s="399"/>
      <c r="DS103" s="399"/>
      <c r="DT103" s="399"/>
      <c r="DU103" s="399"/>
      <c r="DV103" s="399"/>
      <c r="DW103" s="399"/>
      <c r="DX103" s="399"/>
      <c r="DY103" s="399"/>
      <c r="DZ103" s="399"/>
      <c r="EA103" s="399"/>
      <c r="EB103" s="399"/>
      <c r="EC103" s="399"/>
      <c r="ED103" s="399"/>
      <c r="EE103" s="399"/>
      <c r="EF103" s="399"/>
      <c r="EG103" s="399"/>
      <c r="EH103" s="399"/>
      <c r="EI103" s="399"/>
      <c r="EJ103" s="399"/>
      <c r="EK103" s="399"/>
      <c r="EL103" s="399"/>
      <c r="EM103" s="399"/>
      <c r="EN103" s="399"/>
      <c r="EO103" s="399"/>
      <c r="EP103" s="399"/>
      <c r="EQ103" s="399"/>
      <c r="ER103" s="399"/>
      <c r="ES103" s="399"/>
      <c r="ET103" s="399"/>
      <c r="EU103" s="399"/>
      <c r="EV103" s="399">
        <v>225</v>
      </c>
      <c r="EW103" s="399"/>
      <c r="EX103" s="399"/>
      <c r="EY103" s="399"/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8" customFormat="1">
      <c r="A104" s="399">
        <v>102</v>
      </c>
      <c r="B104" s="399" t="s">
        <v>957</v>
      </c>
      <c r="C104" s="399" t="s">
        <v>2357</v>
      </c>
      <c r="D104" s="399" t="s">
        <v>1823</v>
      </c>
      <c r="E104" s="399" t="s">
        <v>890</v>
      </c>
      <c r="F104" s="399" t="s">
        <v>2363</v>
      </c>
      <c r="G104" s="399" t="s">
        <v>1240</v>
      </c>
      <c r="H104" s="399" t="s">
        <v>1240</v>
      </c>
      <c r="I104" s="399" t="s">
        <v>1240</v>
      </c>
      <c r="J104" s="399" t="s">
        <v>2358</v>
      </c>
      <c r="K104" s="789">
        <v>44501</v>
      </c>
      <c r="L104" s="399">
        <v>0</v>
      </c>
      <c r="M104" s="399">
        <v>0</v>
      </c>
      <c r="N104" s="399">
        <v>38.396000000000001</v>
      </c>
      <c r="O104" s="399">
        <v>38.396000000000001</v>
      </c>
      <c r="P104" s="399">
        <v>38.396000000000001</v>
      </c>
      <c r="Q104" s="399">
        <v>38.396000000000001</v>
      </c>
      <c r="R104" s="399"/>
      <c r="S104" s="399">
        <v>451.48</v>
      </c>
      <c r="T104" s="399">
        <v>144.41999999999999</v>
      </c>
      <c r="U104" s="399"/>
      <c r="V104" s="399">
        <v>22880.1764</v>
      </c>
      <c r="W104" s="399">
        <v>22880.1764</v>
      </c>
      <c r="X104" s="399">
        <v>22712.769839999997</v>
      </c>
      <c r="Y104" s="399">
        <v>0</v>
      </c>
      <c r="Z104" s="399">
        <v>0</v>
      </c>
      <c r="AA104" s="399">
        <v>0</v>
      </c>
      <c r="AB104" s="399">
        <v>0</v>
      </c>
      <c r="AC104" s="399">
        <v>0</v>
      </c>
      <c r="AD104" s="399">
        <v>3914.9964382755784</v>
      </c>
      <c r="AE104" s="399">
        <v>12743.909557753286</v>
      </c>
      <c r="AF104" s="399">
        <v>5545.2203401161405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0</v>
      </c>
      <c r="AM104" s="399"/>
      <c r="AN104" s="399">
        <v>55.860619883283576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620.41502006518249</v>
      </c>
      <c r="BH104" s="399">
        <v>0</v>
      </c>
      <c r="BI104" s="399">
        <v>5.45</v>
      </c>
      <c r="BJ104" s="399">
        <v>25.68</v>
      </c>
      <c r="BK104" s="399">
        <v>4376.26</v>
      </c>
      <c r="BL104" s="399">
        <v>266</v>
      </c>
      <c r="BM104" s="399"/>
      <c r="BN104" s="399"/>
      <c r="BO104" s="399"/>
      <c r="BP104" s="399"/>
      <c r="BQ104" s="399"/>
      <c r="BR104" s="399"/>
      <c r="BS104" s="399"/>
      <c r="BT104" s="399">
        <v>2271.123399999999</v>
      </c>
      <c r="BU104" s="399"/>
      <c r="BV104" s="399">
        <v>6165.6353601813225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20443.775999999998</v>
      </c>
      <c r="CJ104" s="399">
        <v>-148.7967200000021</v>
      </c>
      <c r="CK104" s="399"/>
      <c r="CL104" s="399"/>
      <c r="CM104" s="399"/>
      <c r="CN104" s="399"/>
      <c r="CO104" s="399">
        <v>-391.63920000000178</v>
      </c>
      <c r="CP104" s="399">
        <v>224.23264000000015</v>
      </c>
      <c r="CQ104" s="399">
        <v>30</v>
      </c>
      <c r="CR104" s="399">
        <v>406.41804284272257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163.8478925215245</v>
      </c>
      <c r="DA104" s="399">
        <v>0</v>
      </c>
      <c r="DB104" s="399">
        <v>0</v>
      </c>
      <c r="DC104" s="399">
        <v>224.22466892666307</v>
      </c>
      <c r="DD104" s="399">
        <v>0</v>
      </c>
      <c r="DE104" s="399">
        <v>0</v>
      </c>
      <c r="DF104" s="399">
        <v>0</v>
      </c>
      <c r="DG104" s="399">
        <v>25.086893565768605</v>
      </c>
      <c r="DH104" s="399">
        <v>0</v>
      </c>
      <c r="DI104" s="399">
        <v>0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</v>
      </c>
      <c r="DP104" s="399">
        <v>-6.7414121712322981</v>
      </c>
      <c r="DQ104" s="399">
        <v>0</v>
      </c>
      <c r="DR104" s="399">
        <v>0</v>
      </c>
      <c r="DS104" s="399"/>
      <c r="DT104" s="399"/>
      <c r="DU104" s="399"/>
      <c r="DV104" s="399">
        <v>12743.909557753286</v>
      </c>
      <c r="DW104" s="399">
        <v>0</v>
      </c>
      <c r="DX104" s="399">
        <v>0</v>
      </c>
      <c r="DY104" s="399">
        <v>-391.63920000000144</v>
      </c>
      <c r="DZ104" s="399">
        <v>224.23264000000017</v>
      </c>
      <c r="EA104" s="399">
        <v>0</v>
      </c>
      <c r="EB104" s="399">
        <v>0</v>
      </c>
      <c r="EC104" s="399">
        <v>-573.95039234313481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225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8" customFormat="1">
      <c r="A105" s="399">
        <v>103</v>
      </c>
      <c r="B105" s="399" t="s">
        <v>2359</v>
      </c>
      <c r="C105" s="399" t="s">
        <v>2357</v>
      </c>
      <c r="D105" s="399" t="s">
        <v>1823</v>
      </c>
      <c r="E105" s="399" t="s">
        <v>890</v>
      </c>
      <c r="F105" s="399" t="s">
        <v>2363</v>
      </c>
      <c r="G105" s="399" t="s">
        <v>1240</v>
      </c>
      <c r="H105" s="399" t="s">
        <v>1240</v>
      </c>
      <c r="I105" s="399" t="s">
        <v>1240</v>
      </c>
      <c r="J105" s="399" t="s">
        <v>2358</v>
      </c>
      <c r="K105" s="789">
        <v>44501</v>
      </c>
      <c r="L105" s="399">
        <v>0</v>
      </c>
      <c r="M105" s="399">
        <v>0</v>
      </c>
      <c r="N105" s="399">
        <v>-0.12</v>
      </c>
      <c r="O105" s="399">
        <v>-0.12</v>
      </c>
      <c r="P105" s="399">
        <v>-0.12</v>
      </c>
      <c r="Q105" s="399">
        <v>-0.12</v>
      </c>
      <c r="R105" s="399"/>
      <c r="S105" s="399">
        <v>451.48</v>
      </c>
      <c r="T105" s="399">
        <v>144.41999999999999</v>
      </c>
      <c r="U105" s="399"/>
      <c r="V105" s="399">
        <v>-71.507999999999996</v>
      </c>
      <c r="W105" s="399">
        <v>-71.507999999999996</v>
      </c>
      <c r="X105" s="399">
        <v>-70.984799999999993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-12.235638415279439</v>
      </c>
      <c r="AE105" s="399">
        <v>-39.828866208209035</v>
      </c>
      <c r="AF105" s="399">
        <v>-17.330618835658317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-0.17458262282513878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-1.9389989167575239</v>
      </c>
      <c r="BH105" s="399">
        <v>0</v>
      </c>
      <c r="BI105" s="399">
        <v>0</v>
      </c>
      <c r="BJ105" s="399">
        <v>0</v>
      </c>
      <c r="BK105" s="399">
        <v>-14.21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>
        <v>-7.0979999999999972</v>
      </c>
      <c r="BU105" s="399"/>
      <c r="BV105" s="399">
        <v>-19.26961775241584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-63.886799999999994</v>
      </c>
      <c r="CJ105" s="399">
        <v>0.441599999999994</v>
      </c>
      <c r="CK105" s="399"/>
      <c r="CL105" s="399"/>
      <c r="CM105" s="399"/>
      <c r="CN105" s="399"/>
      <c r="CO105" s="399">
        <v>1.2240000000000053</v>
      </c>
      <c r="CP105" s="399">
        <v>-0.70080000000000042</v>
      </c>
      <c r="CQ105" s="399">
        <v>30</v>
      </c>
      <c r="CR105" s="399">
        <v>-1.2701886952059276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-0.51207800558868044</v>
      </c>
      <c r="DA105" s="399">
        <v>0</v>
      </c>
      <c r="DB105" s="399">
        <v>0</v>
      </c>
      <c r="DC105" s="399">
        <v>-0.70077508780080322</v>
      </c>
      <c r="DD105" s="399">
        <v>0</v>
      </c>
      <c r="DE105" s="399">
        <v>0</v>
      </c>
      <c r="DF105" s="399">
        <v>0</v>
      </c>
      <c r="DG105" s="399">
        <v>-7.8404709550272234E-2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2.10691077338232E-2</v>
      </c>
      <c r="DQ105" s="399">
        <v>0</v>
      </c>
      <c r="DR105" s="399">
        <v>0</v>
      </c>
      <c r="DS105" s="399"/>
      <c r="DT105" s="399"/>
      <c r="DU105" s="399"/>
      <c r="DV105" s="399">
        <v>-39.828866208209035</v>
      </c>
      <c r="DW105" s="399">
        <v>0</v>
      </c>
      <c r="DX105" s="399">
        <v>0</v>
      </c>
      <c r="DY105" s="399">
        <v>1.2240000000000038</v>
      </c>
      <c r="DZ105" s="399">
        <v>-0.70080000000000098</v>
      </c>
      <c r="EA105" s="399">
        <v>0</v>
      </c>
      <c r="EB105" s="399">
        <v>0</v>
      </c>
      <c r="EC105" s="399">
        <v>1.7937818283460771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225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8" customFormat="1">
      <c r="A106" s="399">
        <v>104</v>
      </c>
      <c r="B106" s="399" t="s">
        <v>957</v>
      </c>
      <c r="C106" s="399" t="s">
        <v>2357</v>
      </c>
      <c r="D106" s="399" t="s">
        <v>1823</v>
      </c>
      <c r="E106" s="399" t="s">
        <v>890</v>
      </c>
      <c r="F106" s="399" t="s">
        <v>2364</v>
      </c>
      <c r="G106" s="399" t="s">
        <v>1240</v>
      </c>
      <c r="H106" s="399" t="s">
        <v>1240</v>
      </c>
      <c r="I106" s="399" t="s">
        <v>1240</v>
      </c>
      <c r="J106" s="399" t="s">
        <v>2358</v>
      </c>
      <c r="K106" s="789">
        <v>44501</v>
      </c>
      <c r="L106" s="399">
        <v>0</v>
      </c>
      <c r="M106" s="399">
        <v>0</v>
      </c>
      <c r="N106" s="399">
        <v>15.231999999999999</v>
      </c>
      <c r="O106" s="399">
        <v>15.231999999999999</v>
      </c>
      <c r="P106" s="399">
        <v>15.231999999999999</v>
      </c>
      <c r="Q106" s="399">
        <v>15.231999999999999</v>
      </c>
      <c r="R106" s="399"/>
      <c r="S106" s="399">
        <v>451.48</v>
      </c>
      <c r="T106" s="399">
        <v>144.41999999999999</v>
      </c>
      <c r="U106" s="399"/>
      <c r="V106" s="399">
        <v>9076.7487999999994</v>
      </c>
      <c r="W106" s="399">
        <v>9076.7487999999994</v>
      </c>
      <c r="X106" s="399">
        <v>9010.3372799999997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1553.1103695128036</v>
      </c>
      <c r="AE106" s="399">
        <v>5055.610750695334</v>
      </c>
      <c r="AF106" s="399">
        <v>2199.8332175395626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22.160354257270949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246.12359583375505</v>
      </c>
      <c r="BH106" s="399">
        <v>0</v>
      </c>
      <c r="BI106" s="399">
        <v>1.74</v>
      </c>
      <c r="BJ106" s="399">
        <v>8.34</v>
      </c>
      <c r="BK106" s="399">
        <v>3055.82</v>
      </c>
      <c r="BL106" s="399">
        <v>183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2445.9568133733178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9009.154199999999</v>
      </c>
      <c r="CJ106" s="399">
        <v>-67.62460000000101</v>
      </c>
      <c r="CK106" s="399"/>
      <c r="CL106" s="399"/>
      <c r="CM106" s="399"/>
      <c r="CN106" s="399"/>
      <c r="CO106" s="399">
        <v>-155.36640000000068</v>
      </c>
      <c r="CP106" s="399">
        <v>88.954880000000045</v>
      </c>
      <c r="CQ106" s="399">
        <v>30</v>
      </c>
      <c r="CR106" s="399">
        <v>161.22928504480569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64.999768176056477</v>
      </c>
      <c r="DA106" s="399">
        <v>0</v>
      </c>
      <c r="DB106" s="399">
        <v>0</v>
      </c>
      <c r="DC106" s="399">
        <v>88.951717811515209</v>
      </c>
      <c r="DD106" s="399">
        <v>0</v>
      </c>
      <c r="DE106" s="399">
        <v>0</v>
      </c>
      <c r="DF106" s="399">
        <v>0</v>
      </c>
      <c r="DG106" s="399">
        <v>9.9521711322478552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-2.6743720750132915</v>
      </c>
      <c r="DQ106" s="399">
        <v>0</v>
      </c>
      <c r="DR106" s="399">
        <v>0</v>
      </c>
      <c r="DS106" s="399"/>
      <c r="DT106" s="399"/>
      <c r="DU106" s="399"/>
      <c r="DV106" s="399">
        <v>5055.610750695334</v>
      </c>
      <c r="DW106" s="399">
        <v>0</v>
      </c>
      <c r="DX106" s="399">
        <v>0</v>
      </c>
      <c r="DY106" s="399">
        <v>-155.36640000000079</v>
      </c>
      <c r="DZ106" s="399">
        <v>88.95488000000023</v>
      </c>
      <c r="EA106" s="399">
        <v>0</v>
      </c>
      <c r="EB106" s="399">
        <v>0</v>
      </c>
      <c r="EC106" s="399">
        <v>-227.69070674472914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225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8" customFormat="1">
      <c r="A107" s="399">
        <v>105</v>
      </c>
      <c r="B107" s="399" t="s">
        <v>2359</v>
      </c>
      <c r="C107" s="399" t="s">
        <v>2357</v>
      </c>
      <c r="D107" s="399" t="s">
        <v>1823</v>
      </c>
      <c r="E107" s="399" t="s">
        <v>890</v>
      </c>
      <c r="F107" s="399" t="s">
        <v>2364</v>
      </c>
      <c r="G107" s="399" t="s">
        <v>1240</v>
      </c>
      <c r="H107" s="399" t="s">
        <v>1240</v>
      </c>
      <c r="I107" s="399" t="s">
        <v>1240</v>
      </c>
      <c r="J107" s="399" t="s">
        <v>2358</v>
      </c>
      <c r="K107" s="789">
        <v>44501</v>
      </c>
      <c r="L107" s="399">
        <v>0</v>
      </c>
      <c r="M107" s="399">
        <v>0</v>
      </c>
      <c r="N107" s="399">
        <v>-1.2809999999999999</v>
      </c>
      <c r="O107" s="399">
        <v>-1.2809999999999999</v>
      </c>
      <c r="P107" s="399">
        <v>-1.2809999999999999</v>
      </c>
      <c r="Q107" s="399">
        <v>-1.2809999999999999</v>
      </c>
      <c r="R107" s="399"/>
      <c r="S107" s="399">
        <v>451.48</v>
      </c>
      <c r="T107" s="399">
        <v>144.41999999999999</v>
      </c>
      <c r="U107" s="399"/>
      <c r="V107" s="399">
        <v>-763.34789999999998</v>
      </c>
      <c r="W107" s="399">
        <v>-763.34789999999998</v>
      </c>
      <c r="X107" s="399">
        <v>-757.76273999999989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-130.61544008310801</v>
      </c>
      <c r="AE107" s="399">
        <v>-425.17314677263147</v>
      </c>
      <c r="AF107" s="399">
        <v>-185.00435607065253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-1.8636694986583564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-20.698813436386569</v>
      </c>
      <c r="BH107" s="399">
        <v>0</v>
      </c>
      <c r="BI107" s="399">
        <v>0</v>
      </c>
      <c r="BJ107" s="399">
        <v>0</v>
      </c>
      <c r="BK107" s="399">
        <v>-249.06</v>
      </c>
      <c r="BL107" s="399">
        <v>0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-205.70316950703909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-757.1712</v>
      </c>
      <c r="CJ107" s="399">
        <v>6.1467000000000098</v>
      </c>
      <c r="CK107" s="399"/>
      <c r="CL107" s="399"/>
      <c r="CM107" s="399"/>
      <c r="CN107" s="399"/>
      <c r="CO107" s="399">
        <v>13.066200000000057</v>
      </c>
      <c r="CP107" s="399">
        <v>-7.4810400000000037</v>
      </c>
      <c r="CQ107" s="399">
        <v>30</v>
      </c>
      <c r="CR107" s="399">
        <v>-13.559264321323326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-5.4664327096591592</v>
      </c>
      <c r="DA107" s="399">
        <v>0</v>
      </c>
      <c r="DB107" s="399">
        <v>0</v>
      </c>
      <c r="DC107" s="399">
        <v>-7.4807740622735821</v>
      </c>
      <c r="DD107" s="399">
        <v>0</v>
      </c>
      <c r="DE107" s="399">
        <v>0</v>
      </c>
      <c r="DF107" s="399">
        <v>0</v>
      </c>
      <c r="DG107" s="399">
        <v>-0.83697027444915051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0.22491272505856252</v>
      </c>
      <c r="DQ107" s="399">
        <v>0</v>
      </c>
      <c r="DR107" s="399">
        <v>0</v>
      </c>
      <c r="DS107" s="399"/>
      <c r="DT107" s="399"/>
      <c r="DU107" s="399"/>
      <c r="DV107" s="399">
        <v>-425.17314677263147</v>
      </c>
      <c r="DW107" s="399">
        <v>0</v>
      </c>
      <c r="DX107" s="399">
        <v>0</v>
      </c>
      <c r="DY107" s="399">
        <v>13.066199999999981</v>
      </c>
      <c r="DZ107" s="399">
        <v>-7.4810400000000072</v>
      </c>
      <c r="EA107" s="399">
        <v>0</v>
      </c>
      <c r="EB107" s="399">
        <v>0</v>
      </c>
      <c r="EC107" s="399">
        <v>19.148621017594394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225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8" customFormat="1">
      <c r="A108" s="399">
        <v>106</v>
      </c>
      <c r="B108" s="399" t="s">
        <v>957</v>
      </c>
      <c r="C108" s="399" t="s">
        <v>2357</v>
      </c>
      <c r="D108" s="399" t="s">
        <v>1826</v>
      </c>
      <c r="E108" s="399" t="s">
        <v>891</v>
      </c>
      <c r="F108" s="399" t="s">
        <v>1240</v>
      </c>
      <c r="G108" s="399" t="s">
        <v>1240</v>
      </c>
      <c r="H108" s="399" t="s">
        <v>1240</v>
      </c>
      <c r="I108" s="399" t="s">
        <v>1240</v>
      </c>
      <c r="J108" s="399" t="s">
        <v>2358</v>
      </c>
      <c r="K108" s="789">
        <v>44501</v>
      </c>
      <c r="L108" s="399">
        <v>0</v>
      </c>
      <c r="M108" s="399">
        <v>0</v>
      </c>
      <c r="N108" s="399">
        <v>330.74299999999999</v>
      </c>
      <c r="O108" s="399">
        <v>330.74299999999999</v>
      </c>
      <c r="P108" s="399">
        <v>330.74299999999999</v>
      </c>
      <c r="Q108" s="399">
        <v>330.74299999999999</v>
      </c>
      <c r="R108" s="399"/>
      <c r="S108" s="399">
        <v>522.37</v>
      </c>
      <c r="T108" s="399">
        <v>144.41999999999999</v>
      </c>
      <c r="U108" s="399"/>
      <c r="V108" s="399">
        <v>220536.12497</v>
      </c>
      <c r="W108" s="399">
        <v>220536.12497</v>
      </c>
      <c r="X108" s="399">
        <v>215558.44282</v>
      </c>
      <c r="Y108" s="399">
        <v>0</v>
      </c>
      <c r="Z108" s="399">
        <v>20307.942818323405</v>
      </c>
      <c r="AA108" s="399">
        <v>0</v>
      </c>
      <c r="AB108" s="399">
        <v>0</v>
      </c>
      <c r="AC108" s="399">
        <v>0</v>
      </c>
      <c r="AD108" s="399">
        <v>33723.76463653973</v>
      </c>
      <c r="AE108" s="399">
        <v>109775.98913584735</v>
      </c>
      <c r="AF108" s="399">
        <v>47766.507213017823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3136.3550529314903</v>
      </c>
      <c r="AM108" s="399"/>
      <c r="AN108" s="399">
        <v>481.18317017545735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5344.2526560427814</v>
      </c>
      <c r="BH108" s="399">
        <v>0</v>
      </c>
      <c r="BI108" s="399">
        <v>30.3</v>
      </c>
      <c r="BJ108" s="399">
        <v>142.05000000000001</v>
      </c>
      <c r="BK108" s="399">
        <v>79852.91</v>
      </c>
      <c r="BL108" s="399">
        <v>553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53110.759869060603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215556.48759999999</v>
      </c>
      <c r="CJ108" s="399">
        <v>-4979.6673700000392</v>
      </c>
      <c r="CK108" s="399"/>
      <c r="CL108" s="399"/>
      <c r="CM108" s="399"/>
      <c r="CN108" s="399"/>
      <c r="CO108" s="399">
        <v>-6909.2212699999955</v>
      </c>
      <c r="CP108" s="399">
        <v>1931.539120000001</v>
      </c>
      <c r="CQ108" s="399">
        <v>30</v>
      </c>
      <c r="CR108" s="399">
        <v>-31.744301519967848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1411.3851316868095</v>
      </c>
      <c r="DA108" s="399">
        <v>0</v>
      </c>
      <c r="DB108" s="399">
        <v>0</v>
      </c>
      <c r="DC108" s="399">
        <v>1931.470457204181</v>
      </c>
      <c r="DD108" s="399">
        <v>0</v>
      </c>
      <c r="DE108" s="399">
        <v>0</v>
      </c>
      <c r="DF108" s="399">
        <v>0</v>
      </c>
      <c r="DG108" s="399">
        <v>216.09840708988031</v>
      </c>
      <c r="DH108" s="399">
        <v>0</v>
      </c>
      <c r="DI108" s="399">
        <v>-3119.9318997240989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-412.69589861667373</v>
      </c>
      <c r="DP108" s="399">
        <v>-58.070499160065765</v>
      </c>
      <c r="DQ108" s="399">
        <v>0</v>
      </c>
      <c r="DR108" s="399">
        <v>0</v>
      </c>
      <c r="DS108" s="399"/>
      <c r="DT108" s="399"/>
      <c r="DU108" s="399"/>
      <c r="DV108" s="399">
        <v>109775.98913584735</v>
      </c>
      <c r="DW108" s="399">
        <v>0</v>
      </c>
      <c r="DX108" s="399">
        <v>0</v>
      </c>
      <c r="DY108" s="399">
        <v>-6909.2212700000091</v>
      </c>
      <c r="DZ108" s="399">
        <v>1931.5391200000013</v>
      </c>
      <c r="EA108" s="399">
        <v>0</v>
      </c>
      <c r="EB108" s="399">
        <v>0</v>
      </c>
      <c r="EC108" s="399">
        <v>-4944.0065271055646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225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8" customFormat="1">
      <c r="A109" s="399">
        <v>107</v>
      </c>
      <c r="B109" s="399" t="s">
        <v>2359</v>
      </c>
      <c r="C109" s="399" t="s">
        <v>2357</v>
      </c>
      <c r="D109" s="399" t="s">
        <v>1826</v>
      </c>
      <c r="E109" s="399" t="s">
        <v>891</v>
      </c>
      <c r="F109" s="399" t="s">
        <v>1240</v>
      </c>
      <c r="G109" s="399" t="s">
        <v>1240</v>
      </c>
      <c r="H109" s="399" t="s">
        <v>1240</v>
      </c>
      <c r="I109" s="399" t="s">
        <v>1240</v>
      </c>
      <c r="J109" s="399" t="s">
        <v>2358</v>
      </c>
      <c r="K109" s="789">
        <v>44501</v>
      </c>
      <c r="L109" s="399">
        <v>0</v>
      </c>
      <c r="M109" s="399">
        <v>0</v>
      </c>
      <c r="N109" s="399">
        <v>4.492</v>
      </c>
      <c r="O109" s="399">
        <v>4.492</v>
      </c>
      <c r="P109" s="399">
        <v>4.492</v>
      </c>
      <c r="Q109" s="399">
        <v>4.492</v>
      </c>
      <c r="R109" s="399"/>
      <c r="S109" s="399">
        <v>522.37</v>
      </c>
      <c r="T109" s="399">
        <v>144.41999999999999</v>
      </c>
      <c r="U109" s="399"/>
      <c r="V109" s="399">
        <v>2995.2206800000004</v>
      </c>
      <c r="W109" s="399">
        <v>2995.2206800000004</v>
      </c>
      <c r="X109" s="399">
        <v>2927.6160800000002</v>
      </c>
      <c r="Y109" s="399">
        <v>0</v>
      </c>
      <c r="Z109" s="399">
        <v>275.81318165436227</v>
      </c>
      <c r="AA109" s="399">
        <v>0</v>
      </c>
      <c r="AB109" s="399">
        <v>0</v>
      </c>
      <c r="AC109" s="399">
        <v>0</v>
      </c>
      <c r="AD109" s="399">
        <v>458.02073134529371</v>
      </c>
      <c r="AE109" s="399">
        <v>1490.927225060625</v>
      </c>
      <c r="AF109" s="399">
        <v>648.74283174814309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42.596538393157992</v>
      </c>
      <c r="AM109" s="399"/>
      <c r="AN109" s="399">
        <v>6.5352095144210285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72.583192783956648</v>
      </c>
      <c r="BH109" s="399">
        <v>0</v>
      </c>
      <c r="BI109" s="399">
        <v>-1.95</v>
      </c>
      <c r="BJ109" s="399">
        <v>-9.08</v>
      </c>
      <c r="BK109" s="399">
        <v>1082.6099999999999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721.32602453209972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2926.3126000000002</v>
      </c>
      <c r="CJ109" s="399">
        <v>-68.938080000000809</v>
      </c>
      <c r="CK109" s="399"/>
      <c r="CL109" s="399"/>
      <c r="CM109" s="399"/>
      <c r="CN109" s="399"/>
      <c r="CO109" s="399">
        <v>-93.837879999999942</v>
      </c>
      <c r="CP109" s="399">
        <v>26.233280000000015</v>
      </c>
      <c r="CQ109" s="399">
        <v>30</v>
      </c>
      <c r="CR109" s="399">
        <v>-0.43113656956529667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19.168786675869569</v>
      </c>
      <c r="DA109" s="399">
        <v>0</v>
      </c>
      <c r="DB109" s="399">
        <v>0</v>
      </c>
      <c r="DC109" s="399">
        <v>26.232347453343323</v>
      </c>
      <c r="DD109" s="399">
        <v>0</v>
      </c>
      <c r="DE109" s="399">
        <v>0</v>
      </c>
      <c r="DF109" s="399">
        <v>0</v>
      </c>
      <c r="DG109" s="399">
        <v>2.9349496274985114</v>
      </c>
      <c r="DH109" s="399">
        <v>0</v>
      </c>
      <c r="DI109" s="399">
        <v>-42.373486645403403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-5.6050467480372888</v>
      </c>
      <c r="DP109" s="399">
        <v>-0.78868693283611435</v>
      </c>
      <c r="DQ109" s="399">
        <v>0</v>
      </c>
      <c r="DR109" s="399">
        <v>0</v>
      </c>
      <c r="DS109" s="399"/>
      <c r="DT109" s="399"/>
      <c r="DU109" s="399"/>
      <c r="DV109" s="399">
        <v>1490.927225060625</v>
      </c>
      <c r="DW109" s="399">
        <v>0</v>
      </c>
      <c r="DX109" s="399">
        <v>0</v>
      </c>
      <c r="DY109" s="399">
        <v>-93.837880000000041</v>
      </c>
      <c r="DZ109" s="399">
        <v>26.233280000000036</v>
      </c>
      <c r="EA109" s="399">
        <v>0</v>
      </c>
      <c r="EB109" s="399">
        <v>0</v>
      </c>
      <c r="EC109" s="399">
        <v>-67.147233107755028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225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8" customFormat="1">
      <c r="A110" s="399">
        <v>108</v>
      </c>
      <c r="B110" s="399" t="s">
        <v>2360</v>
      </c>
      <c r="C110" s="399" t="s">
        <v>2357</v>
      </c>
      <c r="D110" s="399" t="s">
        <v>1826</v>
      </c>
      <c r="E110" s="399" t="s">
        <v>891</v>
      </c>
      <c r="F110" s="399" t="s">
        <v>1240</v>
      </c>
      <c r="G110" s="399" t="s">
        <v>1240</v>
      </c>
      <c r="H110" s="399" t="s">
        <v>1240</v>
      </c>
      <c r="I110" s="399" t="s">
        <v>1240</v>
      </c>
      <c r="J110" s="399" t="s">
        <v>2358</v>
      </c>
      <c r="K110" s="789">
        <v>44501</v>
      </c>
      <c r="L110" s="399">
        <v>0</v>
      </c>
      <c r="M110" s="399">
        <v>0</v>
      </c>
      <c r="N110" s="399">
        <v>7.4939999999999998</v>
      </c>
      <c r="O110" s="399">
        <v>7.4939999999999998</v>
      </c>
      <c r="P110" s="399">
        <v>7.4939999999999998</v>
      </c>
      <c r="Q110" s="399">
        <v>7.4939999999999998</v>
      </c>
      <c r="R110" s="399"/>
      <c r="S110" s="399">
        <v>522.37</v>
      </c>
      <c r="T110" s="399">
        <v>144.41999999999999</v>
      </c>
      <c r="U110" s="399"/>
      <c r="V110" s="399">
        <v>4996.9242599999998</v>
      </c>
      <c r="W110" s="399">
        <v>4996.9242599999998</v>
      </c>
      <c r="X110" s="399">
        <v>4884.1395599999996</v>
      </c>
      <c r="Y110" s="399">
        <v>0</v>
      </c>
      <c r="Z110" s="399">
        <v>460.138909910461</v>
      </c>
      <c r="AA110" s="399">
        <v>0</v>
      </c>
      <c r="AB110" s="399">
        <v>0</v>
      </c>
      <c r="AC110" s="399">
        <v>0</v>
      </c>
      <c r="AD110" s="399">
        <v>764.11561903420102</v>
      </c>
      <c r="AE110" s="399">
        <v>2487.3126947026544</v>
      </c>
      <c r="AF110" s="399">
        <v>1082.297146286862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71.06377086338513</v>
      </c>
      <c r="AM110" s="399"/>
      <c r="AN110" s="399">
        <v>10.902684795429918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121.09048235150738</v>
      </c>
      <c r="BH110" s="399">
        <v>0</v>
      </c>
      <c r="BI110" s="399">
        <v>0</v>
      </c>
      <c r="BJ110" s="399">
        <v>0</v>
      </c>
      <c r="BK110" s="399">
        <v>4360.93</v>
      </c>
      <c r="BL110" s="399">
        <v>8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1203.3876286383693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4881.5326000000005</v>
      </c>
      <c r="CJ110" s="399">
        <v>-115.42165999999997</v>
      </c>
      <c r="CK110" s="399"/>
      <c r="CL110" s="399"/>
      <c r="CM110" s="399"/>
      <c r="CN110" s="399"/>
      <c r="CO110" s="399">
        <v>-156.5496599999999</v>
      </c>
      <c r="CP110" s="399">
        <v>43.764960000000023</v>
      </c>
      <c r="CQ110" s="399">
        <v>30</v>
      </c>
      <c r="CR110" s="399">
        <v>-0.71926479348303474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31.979271449013027</v>
      </c>
      <c r="DA110" s="399">
        <v>0</v>
      </c>
      <c r="DB110" s="399">
        <v>0</v>
      </c>
      <c r="DC110" s="399">
        <v>43.763404233160145</v>
      </c>
      <c r="DD110" s="399">
        <v>0</v>
      </c>
      <c r="DE110" s="399">
        <v>0</v>
      </c>
      <c r="DF110" s="399">
        <v>0</v>
      </c>
      <c r="DG110" s="399">
        <v>4.8963741114144739</v>
      </c>
      <c r="DH110" s="399">
        <v>0</v>
      </c>
      <c r="DI110" s="399">
        <v>-70.691653811365313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-9.3508949977273943</v>
      </c>
      <c r="DP110" s="399">
        <v>-1.3157657779772602</v>
      </c>
      <c r="DQ110" s="399">
        <v>0</v>
      </c>
      <c r="DR110" s="399">
        <v>0</v>
      </c>
      <c r="DS110" s="399"/>
      <c r="DT110" s="399"/>
      <c r="DU110" s="399"/>
      <c r="DV110" s="399">
        <v>2487.3126947026544</v>
      </c>
      <c r="DW110" s="399">
        <v>0</v>
      </c>
      <c r="DX110" s="399">
        <v>0</v>
      </c>
      <c r="DY110" s="399">
        <v>-156.54965999999968</v>
      </c>
      <c r="DZ110" s="399">
        <v>43.764959999999974</v>
      </c>
      <c r="EA110" s="399">
        <v>0</v>
      </c>
      <c r="EB110" s="399">
        <v>0</v>
      </c>
      <c r="EC110" s="399">
        <v>-112.0216751802127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225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8" customFormat="1">
      <c r="A111" s="399">
        <v>109</v>
      </c>
      <c r="B111" s="399" t="s">
        <v>957</v>
      </c>
      <c r="C111" s="399" t="s">
        <v>2365</v>
      </c>
      <c r="D111" s="399" t="s">
        <v>534</v>
      </c>
      <c r="E111" s="399" t="s">
        <v>891</v>
      </c>
      <c r="F111" s="399" t="s">
        <v>1240</v>
      </c>
      <c r="G111" s="399" t="s">
        <v>1240</v>
      </c>
      <c r="H111" s="399" t="s">
        <v>1240</v>
      </c>
      <c r="I111" s="399" t="s">
        <v>894</v>
      </c>
      <c r="J111" s="399" t="s">
        <v>2358</v>
      </c>
      <c r="K111" s="789">
        <v>44501</v>
      </c>
      <c r="L111" s="399">
        <v>1239</v>
      </c>
      <c r="M111" s="399">
        <v>1239</v>
      </c>
      <c r="N111" s="399">
        <v>66.686000000000007</v>
      </c>
      <c r="O111" s="399">
        <v>66.686000000000007</v>
      </c>
      <c r="P111" s="399">
        <v>66.686000000000007</v>
      </c>
      <c r="Q111" s="399">
        <v>66.686000000000007</v>
      </c>
      <c r="R111" s="399">
        <v>111</v>
      </c>
      <c r="S111" s="399">
        <v>69.64</v>
      </c>
      <c r="T111" s="399">
        <v>144.41999999999999</v>
      </c>
      <c r="U111" s="399">
        <v>137529</v>
      </c>
      <c r="V111" s="399">
        <v>14274.80516</v>
      </c>
      <c r="W111" s="399">
        <v>151803.80515999999</v>
      </c>
      <c r="X111" s="399">
        <v>148738.42903999999</v>
      </c>
      <c r="Y111" s="399">
        <v>0</v>
      </c>
      <c r="Z111" s="399">
        <v>3562.2893396412383</v>
      </c>
      <c r="AA111" s="399">
        <v>0</v>
      </c>
      <c r="AB111" s="399">
        <v>0</v>
      </c>
      <c r="AC111" s="399">
        <v>0</v>
      </c>
      <c r="AD111" s="399">
        <v>38712.939984121993</v>
      </c>
      <c r="AE111" s="399">
        <v>98811.582338575347</v>
      </c>
      <c r="AF111" s="399">
        <v>9630.9137306225894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632.36704347420618</v>
      </c>
      <c r="AM111" s="399"/>
      <c r="AN111" s="399">
        <v>33.188635477276172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416.0274393351678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10046.941169957758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148739.27160000001</v>
      </c>
      <c r="CJ111" s="399">
        <v>-3064.5635600000096</v>
      </c>
      <c r="CK111" s="399"/>
      <c r="CL111" s="399"/>
      <c r="CM111" s="399"/>
      <c r="CN111" s="399"/>
      <c r="CO111" s="399">
        <v>-3454.8223600000074</v>
      </c>
      <c r="CP111" s="399">
        <v>389.44624000000027</v>
      </c>
      <c r="CQ111" s="399">
        <v>30</v>
      </c>
      <c r="CR111" s="399">
        <v>1391.9500877035389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1620.1888634421994</v>
      </c>
      <c r="DA111" s="399">
        <v>0</v>
      </c>
      <c r="DB111" s="399">
        <v>0</v>
      </c>
      <c r="DC111" s="399">
        <v>389.43239587570315</v>
      </c>
      <c r="DD111" s="399">
        <v>0</v>
      </c>
      <c r="DE111" s="399">
        <v>0</v>
      </c>
      <c r="DF111" s="399">
        <v>0</v>
      </c>
      <c r="DG111" s="399">
        <v>16.822345935376802</v>
      </c>
      <c r="DH111" s="399">
        <v>0</v>
      </c>
      <c r="DI111" s="399">
        <v>-547.27848341023218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-83.209738966966825</v>
      </c>
      <c r="DP111" s="399">
        <v>-4.0052951725310315</v>
      </c>
      <c r="DQ111" s="399">
        <v>0</v>
      </c>
      <c r="DR111" s="399">
        <v>0</v>
      </c>
      <c r="DS111" s="399"/>
      <c r="DT111" s="399"/>
      <c r="DU111" s="399">
        <v>98811.582338575347</v>
      </c>
      <c r="DV111" s="399">
        <v>0</v>
      </c>
      <c r="DW111" s="399">
        <v>0</v>
      </c>
      <c r="DX111" s="399">
        <v>0</v>
      </c>
      <c r="DY111" s="399">
        <v>-3454.822359999991</v>
      </c>
      <c r="DZ111" s="399">
        <v>389.44624000000113</v>
      </c>
      <c r="EA111" s="399">
        <v>0</v>
      </c>
      <c r="EB111" s="399">
        <v>0</v>
      </c>
      <c r="EC111" s="399">
        <v>-4450.2000107785425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225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8" customFormat="1">
      <c r="A112" s="399">
        <v>110</v>
      </c>
      <c r="B112" s="399" t="s">
        <v>957</v>
      </c>
      <c r="C112" s="399" t="s">
        <v>2365</v>
      </c>
      <c r="D112" s="399" t="s">
        <v>534</v>
      </c>
      <c r="E112" s="399" t="s">
        <v>891</v>
      </c>
      <c r="F112" s="399" t="s">
        <v>1240</v>
      </c>
      <c r="G112" s="399" t="s">
        <v>1240</v>
      </c>
      <c r="H112" s="399" t="s">
        <v>1240</v>
      </c>
      <c r="I112" s="399" t="s">
        <v>2328</v>
      </c>
      <c r="J112" s="399" t="s">
        <v>2358</v>
      </c>
      <c r="K112" s="789">
        <v>44501</v>
      </c>
      <c r="L112" s="399">
        <v>3686</v>
      </c>
      <c r="M112" s="399">
        <v>3686</v>
      </c>
      <c r="N112" s="399">
        <v>1584.982</v>
      </c>
      <c r="O112" s="399">
        <v>1584.982</v>
      </c>
      <c r="P112" s="399">
        <v>1584.982</v>
      </c>
      <c r="Q112" s="399">
        <v>1584.982</v>
      </c>
      <c r="R112" s="399">
        <v>34.950000000000003</v>
      </c>
      <c r="S112" s="399">
        <v>69.64</v>
      </c>
      <c r="T112" s="399">
        <v>144.41999999999999</v>
      </c>
      <c r="U112" s="399">
        <v>128825.70000000001</v>
      </c>
      <c r="V112" s="399">
        <v>339281.24691999995</v>
      </c>
      <c r="W112" s="399">
        <v>468106.94692000002</v>
      </c>
      <c r="X112" s="399">
        <v>460953.88847999997</v>
      </c>
      <c r="Y112" s="399">
        <v>0</v>
      </c>
      <c r="Z112" s="399">
        <v>84667.913536923021</v>
      </c>
      <c r="AA112" s="399">
        <v>0</v>
      </c>
      <c r="AB112" s="399">
        <v>0</v>
      </c>
      <c r="AC112" s="399">
        <v>0</v>
      </c>
      <c r="AD112" s="399">
        <v>46700.807279156783</v>
      </c>
      <c r="AE112" s="399">
        <v>82141.802260698911</v>
      </c>
      <c r="AF112" s="399">
        <v>228905.99086149494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15029.997020361607</v>
      </c>
      <c r="AM112" s="399"/>
      <c r="AN112" s="399">
        <v>788.82208913481293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9888.0725017594832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238794.06336325442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460953.46719999996</v>
      </c>
      <c r="CJ112" s="399">
        <v>-7153.5097200000891</v>
      </c>
      <c r="CK112" s="399"/>
      <c r="CL112" s="399"/>
      <c r="CM112" s="399"/>
      <c r="CN112" s="399"/>
      <c r="CO112" s="399">
        <v>-16409.353320000017</v>
      </c>
      <c r="CP112" s="399">
        <v>9256.2948800000049</v>
      </c>
      <c r="CQ112" s="399">
        <v>30</v>
      </c>
      <c r="CR112" s="399">
        <v>-3470.250187225407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1954.4919062845074</v>
      </c>
      <c r="DA112" s="399">
        <v>0</v>
      </c>
      <c r="DB112" s="399">
        <v>0</v>
      </c>
      <c r="DC112" s="399">
        <v>9255.9658351057733</v>
      </c>
      <c r="DD112" s="399">
        <v>0</v>
      </c>
      <c r="DE112" s="399">
        <v>0</v>
      </c>
      <c r="DF112" s="399">
        <v>0</v>
      </c>
      <c r="DG112" s="399">
        <v>399.83078165350162</v>
      </c>
      <c r="DH112" s="399">
        <v>0</v>
      </c>
      <c r="DI112" s="399">
        <v>-13007.625966357504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-1977.7155398035702</v>
      </c>
      <c r="DP112" s="399">
        <v>-95.19720410803734</v>
      </c>
      <c r="DQ112" s="399">
        <v>0</v>
      </c>
      <c r="DR112" s="399">
        <v>0</v>
      </c>
      <c r="DS112" s="399"/>
      <c r="DT112" s="399"/>
      <c r="DU112" s="399">
        <v>82141.802260698911</v>
      </c>
      <c r="DV112" s="399">
        <v>0</v>
      </c>
      <c r="DW112" s="399">
        <v>0</v>
      </c>
      <c r="DX112" s="399">
        <v>0</v>
      </c>
      <c r="DY112" s="399">
        <v>-16409.353320000024</v>
      </c>
      <c r="DZ112" s="399">
        <v>9256.2948800000013</v>
      </c>
      <c r="EA112" s="399">
        <v>0</v>
      </c>
      <c r="EB112" s="399">
        <v>0</v>
      </c>
      <c r="EC112" s="399">
        <v>-3699.4392828702839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225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8" customFormat="1">
      <c r="A113" s="399">
        <v>111</v>
      </c>
      <c r="B113" s="399" t="s">
        <v>957</v>
      </c>
      <c r="C113" s="399" t="s">
        <v>2365</v>
      </c>
      <c r="D113" s="399" t="s">
        <v>534</v>
      </c>
      <c r="E113" s="399" t="s">
        <v>891</v>
      </c>
      <c r="F113" s="399" t="s">
        <v>1240</v>
      </c>
      <c r="G113" s="399" t="s">
        <v>1240</v>
      </c>
      <c r="H113" s="399" t="s">
        <v>1240</v>
      </c>
      <c r="I113" s="399" t="s">
        <v>1240</v>
      </c>
      <c r="J113" s="399" t="s">
        <v>2358</v>
      </c>
      <c r="K113" s="789">
        <v>44501</v>
      </c>
      <c r="L113" s="399">
        <v>0</v>
      </c>
      <c r="M113" s="399">
        <v>0</v>
      </c>
      <c r="N113" s="399">
        <v>0</v>
      </c>
      <c r="O113" s="399">
        <v>0</v>
      </c>
      <c r="P113" s="399">
        <v>0</v>
      </c>
      <c r="Q113" s="399">
        <v>0</v>
      </c>
      <c r="R113" s="399"/>
      <c r="S113" s="399"/>
      <c r="T113" s="399"/>
      <c r="U113" s="399"/>
      <c r="V113" s="399"/>
      <c r="W113" s="399"/>
      <c r="X113" s="399"/>
      <c r="Y113" s="399"/>
      <c r="Z113" s="399"/>
      <c r="AA113" s="399">
        <v>0</v>
      </c>
      <c r="AB113" s="399"/>
      <c r="AC113" s="399"/>
      <c r="AD113" s="399"/>
      <c r="AE113" s="399"/>
      <c r="AF113" s="399"/>
      <c r="AG113" s="399"/>
      <c r="AH113" s="399"/>
      <c r="AI113" s="399"/>
      <c r="AJ113" s="399"/>
      <c r="AK113" s="399"/>
      <c r="AL113" s="399"/>
      <c r="AM113" s="399"/>
      <c r="AN113" s="399"/>
      <c r="AO113" s="399"/>
      <c r="AP113" s="399"/>
      <c r="AQ113" s="399"/>
      <c r="AR113" s="399"/>
      <c r="AS113" s="399"/>
      <c r="AT113" s="399"/>
      <c r="AU113" s="399"/>
      <c r="AV113" s="399"/>
      <c r="AW113" s="399"/>
      <c r="AX113" s="399"/>
      <c r="AY113" s="399"/>
      <c r="AZ113" s="399">
        <v>0</v>
      </c>
      <c r="BA113" s="399"/>
      <c r="BB113" s="399"/>
      <c r="BC113" s="399"/>
      <c r="BD113" s="399"/>
      <c r="BE113" s="399"/>
      <c r="BF113" s="399"/>
      <c r="BG113" s="399"/>
      <c r="BH113" s="399"/>
      <c r="BI113" s="399">
        <v>0</v>
      </c>
      <c r="BJ113" s="399">
        <v>0</v>
      </c>
      <c r="BK113" s="399">
        <v>267570.94</v>
      </c>
      <c r="BL113" s="399">
        <v>2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/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/>
      <c r="CJ113" s="399">
        <v>-0.03</v>
      </c>
      <c r="CK113" s="399"/>
      <c r="CL113" s="399"/>
      <c r="CM113" s="399"/>
      <c r="CN113" s="399"/>
      <c r="CO113" s="399">
        <v>0</v>
      </c>
      <c r="CP113" s="399">
        <v>0</v>
      </c>
      <c r="CQ113" s="399">
        <v>30</v>
      </c>
      <c r="CR113" s="399"/>
      <c r="CS113" s="399"/>
      <c r="CT113" s="399"/>
      <c r="CU113" s="399"/>
      <c r="CV113" s="399"/>
      <c r="CW113" s="399"/>
      <c r="CX113" s="399"/>
      <c r="CY113" s="399"/>
      <c r="CZ113" s="399"/>
      <c r="DA113" s="399"/>
      <c r="DB113" s="399"/>
      <c r="DC113" s="399"/>
      <c r="DD113" s="399"/>
      <c r="DE113" s="399"/>
      <c r="DF113" s="399"/>
      <c r="DG113" s="399"/>
      <c r="DH113" s="399"/>
      <c r="DI113" s="399"/>
      <c r="DJ113" s="399"/>
      <c r="DK113" s="399">
        <v>0</v>
      </c>
      <c r="DL113" s="399"/>
      <c r="DM113" s="399"/>
      <c r="DN113" s="399"/>
      <c r="DO113" s="399"/>
      <c r="DP113" s="399"/>
      <c r="DQ113" s="399"/>
      <c r="DR113" s="399"/>
      <c r="DS113" s="399"/>
      <c r="DT113" s="399"/>
      <c r="DU113" s="399"/>
      <c r="DV113" s="399"/>
      <c r="DW113" s="399"/>
      <c r="DX113" s="399"/>
      <c r="DY113" s="399"/>
      <c r="DZ113" s="399"/>
      <c r="EA113" s="399"/>
      <c r="EB113" s="399"/>
      <c r="EC113" s="399"/>
      <c r="ED113" s="399"/>
      <c r="EE113" s="399"/>
      <c r="EF113" s="399"/>
      <c r="EG113" s="399"/>
      <c r="EH113" s="399"/>
      <c r="EI113" s="399"/>
      <c r="EJ113" s="399"/>
      <c r="EK113" s="399"/>
      <c r="EL113" s="399"/>
      <c r="EM113" s="399"/>
      <c r="EN113" s="399"/>
      <c r="EO113" s="399"/>
      <c r="EP113" s="399"/>
      <c r="EQ113" s="399"/>
      <c r="ER113" s="399"/>
      <c r="ES113" s="399"/>
      <c r="ET113" s="399"/>
      <c r="EU113" s="399"/>
      <c r="EV113" s="399">
        <v>225</v>
      </c>
      <c r="EW113" s="399"/>
      <c r="EX113" s="399"/>
      <c r="EY113" s="399"/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8" customFormat="1">
      <c r="A114" s="399">
        <v>112</v>
      </c>
      <c r="B114" s="399" t="s">
        <v>957</v>
      </c>
      <c r="C114" s="399" t="s">
        <v>2366</v>
      </c>
      <c r="D114" s="399" t="s">
        <v>534</v>
      </c>
      <c r="E114" s="399" t="s">
        <v>891</v>
      </c>
      <c r="F114" s="399" t="s">
        <v>1240</v>
      </c>
      <c r="G114" s="399" t="s">
        <v>1240</v>
      </c>
      <c r="H114" s="399" t="s">
        <v>1240</v>
      </c>
      <c r="I114" s="399" t="s">
        <v>894</v>
      </c>
      <c r="J114" s="399" t="s">
        <v>2358</v>
      </c>
      <c r="K114" s="789">
        <v>44501</v>
      </c>
      <c r="L114" s="399">
        <v>0</v>
      </c>
      <c r="M114" s="399">
        <v>0</v>
      </c>
      <c r="N114" s="399">
        <v>74.069999999999993</v>
      </c>
      <c r="O114" s="399">
        <v>74.069999999999993</v>
      </c>
      <c r="P114" s="399">
        <v>74.069999999999993</v>
      </c>
      <c r="Q114" s="399">
        <v>74.069999999999993</v>
      </c>
      <c r="R114" s="399"/>
      <c r="S114" s="399">
        <v>2740.31</v>
      </c>
      <c r="T114" s="399">
        <v>144.41999999999999</v>
      </c>
      <c r="U114" s="399"/>
      <c r="V114" s="399">
        <v>213671.95109999998</v>
      </c>
      <c r="W114" s="399">
        <v>213671.95109999998</v>
      </c>
      <c r="X114" s="399">
        <v>209352.92939999999</v>
      </c>
      <c r="Y114" s="399">
        <v>0</v>
      </c>
      <c r="Z114" s="399">
        <v>3956.7341179142022</v>
      </c>
      <c r="AA114" s="399">
        <v>0</v>
      </c>
      <c r="AB114" s="399">
        <v>0</v>
      </c>
      <c r="AC114" s="399">
        <v>0</v>
      </c>
      <c r="AD114" s="399">
        <v>55749.734577231655</v>
      </c>
      <c r="AE114" s="399">
        <v>142066.82041329335</v>
      </c>
      <c r="AF114" s="399">
        <v>10697.324476310096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702.38771121576406</v>
      </c>
      <c r="AM114" s="399"/>
      <c r="AN114" s="399">
        <v>36.863543019552012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462.09327942230561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11159.417755732402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209352.92939999999</v>
      </c>
      <c r="CJ114" s="399">
        <v>-4319.0517000000109</v>
      </c>
      <c r="CK114" s="399"/>
      <c r="CL114" s="399"/>
      <c r="CM114" s="399"/>
      <c r="CN114" s="399"/>
      <c r="CO114" s="399">
        <v>-4751.5905000000066</v>
      </c>
      <c r="CP114" s="399">
        <v>432.56880000000024</v>
      </c>
      <c r="CQ114" s="399">
        <v>30</v>
      </c>
      <c r="CR114" s="399">
        <v>2079.6905708580016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2333.2017444021039</v>
      </c>
      <c r="DA114" s="399">
        <v>0</v>
      </c>
      <c r="DB114" s="399">
        <v>0</v>
      </c>
      <c r="DC114" s="399">
        <v>432.5534229450459</v>
      </c>
      <c r="DD114" s="399">
        <v>0</v>
      </c>
      <c r="DE114" s="399">
        <v>0</v>
      </c>
      <c r="DF114" s="399">
        <v>0</v>
      </c>
      <c r="DG114" s="399">
        <v>18.685048787352059</v>
      </c>
      <c r="DH114" s="399">
        <v>0</v>
      </c>
      <c r="DI114" s="399">
        <v>-607.87747452532631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-92.423377699715502</v>
      </c>
      <c r="DP114" s="399">
        <v>-4.4487930514556808</v>
      </c>
      <c r="DQ114" s="399">
        <v>0</v>
      </c>
      <c r="DR114" s="399">
        <v>0</v>
      </c>
      <c r="DS114" s="399"/>
      <c r="DT114" s="399"/>
      <c r="DU114" s="399"/>
      <c r="DV114" s="399">
        <v>142066.82041329335</v>
      </c>
      <c r="DW114" s="399">
        <v>0</v>
      </c>
      <c r="DX114" s="399">
        <v>0</v>
      </c>
      <c r="DY114" s="399">
        <v>-4751.5904999999912</v>
      </c>
      <c r="DZ114" s="399">
        <v>432.56880000000092</v>
      </c>
      <c r="EA114" s="399">
        <v>0</v>
      </c>
      <c r="EB114" s="399">
        <v>0</v>
      </c>
      <c r="EC114" s="399">
        <v>-6398.2961386875832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225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8" customFormat="1">
      <c r="A115" s="399">
        <v>113</v>
      </c>
      <c r="B115" s="399" t="s">
        <v>2360</v>
      </c>
      <c r="C115" s="399" t="s">
        <v>2366</v>
      </c>
      <c r="D115" s="399" t="s">
        <v>534</v>
      </c>
      <c r="E115" s="399" t="s">
        <v>891</v>
      </c>
      <c r="F115" s="399" t="s">
        <v>1240</v>
      </c>
      <c r="G115" s="399" t="s">
        <v>1240</v>
      </c>
      <c r="H115" s="399" t="s">
        <v>1240</v>
      </c>
      <c r="I115" s="399" t="s">
        <v>894</v>
      </c>
      <c r="J115" s="399" t="s">
        <v>2358</v>
      </c>
      <c r="K115" s="789">
        <v>44501</v>
      </c>
      <c r="L115" s="399">
        <v>0</v>
      </c>
      <c r="M115" s="399">
        <v>0</v>
      </c>
      <c r="N115" s="399">
        <v>0.54500000000000004</v>
      </c>
      <c r="O115" s="399">
        <v>0.54500000000000004</v>
      </c>
      <c r="P115" s="399">
        <v>0.54500000000000004</v>
      </c>
      <c r="Q115" s="399">
        <v>0.54500000000000004</v>
      </c>
      <c r="R115" s="399"/>
      <c r="S115" s="399">
        <v>2740.31</v>
      </c>
      <c r="T115" s="399">
        <v>144.41999999999999</v>
      </c>
      <c r="U115" s="399"/>
      <c r="V115" s="399">
        <v>1572.1778500000003</v>
      </c>
      <c r="W115" s="399">
        <v>1572.1778500000003</v>
      </c>
      <c r="X115" s="399">
        <v>1540.3988999999999</v>
      </c>
      <c r="Y115" s="399">
        <v>0</v>
      </c>
      <c r="Z115" s="399">
        <v>29.113272502541385</v>
      </c>
      <c r="AA115" s="399">
        <v>0</v>
      </c>
      <c r="AB115" s="399">
        <v>0</v>
      </c>
      <c r="AC115" s="399">
        <v>0</v>
      </c>
      <c r="AD115" s="399">
        <v>410.20123321980907</v>
      </c>
      <c r="AE115" s="399">
        <v>1045.3141234675966</v>
      </c>
      <c r="AF115" s="399">
        <v>78.709893878614864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5.1681018308706825</v>
      </c>
      <c r="AM115" s="399"/>
      <c r="AN115" s="399">
        <v>0.27123843588032742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3.4000383054564143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82.109932184071283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1554.5310000000002</v>
      </c>
      <c r="CJ115" s="399">
        <v>-17.676850000000059</v>
      </c>
      <c r="CK115" s="399"/>
      <c r="CL115" s="399"/>
      <c r="CM115" s="399"/>
      <c r="CN115" s="399"/>
      <c r="CO115" s="399">
        <v>-34.961750000000052</v>
      </c>
      <c r="CP115" s="399">
        <v>3.1828000000000021</v>
      </c>
      <c r="CQ115" s="399">
        <v>30</v>
      </c>
      <c r="CR115" s="399">
        <v>15.302164994162354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17.167476045620958</v>
      </c>
      <c r="DA115" s="399">
        <v>0</v>
      </c>
      <c r="DB115" s="399">
        <v>0</v>
      </c>
      <c r="DC115" s="399">
        <v>3.1826868570953195</v>
      </c>
      <c r="DD115" s="399">
        <v>0</v>
      </c>
      <c r="DE115" s="399">
        <v>0</v>
      </c>
      <c r="DF115" s="399">
        <v>0</v>
      </c>
      <c r="DG115" s="399">
        <v>0.13748280800738311</v>
      </c>
      <c r="DH115" s="399">
        <v>0</v>
      </c>
      <c r="DI115" s="399">
        <v>-4.4727045175685518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-0.68004240375786296</v>
      </c>
      <c r="DP115" s="399">
        <v>-3.2733795234823115E-2</v>
      </c>
      <c r="DQ115" s="399">
        <v>0</v>
      </c>
      <c r="DR115" s="399">
        <v>0</v>
      </c>
      <c r="DS115" s="399"/>
      <c r="DT115" s="399"/>
      <c r="DU115" s="399"/>
      <c r="DV115" s="399">
        <v>1045.3141234675966</v>
      </c>
      <c r="DW115" s="399">
        <v>0</v>
      </c>
      <c r="DX115" s="399">
        <v>0</v>
      </c>
      <c r="DY115" s="399">
        <v>-34.961750000000166</v>
      </c>
      <c r="DZ115" s="399">
        <v>3.1828000000000003</v>
      </c>
      <c r="EA115" s="399">
        <v>0</v>
      </c>
      <c r="EB115" s="399">
        <v>0</v>
      </c>
      <c r="EC115" s="399">
        <v>-47.078053133316075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225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8" customFormat="1">
      <c r="A116" s="399">
        <v>114</v>
      </c>
      <c r="B116" s="399" t="s">
        <v>957</v>
      </c>
      <c r="C116" s="399" t="s">
        <v>2366</v>
      </c>
      <c r="D116" s="399" t="s">
        <v>534</v>
      </c>
      <c r="E116" s="399" t="s">
        <v>891</v>
      </c>
      <c r="F116" s="399" t="s">
        <v>1240</v>
      </c>
      <c r="G116" s="399" t="s">
        <v>1240</v>
      </c>
      <c r="H116" s="399" t="s">
        <v>1240</v>
      </c>
      <c r="I116" s="399" t="s">
        <v>2328</v>
      </c>
      <c r="J116" s="399" t="s">
        <v>2358</v>
      </c>
      <c r="K116" s="789">
        <v>44501</v>
      </c>
      <c r="L116" s="399">
        <v>0</v>
      </c>
      <c r="M116" s="399">
        <v>0</v>
      </c>
      <c r="N116" s="399">
        <v>5626.1220000000003</v>
      </c>
      <c r="O116" s="399">
        <v>5626.1220000000003</v>
      </c>
      <c r="P116" s="399">
        <v>5626.1220000000003</v>
      </c>
      <c r="Q116" s="399">
        <v>5626.1220000000003</v>
      </c>
      <c r="R116" s="399"/>
      <c r="S116" s="399">
        <v>69.64</v>
      </c>
      <c r="T116" s="399">
        <v>144.41999999999999</v>
      </c>
      <c r="U116" s="399"/>
      <c r="V116" s="399">
        <v>1204327.6753199999</v>
      </c>
      <c r="W116" s="399">
        <v>1204327.6753199999</v>
      </c>
      <c r="X116" s="399">
        <v>1185086.3380800001</v>
      </c>
      <c r="Y116" s="399">
        <v>0</v>
      </c>
      <c r="Z116" s="399">
        <v>300540.95948356541</v>
      </c>
      <c r="AA116" s="399">
        <v>0</v>
      </c>
      <c r="AB116" s="399">
        <v>0</v>
      </c>
      <c r="AC116" s="399">
        <v>0</v>
      </c>
      <c r="AD116" s="399">
        <v>0</v>
      </c>
      <c r="AE116" s="399">
        <v>0</v>
      </c>
      <c r="AF116" s="399">
        <v>812534.79920759716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53351.140199819863</v>
      </c>
      <c r="AM116" s="399"/>
      <c r="AN116" s="399">
        <v>2800.0376722053202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35099.138185634954</v>
      </c>
      <c r="BH116" s="399">
        <v>0</v>
      </c>
      <c r="BI116" s="399">
        <v>0</v>
      </c>
      <c r="BJ116" s="399">
        <v>0</v>
      </c>
      <c r="BK116" s="399">
        <v>0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847633.93739323213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1185085.9168</v>
      </c>
      <c r="CJ116" s="399">
        <v>-19241.788519999944</v>
      </c>
      <c r="CK116" s="399"/>
      <c r="CL116" s="399"/>
      <c r="CM116" s="399"/>
      <c r="CN116" s="399"/>
      <c r="CO116" s="399">
        <v>-52097.889719999992</v>
      </c>
      <c r="CP116" s="399">
        <v>32856.55248000002</v>
      </c>
      <c r="CQ116" s="399">
        <v>30</v>
      </c>
      <c r="CR116" s="399">
        <v>-19255.903749457095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0</v>
      </c>
      <c r="DA116" s="399">
        <v>0</v>
      </c>
      <c r="DB116" s="399">
        <v>0</v>
      </c>
      <c r="DC116" s="399">
        <v>32855.384487733594</v>
      </c>
      <c r="DD116" s="399">
        <v>0</v>
      </c>
      <c r="DE116" s="399">
        <v>0</v>
      </c>
      <c r="DF116" s="399">
        <v>0</v>
      </c>
      <c r="DG116" s="399">
        <v>1419.2569738570965</v>
      </c>
      <c r="DH116" s="399">
        <v>0</v>
      </c>
      <c r="DI116" s="399">
        <v>-46172.442726223555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-7020.1862912201759</v>
      </c>
      <c r="DP116" s="399">
        <v>-337.91619360391451</v>
      </c>
      <c r="DQ116" s="399">
        <v>0</v>
      </c>
      <c r="DR116" s="399">
        <v>0</v>
      </c>
      <c r="DS116" s="399"/>
      <c r="DT116" s="399"/>
      <c r="DU116" s="399"/>
      <c r="DV116" s="399">
        <v>0</v>
      </c>
      <c r="DW116" s="399">
        <v>0</v>
      </c>
      <c r="DX116" s="399">
        <v>0</v>
      </c>
      <c r="DY116" s="399">
        <v>-52097.889719999977</v>
      </c>
      <c r="DZ116" s="399">
        <v>32856.552480000071</v>
      </c>
      <c r="EA116" s="399">
        <v>0</v>
      </c>
      <c r="EB116" s="399">
        <v>0</v>
      </c>
      <c r="EC116" s="399">
        <v>0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225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8" customFormat="1">
      <c r="A117" s="399">
        <v>115</v>
      </c>
      <c r="B117" s="399" t="s">
        <v>2360</v>
      </c>
      <c r="C117" s="399" t="s">
        <v>2366</v>
      </c>
      <c r="D117" s="399" t="s">
        <v>534</v>
      </c>
      <c r="E117" s="399" t="s">
        <v>891</v>
      </c>
      <c r="F117" s="399" t="s">
        <v>1240</v>
      </c>
      <c r="G117" s="399" t="s">
        <v>1240</v>
      </c>
      <c r="H117" s="399" t="s">
        <v>1240</v>
      </c>
      <c r="I117" s="399" t="s">
        <v>2328</v>
      </c>
      <c r="J117" s="399" t="s">
        <v>2358</v>
      </c>
      <c r="K117" s="789">
        <v>44501</v>
      </c>
      <c r="L117" s="399">
        <v>0</v>
      </c>
      <c r="M117" s="399">
        <v>0</v>
      </c>
      <c r="N117" s="399">
        <v>4.7830000000000004</v>
      </c>
      <c r="O117" s="399">
        <v>4.7830000000000004</v>
      </c>
      <c r="P117" s="399">
        <v>4.7830000000000004</v>
      </c>
      <c r="Q117" s="399">
        <v>4.7830000000000004</v>
      </c>
      <c r="R117" s="399"/>
      <c r="S117" s="399">
        <v>69.64</v>
      </c>
      <c r="T117" s="399">
        <v>144.41999999999999</v>
      </c>
      <c r="U117" s="399"/>
      <c r="V117" s="399">
        <v>1023.84898</v>
      </c>
      <c r="W117" s="399">
        <v>1023.84898</v>
      </c>
      <c r="X117" s="399">
        <v>1007.49112</v>
      </c>
      <c r="Y117" s="399">
        <v>0</v>
      </c>
      <c r="Z117" s="399">
        <v>255.50235299019349</v>
      </c>
      <c r="AA117" s="399">
        <v>0</v>
      </c>
      <c r="AB117" s="399">
        <v>0</v>
      </c>
      <c r="AC117" s="399">
        <v>0</v>
      </c>
      <c r="AD117" s="399">
        <v>0</v>
      </c>
      <c r="AE117" s="399">
        <v>0</v>
      </c>
      <c r="AF117" s="399">
        <v>690.76958242461455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45.356020288173347</v>
      </c>
      <c r="AM117" s="399"/>
      <c r="AN117" s="399">
        <v>2.3804283281020293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29.839235256877117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720.6088176814917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1006.8592000000001</v>
      </c>
      <c r="CJ117" s="399">
        <v>-17.019779999999855</v>
      </c>
      <c r="CK117" s="399"/>
      <c r="CL117" s="399"/>
      <c r="CM117" s="399"/>
      <c r="CN117" s="399"/>
      <c r="CO117" s="399">
        <v>-44.290579999999991</v>
      </c>
      <c r="CP117" s="399">
        <v>27.932720000000018</v>
      </c>
      <c r="CQ117" s="399">
        <v>30</v>
      </c>
      <c r="CR117" s="399">
        <v>-16.370243594727071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27.931727041260274</v>
      </c>
      <c r="DD117" s="399">
        <v>0</v>
      </c>
      <c r="DE117" s="399">
        <v>0</v>
      </c>
      <c r="DF117" s="399">
        <v>0</v>
      </c>
      <c r="DG117" s="399">
        <v>1.2065693040354404</v>
      </c>
      <c r="DH117" s="399">
        <v>0</v>
      </c>
      <c r="DI117" s="399">
        <v>-39.253111389964033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-5.9681519581171756</v>
      </c>
      <c r="DP117" s="399">
        <v>-0.28727659194157606</v>
      </c>
      <c r="DQ117" s="399">
        <v>0</v>
      </c>
      <c r="DR117" s="399">
        <v>0</v>
      </c>
      <c r="DS117" s="399"/>
      <c r="DT117" s="399"/>
      <c r="DU117" s="399"/>
      <c r="DV117" s="399">
        <v>0</v>
      </c>
      <c r="DW117" s="399">
        <v>0</v>
      </c>
      <c r="DX117" s="399">
        <v>0</v>
      </c>
      <c r="DY117" s="399">
        <v>-44.290579999999977</v>
      </c>
      <c r="DZ117" s="399">
        <v>27.932720000000018</v>
      </c>
      <c r="EA117" s="399">
        <v>0</v>
      </c>
      <c r="EB117" s="399">
        <v>0</v>
      </c>
      <c r="EC117" s="399">
        <v>0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225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8" customFormat="1">
      <c r="A118" s="399">
        <v>116</v>
      </c>
      <c r="B118" s="399" t="s">
        <v>957</v>
      </c>
      <c r="C118" s="399" t="s">
        <v>2366</v>
      </c>
      <c r="D118" s="399" t="s">
        <v>534</v>
      </c>
      <c r="E118" s="399" t="s">
        <v>891</v>
      </c>
      <c r="F118" s="399" t="s">
        <v>1240</v>
      </c>
      <c r="G118" s="399" t="s">
        <v>1240</v>
      </c>
      <c r="H118" s="399" t="s">
        <v>1240</v>
      </c>
      <c r="I118" s="399" t="s">
        <v>1240</v>
      </c>
      <c r="J118" s="399" t="s">
        <v>2358</v>
      </c>
      <c r="K118" s="789">
        <v>44501</v>
      </c>
      <c r="L118" s="399">
        <v>21149</v>
      </c>
      <c r="M118" s="399">
        <v>21149</v>
      </c>
      <c r="N118" s="399">
        <v>0</v>
      </c>
      <c r="O118" s="399">
        <v>0</v>
      </c>
      <c r="P118" s="399">
        <v>0</v>
      </c>
      <c r="Q118" s="399">
        <v>0</v>
      </c>
      <c r="R118" s="399">
        <v>34.950000000000003</v>
      </c>
      <c r="S118" s="399"/>
      <c r="T118" s="399"/>
      <c r="U118" s="399">
        <v>739157.55</v>
      </c>
      <c r="V118" s="399"/>
      <c r="W118" s="399">
        <v>739157.55</v>
      </c>
      <c r="X118" s="399">
        <v>729217.5199999999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267953.16688738111</v>
      </c>
      <c r="AE118" s="399">
        <v>471301.40423535573</v>
      </c>
      <c r="AF118" s="399"/>
      <c r="AG118" s="399"/>
      <c r="AH118" s="399"/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0</v>
      </c>
      <c r="AO118" s="399">
        <v>0</v>
      </c>
      <c r="AP118" s="399">
        <v>0</v>
      </c>
      <c r="AQ118" s="399">
        <v>0</v>
      </c>
      <c r="AR118" s="399">
        <v>0</v>
      </c>
      <c r="AS118" s="399"/>
      <c r="AT118" s="399"/>
      <c r="AU118" s="399">
        <v>0</v>
      </c>
      <c r="AV118" s="399">
        <v>0</v>
      </c>
      <c r="AW118" s="399">
        <v>0</v>
      </c>
      <c r="AX118" s="399"/>
      <c r="AY118" s="399"/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/>
      <c r="BG118" s="399">
        <v>0</v>
      </c>
      <c r="BH118" s="399">
        <v>0</v>
      </c>
      <c r="BI118" s="399">
        <v>175.64</v>
      </c>
      <c r="BJ118" s="399">
        <v>810.69</v>
      </c>
      <c r="BK118" s="399">
        <v>919760.36</v>
      </c>
      <c r="BL118" s="399">
        <v>69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0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729217.5199999999</v>
      </c>
      <c r="CJ118" s="399">
        <v>-9940.0600000001723</v>
      </c>
      <c r="CK118" s="399"/>
      <c r="CL118" s="399"/>
      <c r="CM118" s="399"/>
      <c r="CN118" s="399"/>
      <c r="CO118" s="399">
        <v>-9940.0300000001262</v>
      </c>
      <c r="CP118" s="399">
        <v>0</v>
      </c>
      <c r="CQ118" s="399">
        <v>30</v>
      </c>
      <c r="CR118" s="399">
        <v>11214.202204560803</v>
      </c>
      <c r="CS118" s="399">
        <v>0</v>
      </c>
      <c r="CT118" s="399">
        <v>0</v>
      </c>
      <c r="CU118" s="399">
        <v>0</v>
      </c>
      <c r="CV118" s="399">
        <v>0</v>
      </c>
      <c r="CW118" s="399"/>
      <c r="CX118" s="399"/>
      <c r="CY118" s="399"/>
      <c r="CZ118" s="399">
        <v>11214.202204560803</v>
      </c>
      <c r="DA118" s="399">
        <v>0</v>
      </c>
      <c r="DB118" s="399">
        <v>0</v>
      </c>
      <c r="DC118" s="399"/>
      <c r="DD118" s="399"/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/>
      <c r="DN118" s="399">
        <v>0</v>
      </c>
      <c r="DO118" s="399">
        <v>0</v>
      </c>
      <c r="DP118" s="399">
        <v>0</v>
      </c>
      <c r="DQ118" s="399">
        <v>0</v>
      </c>
      <c r="DR118" s="399">
        <v>0</v>
      </c>
      <c r="DS118" s="399"/>
      <c r="DT118" s="399"/>
      <c r="DU118" s="399">
        <v>471301.40423535573</v>
      </c>
      <c r="DV118" s="399"/>
      <c r="DW118" s="399">
        <v>0</v>
      </c>
      <c r="DX118" s="399">
        <v>0</v>
      </c>
      <c r="DY118" s="399">
        <v>-9940.0300000001444</v>
      </c>
      <c r="DZ118" s="399"/>
      <c r="EA118" s="399">
        <v>0</v>
      </c>
      <c r="EB118" s="399"/>
      <c r="EC118" s="399">
        <v>-21226.109981938032</v>
      </c>
      <c r="ED118" s="399"/>
      <c r="EE118" s="399">
        <v>0</v>
      </c>
      <c r="EF118" s="399">
        <v>0</v>
      </c>
      <c r="EG118" s="399"/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/>
      <c r="EN118" s="399"/>
      <c r="EO118" s="399">
        <v>0</v>
      </c>
      <c r="EP118" s="399">
        <v>0</v>
      </c>
      <c r="EQ118" s="399"/>
      <c r="ER118" s="399">
        <v>0</v>
      </c>
      <c r="ES118" s="399"/>
      <c r="ET118" s="399">
        <v>0</v>
      </c>
      <c r="EU118" s="399"/>
      <c r="EV118" s="399">
        <v>225</v>
      </c>
      <c r="EW118" s="399"/>
      <c r="EX118" s="399"/>
      <c r="EY118" s="399"/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8" customFormat="1">
      <c r="A119" s="399">
        <v>117</v>
      </c>
      <c r="B119" s="399" t="s">
        <v>2360</v>
      </c>
      <c r="C119" s="399" t="s">
        <v>2366</v>
      </c>
      <c r="D119" s="399" t="s">
        <v>534</v>
      </c>
      <c r="E119" s="399" t="s">
        <v>891</v>
      </c>
      <c r="F119" s="399" t="s">
        <v>1240</v>
      </c>
      <c r="G119" s="399" t="s">
        <v>1240</v>
      </c>
      <c r="H119" s="399" t="s">
        <v>1240</v>
      </c>
      <c r="I119" s="399" t="s">
        <v>1240</v>
      </c>
      <c r="J119" s="399" t="s">
        <v>2358</v>
      </c>
      <c r="K119" s="789">
        <v>44501</v>
      </c>
      <c r="L119" s="399">
        <v>130</v>
      </c>
      <c r="M119" s="399">
        <v>130</v>
      </c>
      <c r="N119" s="399">
        <v>0</v>
      </c>
      <c r="O119" s="399">
        <v>0</v>
      </c>
      <c r="P119" s="399">
        <v>0</v>
      </c>
      <c r="Q119" s="399">
        <v>0</v>
      </c>
      <c r="R119" s="399">
        <v>34.950000000000003</v>
      </c>
      <c r="S119" s="399"/>
      <c r="T119" s="399"/>
      <c r="U119" s="399">
        <v>4543.5</v>
      </c>
      <c r="V119" s="399"/>
      <c r="W119" s="399">
        <v>4543.5</v>
      </c>
      <c r="X119" s="399">
        <v>4482.3999999999996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1647.07133648681</v>
      </c>
      <c r="AE119" s="399">
        <v>2897.0250390371293</v>
      </c>
      <c r="AF119" s="399"/>
      <c r="AG119" s="399"/>
      <c r="AH119" s="399"/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0</v>
      </c>
      <c r="AO119" s="399">
        <v>0</v>
      </c>
      <c r="AP119" s="399">
        <v>0</v>
      </c>
      <c r="AQ119" s="399">
        <v>0</v>
      </c>
      <c r="AR119" s="399">
        <v>0</v>
      </c>
      <c r="AS119" s="399"/>
      <c r="AT119" s="399"/>
      <c r="AU119" s="399">
        <v>0</v>
      </c>
      <c r="AV119" s="399">
        <v>0</v>
      </c>
      <c r="AW119" s="399">
        <v>0</v>
      </c>
      <c r="AX119" s="399"/>
      <c r="AY119" s="399"/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/>
      <c r="BG119" s="399">
        <v>0</v>
      </c>
      <c r="BH119" s="399">
        <v>0</v>
      </c>
      <c r="BI119" s="399">
        <v>0</v>
      </c>
      <c r="BJ119" s="399">
        <v>0</v>
      </c>
      <c r="BK119" s="399">
        <v>2736.41</v>
      </c>
      <c r="BL119" s="399">
        <v>1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0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4482.3999999999996</v>
      </c>
      <c r="CJ119" s="399">
        <v>-61.130000000001019</v>
      </c>
      <c r="CK119" s="399"/>
      <c r="CL119" s="399"/>
      <c r="CM119" s="399"/>
      <c r="CN119" s="399"/>
      <c r="CO119" s="399">
        <v>-61.100000000000776</v>
      </c>
      <c r="CP119" s="399">
        <v>0</v>
      </c>
      <c r="CQ119" s="399">
        <v>30</v>
      </c>
      <c r="CR119" s="399">
        <v>68.932161643240988</v>
      </c>
      <c r="CS119" s="399">
        <v>0</v>
      </c>
      <c r="CT119" s="399">
        <v>0</v>
      </c>
      <c r="CU119" s="399">
        <v>0</v>
      </c>
      <c r="CV119" s="399">
        <v>0</v>
      </c>
      <c r="CW119" s="399"/>
      <c r="CX119" s="399"/>
      <c r="CY119" s="399"/>
      <c r="CZ119" s="399">
        <v>68.932161643240988</v>
      </c>
      <c r="DA119" s="399">
        <v>0</v>
      </c>
      <c r="DB119" s="399">
        <v>0</v>
      </c>
      <c r="DC119" s="399"/>
      <c r="DD119" s="399"/>
      <c r="DE119" s="399">
        <v>0</v>
      </c>
      <c r="DF119" s="399">
        <v>0</v>
      </c>
      <c r="DG119" s="399">
        <v>0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/>
      <c r="DN119" s="399">
        <v>0</v>
      </c>
      <c r="DO119" s="399">
        <v>0</v>
      </c>
      <c r="DP119" s="399">
        <v>0</v>
      </c>
      <c r="DQ119" s="399">
        <v>0</v>
      </c>
      <c r="DR119" s="399">
        <v>0</v>
      </c>
      <c r="DS119" s="399"/>
      <c r="DT119" s="399"/>
      <c r="DU119" s="399">
        <v>2897.0250390371293</v>
      </c>
      <c r="DV119" s="399"/>
      <c r="DW119" s="399">
        <v>0</v>
      </c>
      <c r="DX119" s="399">
        <v>0</v>
      </c>
      <c r="DY119" s="399">
        <v>-61.100000000000364</v>
      </c>
      <c r="DZ119" s="399"/>
      <c r="EA119" s="399">
        <v>0</v>
      </c>
      <c r="EB119" s="399"/>
      <c r="EC119" s="399">
        <v>-130.47398447453543</v>
      </c>
      <c r="ED119" s="399"/>
      <c r="EE119" s="399">
        <v>0</v>
      </c>
      <c r="EF119" s="399">
        <v>0</v>
      </c>
      <c r="EG119" s="399"/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/>
      <c r="EN119" s="399"/>
      <c r="EO119" s="399">
        <v>0</v>
      </c>
      <c r="EP119" s="399">
        <v>0</v>
      </c>
      <c r="EQ119" s="399"/>
      <c r="ER119" s="399">
        <v>0</v>
      </c>
      <c r="ES119" s="399"/>
      <c r="ET119" s="399">
        <v>0</v>
      </c>
      <c r="EU119" s="399"/>
      <c r="EV119" s="399">
        <v>225</v>
      </c>
      <c r="EW119" s="399"/>
      <c r="EX119" s="399"/>
      <c r="EY119" s="399"/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8" customFormat="1">
      <c r="A120" s="399">
        <v>118</v>
      </c>
      <c r="B120" s="399" t="s">
        <v>957</v>
      </c>
      <c r="C120" s="399" t="s">
        <v>2357</v>
      </c>
      <c r="D120" s="399" t="s">
        <v>1826</v>
      </c>
      <c r="E120" s="399" t="s">
        <v>919</v>
      </c>
      <c r="F120" s="399" t="s">
        <v>1240</v>
      </c>
      <c r="G120" s="399" t="s">
        <v>1240</v>
      </c>
      <c r="H120" s="399" t="s">
        <v>1240</v>
      </c>
      <c r="I120" s="399" t="s">
        <v>1240</v>
      </c>
      <c r="J120" s="399" t="s">
        <v>2358</v>
      </c>
      <c r="K120" s="789">
        <v>44501</v>
      </c>
      <c r="L120" s="399">
        <v>0</v>
      </c>
      <c r="M120" s="399">
        <v>0</v>
      </c>
      <c r="N120" s="399">
        <v>706.12400000000002</v>
      </c>
      <c r="O120" s="399">
        <v>706.12400000000002</v>
      </c>
      <c r="P120" s="399">
        <v>706.12400000000002</v>
      </c>
      <c r="Q120" s="399">
        <v>706.12400000000002</v>
      </c>
      <c r="R120" s="399"/>
      <c r="S120" s="399">
        <v>522.37</v>
      </c>
      <c r="T120" s="399">
        <v>144.41999999999999</v>
      </c>
      <c r="U120" s="399"/>
      <c r="V120" s="399">
        <v>470836.42196000001</v>
      </c>
      <c r="W120" s="399">
        <v>470836.42196000001</v>
      </c>
      <c r="X120" s="399">
        <v>460209.25576000003</v>
      </c>
      <c r="Y120" s="399">
        <v>0</v>
      </c>
      <c r="Z120" s="399">
        <v>43356.702378117749</v>
      </c>
      <c r="AA120" s="399">
        <v>0</v>
      </c>
      <c r="AB120" s="399">
        <v>0</v>
      </c>
      <c r="AC120" s="399">
        <v>0</v>
      </c>
      <c r="AD120" s="399">
        <v>71998.982836256502</v>
      </c>
      <c r="AE120" s="399">
        <v>234367.65268671166</v>
      </c>
      <c r="AF120" s="399">
        <v>101979.71578925329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6696.0013527004221</v>
      </c>
      <c r="AM120" s="399"/>
      <c r="AN120" s="399">
        <v>1027.3081663314858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11409.78059247075</v>
      </c>
      <c r="BH120" s="399">
        <v>0</v>
      </c>
      <c r="BI120" s="399">
        <v>237.16</v>
      </c>
      <c r="BJ120" s="399">
        <v>1096.57</v>
      </c>
      <c r="BK120" s="399">
        <v>169968.73</v>
      </c>
      <c r="BL120" s="399">
        <v>1190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113389.49638172404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460206.64879999997</v>
      </c>
      <c r="CJ120" s="399">
        <v>-10629.803160000069</v>
      </c>
      <c r="CK120" s="399"/>
      <c r="CL120" s="399"/>
      <c r="CM120" s="399"/>
      <c r="CN120" s="399"/>
      <c r="CO120" s="399">
        <v>-14750.930359999991</v>
      </c>
      <c r="CP120" s="399">
        <v>4123.7641600000024</v>
      </c>
      <c r="CQ120" s="399">
        <v>30</v>
      </c>
      <c r="CR120" s="399">
        <v>-67.772902726603206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3013.2547468191769</v>
      </c>
      <c r="DA120" s="399">
        <v>0</v>
      </c>
      <c r="DB120" s="399">
        <v>0</v>
      </c>
      <c r="DC120" s="399">
        <v>4123.6175674854603</v>
      </c>
      <c r="DD120" s="399">
        <v>0</v>
      </c>
      <c r="DE120" s="399">
        <v>0</v>
      </c>
      <c r="DF120" s="399">
        <v>0</v>
      </c>
      <c r="DG120" s="399">
        <v>461.362059387302</v>
      </c>
      <c r="DH120" s="399">
        <v>0</v>
      </c>
      <c r="DI120" s="399">
        <v>-6660.9385316115004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-881.09038956168388</v>
      </c>
      <c r="DP120" s="399">
        <v>-123.97835524531808</v>
      </c>
      <c r="DQ120" s="399">
        <v>0</v>
      </c>
      <c r="DR120" s="399">
        <v>0</v>
      </c>
      <c r="DS120" s="399"/>
      <c r="DT120" s="399"/>
      <c r="DU120" s="399"/>
      <c r="DV120" s="399">
        <v>234367.65268671166</v>
      </c>
      <c r="DW120" s="399">
        <v>0</v>
      </c>
      <c r="DX120" s="399">
        <v>0</v>
      </c>
      <c r="DY120" s="399">
        <v>-14750.930359999998</v>
      </c>
      <c r="DZ120" s="399">
        <v>4123.7641600000061</v>
      </c>
      <c r="EA120" s="399">
        <v>0</v>
      </c>
      <c r="EB120" s="399">
        <v>0</v>
      </c>
      <c r="EC120" s="399">
        <v>-10555.269997992058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225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8" customFormat="1">
      <c r="A121" s="399">
        <v>119</v>
      </c>
      <c r="B121" s="399" t="s">
        <v>2359</v>
      </c>
      <c r="C121" s="399" t="s">
        <v>2357</v>
      </c>
      <c r="D121" s="399" t="s">
        <v>1826</v>
      </c>
      <c r="E121" s="399" t="s">
        <v>919</v>
      </c>
      <c r="F121" s="399" t="s">
        <v>1240</v>
      </c>
      <c r="G121" s="399" t="s">
        <v>1240</v>
      </c>
      <c r="H121" s="399" t="s">
        <v>1240</v>
      </c>
      <c r="I121" s="399" t="s">
        <v>1240</v>
      </c>
      <c r="J121" s="399" t="s">
        <v>2358</v>
      </c>
      <c r="K121" s="789">
        <v>44501</v>
      </c>
      <c r="L121" s="399">
        <v>0</v>
      </c>
      <c r="M121" s="399">
        <v>0</v>
      </c>
      <c r="N121" s="399">
        <v>-9.33</v>
      </c>
      <c r="O121" s="399">
        <v>-9.33</v>
      </c>
      <c r="P121" s="399">
        <v>-9.33</v>
      </c>
      <c r="Q121" s="399">
        <v>-9.33</v>
      </c>
      <c r="R121" s="399"/>
      <c r="S121" s="399">
        <v>522.37</v>
      </c>
      <c r="T121" s="399">
        <v>144.41999999999999</v>
      </c>
      <c r="U121" s="399"/>
      <c r="V121" s="399">
        <v>-6221.1507000000001</v>
      </c>
      <c r="W121" s="399">
        <v>-6221.1507000000001</v>
      </c>
      <c r="X121" s="399">
        <v>-6080.7341999999999</v>
      </c>
      <c r="Y121" s="399">
        <v>0</v>
      </c>
      <c r="Z121" s="399">
        <v>-572.87110080926095</v>
      </c>
      <c r="AA121" s="399">
        <v>0</v>
      </c>
      <c r="AB121" s="399">
        <v>0</v>
      </c>
      <c r="AC121" s="399">
        <v>0</v>
      </c>
      <c r="AD121" s="399">
        <v>-951.32088678797652</v>
      </c>
      <c r="AE121" s="399">
        <v>-3096.6943476882529</v>
      </c>
      <c r="AF121" s="399">
        <v>-1347.4556144724343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-88.47411024224489</v>
      </c>
      <c r="AM121" s="399"/>
      <c r="AN121" s="399">
        <v>-13.573798924654541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-150.75716577789748</v>
      </c>
      <c r="BH121" s="399">
        <v>0</v>
      </c>
      <c r="BI121" s="399">
        <v>0</v>
      </c>
      <c r="BJ121" s="399">
        <v>0</v>
      </c>
      <c r="BK121" s="399">
        <v>-2225.91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-1498.2127802503317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-6080.7341999999999</v>
      </c>
      <c r="CJ121" s="399">
        <v>140.38649999999961</v>
      </c>
      <c r="CK121" s="399"/>
      <c r="CL121" s="399"/>
      <c r="CM121" s="399"/>
      <c r="CN121" s="399"/>
      <c r="CO121" s="399">
        <v>194.90369999999987</v>
      </c>
      <c r="CP121" s="399">
        <v>-54.48720000000003</v>
      </c>
      <c r="CQ121" s="399">
        <v>30</v>
      </c>
      <c r="CR121" s="399">
        <v>0.89548178852328419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-39.81406493451982</v>
      </c>
      <c r="DA121" s="399">
        <v>0</v>
      </c>
      <c r="DB121" s="399">
        <v>0</v>
      </c>
      <c r="DC121" s="399">
        <v>-54.48526307651241</v>
      </c>
      <c r="DD121" s="399">
        <v>0</v>
      </c>
      <c r="DE121" s="399">
        <v>0</v>
      </c>
      <c r="DF121" s="399">
        <v>0</v>
      </c>
      <c r="DG121" s="399">
        <v>-6.0959661675336463</v>
      </c>
      <c r="DH121" s="399">
        <v>0</v>
      </c>
      <c r="DI121" s="399">
        <v>88.01082600214022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11.64182683864378</v>
      </c>
      <c r="DP121" s="399">
        <v>1.6381231263047535</v>
      </c>
      <c r="DQ121" s="399">
        <v>0</v>
      </c>
      <c r="DR121" s="399">
        <v>0</v>
      </c>
      <c r="DS121" s="399"/>
      <c r="DT121" s="399"/>
      <c r="DU121" s="399"/>
      <c r="DV121" s="399">
        <v>-3096.6943476882529</v>
      </c>
      <c r="DW121" s="399">
        <v>0</v>
      </c>
      <c r="DX121" s="399">
        <v>0</v>
      </c>
      <c r="DY121" s="399">
        <v>194.90369999999984</v>
      </c>
      <c r="DZ121" s="399">
        <v>-54.48720000000003</v>
      </c>
      <c r="EA121" s="399">
        <v>0</v>
      </c>
      <c r="EB121" s="399">
        <v>0</v>
      </c>
      <c r="EC121" s="399">
        <v>139.46653715390812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225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8" customFormat="1">
      <c r="A122" s="399">
        <v>120</v>
      </c>
      <c r="B122" s="399" t="s">
        <v>2360</v>
      </c>
      <c r="C122" s="399" t="s">
        <v>2357</v>
      </c>
      <c r="D122" s="399" t="s">
        <v>1826</v>
      </c>
      <c r="E122" s="399" t="s">
        <v>919</v>
      </c>
      <c r="F122" s="399" t="s">
        <v>1240</v>
      </c>
      <c r="G122" s="399" t="s">
        <v>1240</v>
      </c>
      <c r="H122" s="399" t="s">
        <v>1240</v>
      </c>
      <c r="I122" s="399" t="s">
        <v>1240</v>
      </c>
      <c r="J122" s="399" t="s">
        <v>2358</v>
      </c>
      <c r="K122" s="789">
        <v>44501</v>
      </c>
      <c r="L122" s="399">
        <v>0</v>
      </c>
      <c r="M122" s="399">
        <v>0</v>
      </c>
      <c r="N122" s="399">
        <v>20.423999999999999</v>
      </c>
      <c r="O122" s="399">
        <v>20.423999999999999</v>
      </c>
      <c r="P122" s="399">
        <v>20.423999999999999</v>
      </c>
      <c r="Q122" s="399">
        <v>20.423999999999999</v>
      </c>
      <c r="R122" s="399"/>
      <c r="S122" s="399">
        <v>522.37</v>
      </c>
      <c r="T122" s="399">
        <v>144.41999999999999</v>
      </c>
      <c r="U122" s="399"/>
      <c r="V122" s="399">
        <v>13618.518959999999</v>
      </c>
      <c r="W122" s="399">
        <v>13618.518959999999</v>
      </c>
      <c r="X122" s="399">
        <v>13311.13776</v>
      </c>
      <c r="Y122" s="399">
        <v>0</v>
      </c>
      <c r="Z122" s="399">
        <v>1254.0535222859962</v>
      </c>
      <c r="AA122" s="399">
        <v>0</v>
      </c>
      <c r="AB122" s="399">
        <v>0</v>
      </c>
      <c r="AC122" s="399">
        <v>0</v>
      </c>
      <c r="AD122" s="399">
        <v>2082.5056582805605</v>
      </c>
      <c r="AE122" s="399">
        <v>6778.8730286371783</v>
      </c>
      <c r="AF122" s="399">
        <v>2949.6713258290456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193.67580145633545</v>
      </c>
      <c r="AM122" s="399"/>
      <c r="AN122" s="399">
        <v>29.713962404838622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330.01761563213057</v>
      </c>
      <c r="BH122" s="399">
        <v>0</v>
      </c>
      <c r="BI122" s="399">
        <v>0.48</v>
      </c>
      <c r="BJ122" s="399">
        <v>2.2599999999999998</v>
      </c>
      <c r="BK122" s="399">
        <v>10868.7</v>
      </c>
      <c r="BL122" s="399">
        <v>36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3279.688941461176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13308.5308</v>
      </c>
      <c r="CJ122" s="399">
        <v>-310.01815999999963</v>
      </c>
      <c r="CK122" s="399"/>
      <c r="CL122" s="399"/>
      <c r="CM122" s="399"/>
      <c r="CN122" s="399"/>
      <c r="CO122" s="399">
        <v>-426.6573599999997</v>
      </c>
      <c r="CP122" s="399">
        <v>119.27616000000006</v>
      </c>
      <c r="CQ122" s="399">
        <v>30</v>
      </c>
      <c r="CR122" s="399">
        <v>-1.9602701016920037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87.155676551193665</v>
      </c>
      <c r="DA122" s="399">
        <v>0</v>
      </c>
      <c r="DB122" s="399">
        <v>0</v>
      </c>
      <c r="DC122" s="399">
        <v>119.27191994369696</v>
      </c>
      <c r="DD122" s="399">
        <v>0</v>
      </c>
      <c r="DE122" s="399">
        <v>0</v>
      </c>
      <c r="DF122" s="399">
        <v>0</v>
      </c>
      <c r="DG122" s="399">
        <v>13.344481565456306</v>
      </c>
      <c r="DH122" s="399">
        <v>0</v>
      </c>
      <c r="DI122" s="399">
        <v>-192.66164097188766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-25.484745053854311</v>
      </c>
      <c r="DP122" s="399">
        <v>-3.5859621362967076</v>
      </c>
      <c r="DQ122" s="399">
        <v>0</v>
      </c>
      <c r="DR122" s="399">
        <v>0</v>
      </c>
      <c r="DS122" s="399"/>
      <c r="DT122" s="399"/>
      <c r="DU122" s="399"/>
      <c r="DV122" s="399">
        <v>6778.8730286371783</v>
      </c>
      <c r="DW122" s="399">
        <v>0</v>
      </c>
      <c r="DX122" s="399">
        <v>0</v>
      </c>
      <c r="DY122" s="399">
        <v>-426.65735999999924</v>
      </c>
      <c r="DZ122" s="399">
        <v>119.27615999999989</v>
      </c>
      <c r="EA122" s="399">
        <v>0</v>
      </c>
      <c r="EB122" s="399">
        <v>0</v>
      </c>
      <c r="EC122" s="399">
        <v>-305.30166718450346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225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8" customFormat="1">
      <c r="A123" s="399">
        <v>121</v>
      </c>
      <c r="B123" s="399" t="s">
        <v>957</v>
      </c>
      <c r="C123" s="399" t="s">
        <v>2366</v>
      </c>
      <c r="D123" s="399" t="s">
        <v>534</v>
      </c>
      <c r="E123" s="399" t="s">
        <v>919</v>
      </c>
      <c r="F123" s="399" t="s">
        <v>1240</v>
      </c>
      <c r="G123" s="399" t="s">
        <v>1240</v>
      </c>
      <c r="H123" s="399" t="s">
        <v>1240</v>
      </c>
      <c r="I123" s="399" t="s">
        <v>894</v>
      </c>
      <c r="J123" s="399" t="s">
        <v>2358</v>
      </c>
      <c r="K123" s="789">
        <v>44501</v>
      </c>
      <c r="L123" s="399">
        <v>0</v>
      </c>
      <c r="M123" s="399">
        <v>0</v>
      </c>
      <c r="N123" s="399">
        <v>6.62</v>
      </c>
      <c r="O123" s="399">
        <v>6.62</v>
      </c>
      <c r="P123" s="399">
        <v>6.62</v>
      </c>
      <c r="Q123" s="399">
        <v>6.62</v>
      </c>
      <c r="R123" s="399"/>
      <c r="S123" s="399">
        <v>2740.31</v>
      </c>
      <c r="T123" s="399">
        <v>144.41999999999999</v>
      </c>
      <c r="U123" s="399"/>
      <c r="V123" s="399">
        <v>19096.9126</v>
      </c>
      <c r="W123" s="399">
        <v>19096.9126</v>
      </c>
      <c r="X123" s="399">
        <v>18710.900399999999</v>
      </c>
      <c r="Y123" s="399">
        <v>0</v>
      </c>
      <c r="Z123" s="399">
        <v>353.63277792077793</v>
      </c>
      <c r="AA123" s="399">
        <v>0</v>
      </c>
      <c r="AB123" s="399">
        <v>0</v>
      </c>
      <c r="AC123" s="399">
        <v>0</v>
      </c>
      <c r="AD123" s="399">
        <v>4982.6278236974968</v>
      </c>
      <c r="AE123" s="399">
        <v>12697.210086890807</v>
      </c>
      <c r="AF123" s="399">
        <v>956.07247243381721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62.77584242268609</v>
      </c>
      <c r="AM123" s="399"/>
      <c r="AN123" s="399">
        <v>3.2946760468399403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41.299547857103597</v>
      </c>
      <c r="BH123" s="399">
        <v>0</v>
      </c>
      <c r="BI123" s="399">
        <v>0</v>
      </c>
      <c r="BJ123" s="399">
        <v>0</v>
      </c>
      <c r="BK123" s="399">
        <v>0</v>
      </c>
      <c r="BL123" s="399">
        <v>0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997.37202029092077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18710.900399999999</v>
      </c>
      <c r="CJ123" s="399">
        <v>-386.04219999999623</v>
      </c>
      <c r="CK123" s="399"/>
      <c r="CL123" s="399"/>
      <c r="CM123" s="399"/>
      <c r="CN123" s="399"/>
      <c r="CO123" s="399">
        <v>-424.67300000000063</v>
      </c>
      <c r="CP123" s="399">
        <v>38.660800000000023</v>
      </c>
      <c r="CQ123" s="399">
        <v>30</v>
      </c>
      <c r="CR123" s="399">
        <v>185.87216928689122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208.52970903121241</v>
      </c>
      <c r="DA123" s="399">
        <v>0</v>
      </c>
      <c r="DB123" s="399">
        <v>0</v>
      </c>
      <c r="DC123" s="399">
        <v>38.659425677010972</v>
      </c>
      <c r="DD123" s="399">
        <v>0</v>
      </c>
      <c r="DE123" s="399">
        <v>0</v>
      </c>
      <c r="DF123" s="399">
        <v>0</v>
      </c>
      <c r="DG123" s="399">
        <v>1.6699746587318884</v>
      </c>
      <c r="DH123" s="399">
        <v>0</v>
      </c>
      <c r="DI123" s="399">
        <v>-54.328997993218024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-8.2603315832606512</v>
      </c>
      <c r="DP123" s="399">
        <v>-0.39761050358629157</v>
      </c>
      <c r="DQ123" s="399">
        <v>0</v>
      </c>
      <c r="DR123" s="399">
        <v>0</v>
      </c>
      <c r="DS123" s="399"/>
      <c r="DT123" s="399"/>
      <c r="DU123" s="399"/>
      <c r="DV123" s="399">
        <v>12697.210086890807</v>
      </c>
      <c r="DW123" s="399">
        <v>0</v>
      </c>
      <c r="DX123" s="399">
        <v>0</v>
      </c>
      <c r="DY123" s="399">
        <v>-424.6730000000025</v>
      </c>
      <c r="DZ123" s="399">
        <v>38.660799999999995</v>
      </c>
      <c r="EA123" s="399">
        <v>0</v>
      </c>
      <c r="EB123" s="399">
        <v>0</v>
      </c>
      <c r="EC123" s="399">
        <v>-571.84717750927302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225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8" customFormat="1">
      <c r="A124" s="399">
        <v>122</v>
      </c>
      <c r="B124" s="399" t="s">
        <v>957</v>
      </c>
      <c r="C124" s="399" t="s">
        <v>2366</v>
      </c>
      <c r="D124" s="399" t="s">
        <v>534</v>
      </c>
      <c r="E124" s="399" t="s">
        <v>919</v>
      </c>
      <c r="F124" s="399" t="s">
        <v>1240</v>
      </c>
      <c r="G124" s="399" t="s">
        <v>1240</v>
      </c>
      <c r="H124" s="399" t="s">
        <v>1240</v>
      </c>
      <c r="I124" s="399" t="s">
        <v>2328</v>
      </c>
      <c r="J124" s="399" t="s">
        <v>2358</v>
      </c>
      <c r="K124" s="789">
        <v>44501</v>
      </c>
      <c r="L124" s="399">
        <v>0</v>
      </c>
      <c r="M124" s="399">
        <v>0</v>
      </c>
      <c r="N124" s="399">
        <v>390.53</v>
      </c>
      <c r="O124" s="399">
        <v>390.53</v>
      </c>
      <c r="P124" s="399">
        <v>390.53</v>
      </c>
      <c r="Q124" s="399">
        <v>390.53</v>
      </c>
      <c r="R124" s="399"/>
      <c r="S124" s="399">
        <v>69.64</v>
      </c>
      <c r="T124" s="399">
        <v>144.41999999999999</v>
      </c>
      <c r="U124" s="399"/>
      <c r="V124" s="399">
        <v>83596.851799999989</v>
      </c>
      <c r="W124" s="399">
        <v>83596.851799999989</v>
      </c>
      <c r="X124" s="399">
        <v>82261.239199999982</v>
      </c>
      <c r="Y124" s="399">
        <v>0</v>
      </c>
      <c r="Z124" s="399">
        <v>20861.662954894469</v>
      </c>
      <c r="AA124" s="399">
        <v>0</v>
      </c>
      <c r="AB124" s="399">
        <v>0</v>
      </c>
      <c r="AC124" s="399">
        <v>0</v>
      </c>
      <c r="AD124" s="399">
        <v>0</v>
      </c>
      <c r="AE124" s="399">
        <v>0</v>
      </c>
      <c r="AF124" s="399">
        <v>56401.054782413688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3703.3005651558301</v>
      </c>
      <c r="AM124" s="399"/>
      <c r="AN124" s="399">
        <v>194.36100250338393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2436.3613934493455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58837.416175863036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82261.239199999982</v>
      </c>
      <c r="CJ124" s="399">
        <v>-1335.6425999999919</v>
      </c>
      <c r="CK124" s="399"/>
      <c r="CL124" s="399"/>
      <c r="CM124" s="399"/>
      <c r="CN124" s="399"/>
      <c r="CO124" s="399">
        <v>-3616.3077999999991</v>
      </c>
      <c r="CP124" s="399">
        <v>2280.695200000001</v>
      </c>
      <c r="CQ124" s="399">
        <v>30</v>
      </c>
      <c r="CR124" s="399">
        <v>-1336.6237154607516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0</v>
      </c>
      <c r="DA124" s="399">
        <v>0</v>
      </c>
      <c r="DB124" s="399">
        <v>0</v>
      </c>
      <c r="DC124" s="399">
        <v>2280.6141253237292</v>
      </c>
      <c r="DD124" s="399">
        <v>0</v>
      </c>
      <c r="DE124" s="399">
        <v>0</v>
      </c>
      <c r="DF124" s="399">
        <v>0</v>
      </c>
      <c r="DG124" s="399">
        <v>98.515891763528998</v>
      </c>
      <c r="DH124" s="399">
        <v>0</v>
      </c>
      <c r="DI124" s="399">
        <v>-3205.0005417358661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-487.29717420102452</v>
      </c>
      <c r="DP124" s="399">
        <v>-23.456016611110925</v>
      </c>
      <c r="DQ124" s="399">
        <v>0</v>
      </c>
      <c r="DR124" s="399">
        <v>0</v>
      </c>
      <c r="DS124" s="399"/>
      <c r="DT124" s="399"/>
      <c r="DU124" s="399"/>
      <c r="DV124" s="399">
        <v>0</v>
      </c>
      <c r="DW124" s="399">
        <v>0</v>
      </c>
      <c r="DX124" s="399">
        <v>0</v>
      </c>
      <c r="DY124" s="399">
        <v>-3616.3077999999987</v>
      </c>
      <c r="DZ124" s="399">
        <v>2280.6952000000019</v>
      </c>
      <c r="EA124" s="399">
        <v>0</v>
      </c>
      <c r="EB124" s="399">
        <v>0</v>
      </c>
      <c r="EC124" s="399">
        <v>0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225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8" customFormat="1">
      <c r="A125" s="399">
        <v>123</v>
      </c>
      <c r="B125" s="399" t="s">
        <v>957</v>
      </c>
      <c r="C125" s="399" t="s">
        <v>2366</v>
      </c>
      <c r="D125" s="399" t="s">
        <v>534</v>
      </c>
      <c r="E125" s="399" t="s">
        <v>919</v>
      </c>
      <c r="F125" s="399" t="s">
        <v>1240</v>
      </c>
      <c r="G125" s="399" t="s">
        <v>1240</v>
      </c>
      <c r="H125" s="399" t="s">
        <v>1240</v>
      </c>
      <c r="I125" s="399" t="s">
        <v>1240</v>
      </c>
      <c r="J125" s="399" t="s">
        <v>2358</v>
      </c>
      <c r="K125" s="789">
        <v>44501</v>
      </c>
      <c r="L125" s="399">
        <v>1860</v>
      </c>
      <c r="M125" s="399">
        <v>1860</v>
      </c>
      <c r="N125" s="399">
        <v>0</v>
      </c>
      <c r="O125" s="399">
        <v>0</v>
      </c>
      <c r="P125" s="399">
        <v>0</v>
      </c>
      <c r="Q125" s="399">
        <v>0</v>
      </c>
      <c r="R125" s="399">
        <v>34.950000000000003</v>
      </c>
      <c r="S125" s="399"/>
      <c r="T125" s="399"/>
      <c r="U125" s="399">
        <v>65007.000000000007</v>
      </c>
      <c r="V125" s="399"/>
      <c r="W125" s="399">
        <v>65007.000000000007</v>
      </c>
      <c r="X125" s="399">
        <v>64132.799999999996</v>
      </c>
      <c r="Y125" s="399">
        <v>0</v>
      </c>
      <c r="Z125" s="399">
        <v>0</v>
      </c>
      <c r="AA125" s="399">
        <v>0</v>
      </c>
      <c r="AB125" s="399">
        <v>0</v>
      </c>
      <c r="AC125" s="399">
        <v>0</v>
      </c>
      <c r="AD125" s="399">
        <v>23565.78989127282</v>
      </c>
      <c r="AE125" s="399">
        <v>41449.74286622354</v>
      </c>
      <c r="AF125" s="399"/>
      <c r="AG125" s="399"/>
      <c r="AH125" s="399"/>
      <c r="AI125" s="399">
        <v>0</v>
      </c>
      <c r="AJ125" s="399">
        <v>0</v>
      </c>
      <c r="AK125" s="399">
        <v>0</v>
      </c>
      <c r="AL125" s="399">
        <v>0</v>
      </c>
      <c r="AM125" s="399"/>
      <c r="AN125" s="399">
        <v>0</v>
      </c>
      <c r="AO125" s="399">
        <v>0</v>
      </c>
      <c r="AP125" s="399">
        <v>0</v>
      </c>
      <c r="AQ125" s="399">
        <v>0</v>
      </c>
      <c r="AR125" s="399">
        <v>0</v>
      </c>
      <c r="AS125" s="399"/>
      <c r="AT125" s="399"/>
      <c r="AU125" s="399">
        <v>0</v>
      </c>
      <c r="AV125" s="399">
        <v>0</v>
      </c>
      <c r="AW125" s="399">
        <v>0</v>
      </c>
      <c r="AX125" s="399"/>
      <c r="AY125" s="399"/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/>
      <c r="BG125" s="399">
        <v>0</v>
      </c>
      <c r="BH125" s="399">
        <v>0</v>
      </c>
      <c r="BI125" s="399">
        <v>0</v>
      </c>
      <c r="BJ125" s="399">
        <v>0</v>
      </c>
      <c r="BK125" s="399">
        <v>67617.13</v>
      </c>
      <c r="BL125" s="399">
        <v>15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0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64132.799999999996</v>
      </c>
      <c r="CJ125" s="399">
        <v>-874.23000000001775</v>
      </c>
      <c r="CK125" s="399"/>
      <c r="CL125" s="399"/>
      <c r="CM125" s="399"/>
      <c r="CN125" s="399"/>
      <c r="CO125" s="399">
        <v>-874.20000000001107</v>
      </c>
      <c r="CP125" s="399">
        <v>0</v>
      </c>
      <c r="CQ125" s="399">
        <v>30</v>
      </c>
      <c r="CR125" s="399">
        <v>986.26015889560222</v>
      </c>
      <c r="CS125" s="399">
        <v>0</v>
      </c>
      <c r="CT125" s="399">
        <v>0</v>
      </c>
      <c r="CU125" s="399">
        <v>0</v>
      </c>
      <c r="CV125" s="399">
        <v>0</v>
      </c>
      <c r="CW125" s="399"/>
      <c r="CX125" s="399"/>
      <c r="CY125" s="399"/>
      <c r="CZ125" s="399">
        <v>986.26015889560222</v>
      </c>
      <c r="DA125" s="399">
        <v>0</v>
      </c>
      <c r="DB125" s="399">
        <v>0</v>
      </c>
      <c r="DC125" s="399"/>
      <c r="DD125" s="399"/>
      <c r="DE125" s="399">
        <v>0</v>
      </c>
      <c r="DF125" s="399">
        <v>0</v>
      </c>
      <c r="DG125" s="399">
        <v>0</v>
      </c>
      <c r="DH125" s="399">
        <v>0</v>
      </c>
      <c r="DI125" s="399">
        <v>0</v>
      </c>
      <c r="DJ125" s="399"/>
      <c r="DK125" s="399">
        <v>0</v>
      </c>
      <c r="DL125" s="399">
        <v>0</v>
      </c>
      <c r="DM125" s="399"/>
      <c r="DN125" s="399">
        <v>0</v>
      </c>
      <c r="DO125" s="399">
        <v>0</v>
      </c>
      <c r="DP125" s="399">
        <v>0</v>
      </c>
      <c r="DQ125" s="399">
        <v>0</v>
      </c>
      <c r="DR125" s="399">
        <v>0</v>
      </c>
      <c r="DS125" s="399"/>
      <c r="DT125" s="399"/>
      <c r="DU125" s="399">
        <v>41449.74286622354</v>
      </c>
      <c r="DV125" s="399"/>
      <c r="DW125" s="399">
        <v>0</v>
      </c>
      <c r="DX125" s="399">
        <v>0</v>
      </c>
      <c r="DY125" s="399">
        <v>-874.20000000001164</v>
      </c>
      <c r="DZ125" s="399"/>
      <c r="EA125" s="399">
        <v>0</v>
      </c>
      <c r="EB125" s="399"/>
      <c r="EC125" s="399">
        <v>-1866.7816240202737</v>
      </c>
      <c r="ED125" s="399"/>
      <c r="EE125" s="399">
        <v>0</v>
      </c>
      <c r="EF125" s="399">
        <v>0</v>
      </c>
      <c r="EG125" s="399"/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/>
      <c r="EN125" s="399"/>
      <c r="EO125" s="399">
        <v>0</v>
      </c>
      <c r="EP125" s="399">
        <v>0</v>
      </c>
      <c r="EQ125" s="399"/>
      <c r="ER125" s="399">
        <v>0</v>
      </c>
      <c r="ES125" s="399"/>
      <c r="ET125" s="399">
        <v>0</v>
      </c>
      <c r="EU125" s="399"/>
      <c r="EV125" s="399">
        <v>225</v>
      </c>
      <c r="EW125" s="399"/>
      <c r="EX125" s="399"/>
      <c r="EY125" s="399"/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8" customFormat="1">
      <c r="A126" s="399">
        <v>124</v>
      </c>
      <c r="B126" s="399" t="s">
        <v>957</v>
      </c>
      <c r="C126" s="399" t="s">
        <v>2367</v>
      </c>
      <c r="D126" s="399" t="s">
        <v>1826</v>
      </c>
      <c r="E126" s="399" t="s">
        <v>919</v>
      </c>
      <c r="F126" s="399" t="s">
        <v>1240</v>
      </c>
      <c r="G126" s="399" t="s">
        <v>1240</v>
      </c>
      <c r="H126" s="399" t="s">
        <v>1240</v>
      </c>
      <c r="I126" s="399" t="s">
        <v>894</v>
      </c>
      <c r="J126" s="399" t="s">
        <v>2358</v>
      </c>
      <c r="K126" s="789">
        <v>44501</v>
      </c>
      <c r="L126" s="399">
        <v>0</v>
      </c>
      <c r="M126" s="399">
        <v>0</v>
      </c>
      <c r="N126" s="399">
        <v>7.3999999999999996E-2</v>
      </c>
      <c r="O126" s="399">
        <v>7.3999999999999996E-2</v>
      </c>
      <c r="P126" s="399">
        <v>7.3999999999999996E-2</v>
      </c>
      <c r="Q126" s="399">
        <v>7.3999999999999996E-2</v>
      </c>
      <c r="R126" s="399"/>
      <c r="S126" s="399">
        <v>1585.55</v>
      </c>
      <c r="T126" s="399">
        <v>144.41999999999999</v>
      </c>
      <c r="U126" s="399"/>
      <c r="V126" s="399">
        <v>128.01777999999999</v>
      </c>
      <c r="W126" s="399">
        <v>128.01777999999999</v>
      </c>
      <c r="X126" s="399">
        <v>124.96898</v>
      </c>
      <c r="Y126" s="399">
        <v>0</v>
      </c>
      <c r="Z126" s="399">
        <v>4.5436721821956381</v>
      </c>
      <c r="AA126" s="399">
        <v>0</v>
      </c>
      <c r="AB126" s="399">
        <v>0</v>
      </c>
      <c r="AC126" s="399">
        <v>0</v>
      </c>
      <c r="AD126" s="399">
        <v>26.046239890689403</v>
      </c>
      <c r="AE126" s="399">
        <v>84.735854526220805</v>
      </c>
      <c r="AF126" s="399">
        <v>10.687214948655962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0.70172391832005598</v>
      </c>
      <c r="AM126" s="399"/>
      <c r="AN126" s="399">
        <v>0.10765928407550225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1.1957159986671397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11.882930947323102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118.21390000000002</v>
      </c>
      <c r="CJ126" s="399">
        <v>-9.8338799999999651</v>
      </c>
      <c r="CK126" s="399"/>
      <c r="CL126" s="399"/>
      <c r="CM126" s="399"/>
      <c r="CN126" s="399"/>
      <c r="CO126" s="399">
        <v>-3.4809599999999969</v>
      </c>
      <c r="CP126" s="399">
        <v>0.43216000000000021</v>
      </c>
      <c r="CQ126" s="399">
        <v>30</v>
      </c>
      <c r="CR126" s="399">
        <v>0.76718647930776029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1.0900703439921351</v>
      </c>
      <c r="DA126" s="399">
        <v>0</v>
      </c>
      <c r="DB126" s="399">
        <v>0</v>
      </c>
      <c r="DC126" s="399">
        <v>0.43214463747716181</v>
      </c>
      <c r="DD126" s="399">
        <v>0</v>
      </c>
      <c r="DE126" s="399">
        <v>0</v>
      </c>
      <c r="DF126" s="399">
        <v>0</v>
      </c>
      <c r="DG126" s="399">
        <v>4.8349570889334448E-2</v>
      </c>
      <c r="DH126" s="399">
        <v>0</v>
      </c>
      <c r="DI126" s="399">
        <v>-0.69804942381118673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-9.2336032803820078E-2</v>
      </c>
      <c r="DP126" s="399">
        <v>-1.299261643585764E-2</v>
      </c>
      <c r="DQ126" s="399">
        <v>0</v>
      </c>
      <c r="DR126" s="399">
        <v>0</v>
      </c>
      <c r="DS126" s="399"/>
      <c r="DT126" s="399"/>
      <c r="DU126" s="399"/>
      <c r="DV126" s="399">
        <v>84.735854526220805</v>
      </c>
      <c r="DW126" s="399">
        <v>0</v>
      </c>
      <c r="DX126" s="399">
        <v>0</v>
      </c>
      <c r="DY126" s="399">
        <v>-3.4809599999999961</v>
      </c>
      <c r="DZ126" s="399">
        <v>0.43216000000000143</v>
      </c>
      <c r="EA126" s="399">
        <v>0</v>
      </c>
      <c r="EB126" s="399">
        <v>0</v>
      </c>
      <c r="EC126" s="399">
        <v>-3.8162682127064045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225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8" customFormat="1">
      <c r="A127" s="399">
        <v>125</v>
      </c>
      <c r="B127" s="399" t="s">
        <v>957</v>
      </c>
      <c r="C127" s="399" t="s">
        <v>2367</v>
      </c>
      <c r="D127" s="399" t="s">
        <v>1826</v>
      </c>
      <c r="E127" s="399" t="s">
        <v>919</v>
      </c>
      <c r="F127" s="399" t="s">
        <v>1240</v>
      </c>
      <c r="G127" s="399" t="s">
        <v>1240</v>
      </c>
      <c r="H127" s="399" t="s">
        <v>1240</v>
      </c>
      <c r="I127" s="399" t="s">
        <v>2328</v>
      </c>
      <c r="J127" s="399" t="s">
        <v>2358</v>
      </c>
      <c r="K127" s="789">
        <v>44501</v>
      </c>
      <c r="L127" s="399">
        <v>0</v>
      </c>
      <c r="M127" s="399">
        <v>0</v>
      </c>
      <c r="N127" s="399">
        <v>5.657</v>
      </c>
      <c r="O127" s="399">
        <v>5.657</v>
      </c>
      <c r="P127" s="399">
        <v>5.657</v>
      </c>
      <c r="Q127" s="399">
        <v>5.657</v>
      </c>
      <c r="R127" s="399"/>
      <c r="S127" s="399">
        <v>387.88</v>
      </c>
      <c r="T127" s="399">
        <v>144.41999999999999</v>
      </c>
      <c r="U127" s="399"/>
      <c r="V127" s="399">
        <v>3011.2211000000002</v>
      </c>
      <c r="W127" s="399">
        <v>3011.2211000000002</v>
      </c>
      <c r="X127" s="399">
        <v>2944.8644899999999</v>
      </c>
      <c r="Y127" s="399">
        <v>0</v>
      </c>
      <c r="Z127" s="399">
        <v>347.34531803622605</v>
      </c>
      <c r="AA127" s="399">
        <v>0</v>
      </c>
      <c r="AB127" s="399">
        <v>0</v>
      </c>
      <c r="AC127" s="399">
        <v>0</v>
      </c>
      <c r="AD127" s="399">
        <v>398.05477465519976</v>
      </c>
      <c r="AE127" s="399">
        <v>1295.5427396372258</v>
      </c>
      <c r="AF127" s="399">
        <v>816.99425627765925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53.643948728872388</v>
      </c>
      <c r="AM127" s="399"/>
      <c r="AN127" s="399">
        <v>8.230115811015084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91.40764060081095</v>
      </c>
      <c r="BH127" s="399">
        <v>0</v>
      </c>
      <c r="BI127" s="399">
        <v>0</v>
      </c>
      <c r="BJ127" s="399">
        <v>0</v>
      </c>
      <c r="BK127" s="399">
        <v>0</v>
      </c>
      <c r="BL127" s="399">
        <v>0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908.40189687847021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2946.4261999999999</v>
      </c>
      <c r="CJ127" s="399">
        <v>-64.82490000000098</v>
      </c>
      <c r="CK127" s="399"/>
      <c r="CL127" s="399"/>
      <c r="CM127" s="399"/>
      <c r="CN127" s="399"/>
      <c r="CO127" s="399">
        <v>-99.393489999999957</v>
      </c>
      <c r="CP127" s="399">
        <v>33.036880000000018</v>
      </c>
      <c r="CQ127" s="399">
        <v>30</v>
      </c>
      <c r="CR127" s="399">
        <v>-8.0240321291594228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16.659130337320278</v>
      </c>
      <c r="DA127" s="399">
        <v>0</v>
      </c>
      <c r="DB127" s="399">
        <v>0</v>
      </c>
      <c r="DC127" s="399">
        <v>33.03570559740956</v>
      </c>
      <c r="DD127" s="399">
        <v>0</v>
      </c>
      <c r="DE127" s="399">
        <v>0</v>
      </c>
      <c r="DF127" s="399">
        <v>0</v>
      </c>
      <c r="DG127" s="399">
        <v>3.696128682715738</v>
      </c>
      <c r="DH127" s="399">
        <v>0</v>
      </c>
      <c r="DI127" s="399">
        <v>-53.363048520268705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-7.0587153725839187</v>
      </c>
      <c r="DP127" s="399">
        <v>-0.993232853751981</v>
      </c>
      <c r="DQ127" s="399">
        <v>0</v>
      </c>
      <c r="DR127" s="399">
        <v>0</v>
      </c>
      <c r="DS127" s="399"/>
      <c r="DT127" s="399"/>
      <c r="DU127" s="399"/>
      <c r="DV127" s="399">
        <v>1295.5427396372258</v>
      </c>
      <c r="DW127" s="399">
        <v>0</v>
      </c>
      <c r="DX127" s="399">
        <v>0</v>
      </c>
      <c r="DY127" s="399">
        <v>-99.393489999999929</v>
      </c>
      <c r="DZ127" s="399">
        <v>33.036879999999996</v>
      </c>
      <c r="EA127" s="399">
        <v>0</v>
      </c>
      <c r="EB127" s="399">
        <v>0</v>
      </c>
      <c r="EC127" s="399">
        <v>-58.347656999789479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225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8" customFormat="1">
      <c r="A128" s="399">
        <v>126</v>
      </c>
      <c r="B128" s="399" t="s">
        <v>957</v>
      </c>
      <c r="C128" s="399" t="s">
        <v>2367</v>
      </c>
      <c r="D128" s="399" t="s">
        <v>1826</v>
      </c>
      <c r="E128" s="399" t="s">
        <v>919</v>
      </c>
      <c r="F128" s="399" t="s">
        <v>1240</v>
      </c>
      <c r="G128" s="399" t="s">
        <v>1240</v>
      </c>
      <c r="H128" s="399" t="s">
        <v>1240</v>
      </c>
      <c r="I128" s="399" t="s">
        <v>1240</v>
      </c>
      <c r="J128" s="399" t="s">
        <v>2358</v>
      </c>
      <c r="K128" s="789">
        <v>44501</v>
      </c>
      <c r="L128" s="399">
        <v>0</v>
      </c>
      <c r="M128" s="399">
        <v>0</v>
      </c>
      <c r="N128" s="399">
        <v>0</v>
      </c>
      <c r="O128" s="399">
        <v>0</v>
      </c>
      <c r="P128" s="399">
        <v>0</v>
      </c>
      <c r="Q128" s="399">
        <v>0</v>
      </c>
      <c r="R128" s="399"/>
      <c r="S128" s="399"/>
      <c r="T128" s="399"/>
      <c r="U128" s="399"/>
      <c r="V128" s="399"/>
      <c r="W128" s="399"/>
      <c r="X128" s="399"/>
      <c r="Y128" s="399"/>
      <c r="Z128" s="399"/>
      <c r="AA128" s="399">
        <v>0</v>
      </c>
      <c r="AB128" s="399"/>
      <c r="AC128" s="399"/>
      <c r="AD128" s="399"/>
      <c r="AE128" s="399"/>
      <c r="AF128" s="399"/>
      <c r="AG128" s="399"/>
      <c r="AH128" s="399"/>
      <c r="AI128" s="399"/>
      <c r="AJ128" s="399"/>
      <c r="AK128" s="399"/>
      <c r="AL128" s="399"/>
      <c r="AM128" s="399"/>
      <c r="AN128" s="399"/>
      <c r="AO128" s="399"/>
      <c r="AP128" s="399"/>
      <c r="AQ128" s="399"/>
      <c r="AR128" s="399"/>
      <c r="AS128" s="399"/>
      <c r="AT128" s="399"/>
      <c r="AU128" s="399"/>
      <c r="AV128" s="399"/>
      <c r="AW128" s="399"/>
      <c r="AX128" s="399"/>
      <c r="AY128" s="399"/>
      <c r="AZ128" s="399">
        <v>0</v>
      </c>
      <c r="BA128" s="399"/>
      <c r="BB128" s="399"/>
      <c r="BC128" s="399"/>
      <c r="BD128" s="399"/>
      <c r="BE128" s="399"/>
      <c r="BF128" s="399"/>
      <c r="BG128" s="399"/>
      <c r="BH128" s="399"/>
      <c r="BI128" s="399">
        <v>0</v>
      </c>
      <c r="BJ128" s="399">
        <v>0</v>
      </c>
      <c r="BK128" s="399">
        <v>1218.52</v>
      </c>
      <c r="BL128" s="399">
        <v>4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/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/>
      <c r="CJ128" s="399">
        <v>-0.03</v>
      </c>
      <c r="CK128" s="399"/>
      <c r="CL128" s="399"/>
      <c r="CM128" s="399"/>
      <c r="CN128" s="399"/>
      <c r="CO128" s="399">
        <v>0</v>
      </c>
      <c r="CP128" s="399">
        <v>0</v>
      </c>
      <c r="CQ128" s="399">
        <v>30</v>
      </c>
      <c r="CR128" s="399"/>
      <c r="CS128" s="399"/>
      <c r="CT128" s="399"/>
      <c r="CU128" s="399"/>
      <c r="CV128" s="399"/>
      <c r="CW128" s="399"/>
      <c r="CX128" s="399"/>
      <c r="CY128" s="399"/>
      <c r="CZ128" s="399"/>
      <c r="DA128" s="399"/>
      <c r="DB128" s="399"/>
      <c r="DC128" s="399"/>
      <c r="DD128" s="399"/>
      <c r="DE128" s="399"/>
      <c r="DF128" s="399"/>
      <c r="DG128" s="399"/>
      <c r="DH128" s="399"/>
      <c r="DI128" s="399"/>
      <c r="DJ128" s="399"/>
      <c r="DK128" s="399">
        <v>0</v>
      </c>
      <c r="DL128" s="399"/>
      <c r="DM128" s="399"/>
      <c r="DN128" s="399"/>
      <c r="DO128" s="399"/>
      <c r="DP128" s="399"/>
      <c r="DQ128" s="399"/>
      <c r="DR128" s="399"/>
      <c r="DS128" s="399"/>
      <c r="DT128" s="399"/>
      <c r="DU128" s="399"/>
      <c r="DV128" s="399"/>
      <c r="DW128" s="399"/>
      <c r="DX128" s="399"/>
      <c r="DY128" s="399"/>
      <c r="DZ128" s="399"/>
      <c r="EA128" s="399"/>
      <c r="EB128" s="399"/>
      <c r="EC128" s="399"/>
      <c r="ED128" s="399"/>
      <c r="EE128" s="399"/>
      <c r="EF128" s="399"/>
      <c r="EG128" s="399"/>
      <c r="EH128" s="399"/>
      <c r="EI128" s="399"/>
      <c r="EJ128" s="399"/>
      <c r="EK128" s="399"/>
      <c r="EL128" s="399"/>
      <c r="EM128" s="399"/>
      <c r="EN128" s="399"/>
      <c r="EO128" s="399"/>
      <c r="EP128" s="399"/>
      <c r="EQ128" s="399"/>
      <c r="ER128" s="399"/>
      <c r="ES128" s="399"/>
      <c r="ET128" s="399"/>
      <c r="EU128" s="399"/>
      <c r="EV128" s="399">
        <v>225</v>
      </c>
      <c r="EW128" s="399"/>
      <c r="EX128" s="399"/>
      <c r="EY128" s="399"/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8" customFormat="1">
      <c r="A129" s="399">
        <v>127</v>
      </c>
      <c r="B129" s="399" t="s">
        <v>957</v>
      </c>
      <c r="C129" s="399" t="s">
        <v>2367</v>
      </c>
      <c r="D129" s="399" t="s">
        <v>1826</v>
      </c>
      <c r="E129" s="399" t="s">
        <v>919</v>
      </c>
      <c r="F129" s="399" t="s">
        <v>1240</v>
      </c>
      <c r="G129" s="399" t="s">
        <v>1240</v>
      </c>
      <c r="H129" s="399" t="s">
        <v>1240</v>
      </c>
      <c r="I129" s="399" t="s">
        <v>2368</v>
      </c>
      <c r="J129" s="399" t="s">
        <v>2358</v>
      </c>
      <c r="K129" s="789">
        <v>44501</v>
      </c>
      <c r="L129" s="399">
        <v>0</v>
      </c>
      <c r="M129" s="399">
        <v>0</v>
      </c>
      <c r="N129" s="399">
        <v>0.104</v>
      </c>
      <c r="O129" s="399">
        <v>0.104</v>
      </c>
      <c r="P129" s="399">
        <v>0.104</v>
      </c>
      <c r="Q129" s="399">
        <v>0.104</v>
      </c>
      <c r="R129" s="399"/>
      <c r="S129" s="399">
        <v>986.74</v>
      </c>
      <c r="T129" s="399">
        <v>144.41999999999999</v>
      </c>
      <c r="U129" s="399"/>
      <c r="V129" s="399">
        <v>117.64063999999999</v>
      </c>
      <c r="W129" s="399">
        <v>117.64063999999999</v>
      </c>
      <c r="X129" s="399">
        <v>114.88775999999999</v>
      </c>
      <c r="Y129" s="399">
        <v>0</v>
      </c>
      <c r="Z129" s="399">
        <v>6.3857014452479239</v>
      </c>
      <c r="AA129" s="399">
        <v>0</v>
      </c>
      <c r="AB129" s="399">
        <v>0</v>
      </c>
      <c r="AC129" s="399">
        <v>0</v>
      </c>
      <c r="AD129" s="399">
        <v>21.964364407863172</v>
      </c>
      <c r="AE129" s="399">
        <v>71.452949401947137</v>
      </c>
      <c r="AF129" s="399">
        <v>15.019869657570542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0.98620658790926785</v>
      </c>
      <c r="AM129" s="399"/>
      <c r="AN129" s="399">
        <v>0.15130493978178694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1.6804657278565207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16.700335385427064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110.46899999999999</v>
      </c>
      <c r="CJ129" s="399">
        <v>-7.2016400000000118</v>
      </c>
      <c r="CK129" s="399"/>
      <c r="CL129" s="399"/>
      <c r="CM129" s="399"/>
      <c r="CN129" s="399"/>
      <c r="CO129" s="399">
        <v>-3.3602400000000059</v>
      </c>
      <c r="CP129" s="399">
        <v>0.60736000000000034</v>
      </c>
      <c r="CQ129" s="399">
        <v>30</v>
      </c>
      <c r="CR129" s="399">
        <v>0.46545560915384954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0.91923833789944354</v>
      </c>
      <c r="DA129" s="399">
        <v>0</v>
      </c>
      <c r="DB129" s="399">
        <v>0</v>
      </c>
      <c r="DC129" s="399">
        <v>0.60733840942736173</v>
      </c>
      <c r="DD129" s="399">
        <v>0</v>
      </c>
      <c r="DE129" s="399">
        <v>0</v>
      </c>
      <c r="DF129" s="399">
        <v>0</v>
      </c>
      <c r="DG129" s="399">
        <v>6.7950748276902395E-2</v>
      </c>
      <c r="DH129" s="399">
        <v>0</v>
      </c>
      <c r="DI129" s="399">
        <v>-0.98104243346437059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-0.12976955961617953</v>
      </c>
      <c r="DP129" s="399">
        <v>-1.825989336931344E-2</v>
      </c>
      <c r="DQ129" s="399">
        <v>0</v>
      </c>
      <c r="DR129" s="399">
        <v>0</v>
      </c>
      <c r="DS129" s="399"/>
      <c r="DT129" s="399"/>
      <c r="DU129" s="399"/>
      <c r="DV129" s="399">
        <v>71.452949401947137</v>
      </c>
      <c r="DW129" s="399">
        <v>0</v>
      </c>
      <c r="DX129" s="399">
        <v>0</v>
      </c>
      <c r="DY129" s="399">
        <v>-3.3602400000000046</v>
      </c>
      <c r="DZ129" s="399">
        <v>0.60736000000000168</v>
      </c>
      <c r="EA129" s="399">
        <v>0</v>
      </c>
      <c r="EB129" s="399">
        <v>0</v>
      </c>
      <c r="EC129" s="399">
        <v>-3.2180429527902135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225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8" customFormat="1">
      <c r="A130" s="399">
        <v>128</v>
      </c>
      <c r="B130" s="399" t="s">
        <v>957</v>
      </c>
      <c r="C130" s="399" t="s">
        <v>2357</v>
      </c>
      <c r="D130" s="399" t="s">
        <v>2369</v>
      </c>
      <c r="E130" s="399" t="s">
        <v>895</v>
      </c>
      <c r="F130" s="399" t="s">
        <v>1240</v>
      </c>
      <c r="G130" s="399" t="s">
        <v>1240</v>
      </c>
      <c r="H130" s="399" t="s">
        <v>1240</v>
      </c>
      <c r="I130" s="399" t="s">
        <v>1240</v>
      </c>
      <c r="J130" s="399" t="s">
        <v>2358</v>
      </c>
      <c r="K130" s="789">
        <v>44501</v>
      </c>
      <c r="L130" s="399">
        <v>0</v>
      </c>
      <c r="M130" s="399">
        <v>0</v>
      </c>
      <c r="N130" s="399">
        <v>335.06099999999998</v>
      </c>
      <c r="O130" s="399">
        <v>335.06099999999998</v>
      </c>
      <c r="P130" s="399">
        <v>335.06099999999998</v>
      </c>
      <c r="Q130" s="399">
        <v>335.06099999999998</v>
      </c>
      <c r="R130" s="399"/>
      <c r="S130" s="399">
        <v>522.37</v>
      </c>
      <c r="T130" s="399">
        <v>144.41999999999999</v>
      </c>
      <c r="U130" s="399"/>
      <c r="V130" s="399">
        <v>223415.32418999998</v>
      </c>
      <c r="W130" s="399">
        <v>223415.32418999998</v>
      </c>
      <c r="X130" s="399">
        <v>218372.65613999998</v>
      </c>
      <c r="Y130" s="399">
        <v>0</v>
      </c>
      <c r="Z130" s="399">
        <v>20573.072230252066</v>
      </c>
      <c r="AA130" s="399">
        <v>0</v>
      </c>
      <c r="AB130" s="399">
        <v>0</v>
      </c>
      <c r="AC130" s="399">
        <v>0</v>
      </c>
      <c r="AD130" s="399">
        <v>34164.043692182866</v>
      </c>
      <c r="AE130" s="399">
        <v>111209.16450490608</v>
      </c>
      <c r="AF130" s="399">
        <v>48390.120647454263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3177.3015918410306</v>
      </c>
      <c r="AM130" s="399"/>
      <c r="AN130" s="399">
        <v>487.4652348867819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5414.0243003974392</v>
      </c>
      <c r="BH130" s="399">
        <v>0</v>
      </c>
      <c r="BI130" s="399">
        <v>4.5599999999999996</v>
      </c>
      <c r="BJ130" s="399">
        <v>21.26</v>
      </c>
      <c r="BK130" s="399">
        <v>51995.11</v>
      </c>
      <c r="BL130" s="399">
        <v>764</v>
      </c>
      <c r="BM130" s="399"/>
      <c r="BN130" s="399"/>
      <c r="BO130" s="399"/>
      <c r="BP130" s="399"/>
      <c r="BQ130" s="399"/>
      <c r="BR130" s="399">
        <v>26201.770200000006</v>
      </c>
      <c r="BS130" s="399"/>
      <c r="BT130" s="399"/>
      <c r="BU130" s="399"/>
      <c r="BV130" s="399">
        <v>53804.144947851702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192170.3124</v>
      </c>
      <c r="CJ130" s="399">
        <v>-4433.4605700000247</v>
      </c>
      <c r="CK130" s="399"/>
      <c r="CL130" s="399"/>
      <c r="CM130" s="399"/>
      <c r="CN130" s="399"/>
      <c r="CO130" s="399">
        <v>-6999.4242899999954</v>
      </c>
      <c r="CP130" s="399">
        <v>1956.7562400000011</v>
      </c>
      <c r="CQ130" s="399">
        <v>30</v>
      </c>
      <c r="CR130" s="399">
        <v>-32.158737786099664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1429.8114052545716</v>
      </c>
      <c r="DA130" s="399">
        <v>0</v>
      </c>
      <c r="DB130" s="399">
        <v>0</v>
      </c>
      <c r="DC130" s="399">
        <v>1956.6866807802071</v>
      </c>
      <c r="DD130" s="399">
        <v>0</v>
      </c>
      <c r="DE130" s="399">
        <v>0</v>
      </c>
      <c r="DF130" s="399">
        <v>0</v>
      </c>
      <c r="DG130" s="399">
        <v>218.91966988853073</v>
      </c>
      <c r="DH130" s="399">
        <v>0</v>
      </c>
      <c r="DI130" s="399">
        <v>-3160.6640269135169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-418.08383090919915</v>
      </c>
      <c r="DP130" s="399">
        <v>-58.828635886687834</v>
      </c>
      <c r="DQ130" s="399">
        <v>0</v>
      </c>
      <c r="DR130" s="399">
        <v>0</v>
      </c>
      <c r="DS130" s="399"/>
      <c r="DT130" s="399"/>
      <c r="DU130" s="399"/>
      <c r="DV130" s="399">
        <v>111209.16450490608</v>
      </c>
      <c r="DW130" s="399">
        <v>0</v>
      </c>
      <c r="DX130" s="399">
        <v>0</v>
      </c>
      <c r="DY130" s="399">
        <v>-6999.4242899999954</v>
      </c>
      <c r="DZ130" s="399">
        <v>1956.7562400000024</v>
      </c>
      <c r="EA130" s="399">
        <v>0</v>
      </c>
      <c r="EB130" s="399">
        <v>0</v>
      </c>
      <c r="EC130" s="399">
        <v>-5008.5527765622246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225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8" customFormat="1">
      <c r="A131" s="399">
        <v>129</v>
      </c>
      <c r="B131" s="399" t="s">
        <v>2359</v>
      </c>
      <c r="C131" s="399" t="s">
        <v>2357</v>
      </c>
      <c r="D131" s="399" t="s">
        <v>2369</v>
      </c>
      <c r="E131" s="399" t="s">
        <v>895</v>
      </c>
      <c r="F131" s="399" t="s">
        <v>1240</v>
      </c>
      <c r="G131" s="399" t="s">
        <v>1240</v>
      </c>
      <c r="H131" s="399" t="s">
        <v>1240</v>
      </c>
      <c r="I131" s="399" t="s">
        <v>1240</v>
      </c>
      <c r="J131" s="399" t="s">
        <v>2358</v>
      </c>
      <c r="K131" s="789">
        <v>44501</v>
      </c>
      <c r="L131" s="399">
        <v>0</v>
      </c>
      <c r="M131" s="399">
        <v>0</v>
      </c>
      <c r="N131" s="399">
        <v>-1.5720000000000001</v>
      </c>
      <c r="O131" s="399">
        <v>-1.5720000000000001</v>
      </c>
      <c r="P131" s="399">
        <v>-1.5720000000000001</v>
      </c>
      <c r="Q131" s="399">
        <v>-1.5720000000000001</v>
      </c>
      <c r="R131" s="399"/>
      <c r="S131" s="399">
        <v>522.37</v>
      </c>
      <c r="T131" s="399">
        <v>144.41999999999999</v>
      </c>
      <c r="U131" s="399"/>
      <c r="V131" s="399">
        <v>-1048.19388</v>
      </c>
      <c r="W131" s="399">
        <v>-1048.19388</v>
      </c>
      <c r="X131" s="399">
        <v>-1024.5352800000001</v>
      </c>
      <c r="Y131" s="399">
        <v>0</v>
      </c>
      <c r="Z131" s="399">
        <v>-96.522333383939781</v>
      </c>
      <c r="AA131" s="399">
        <v>0</v>
      </c>
      <c r="AB131" s="399">
        <v>0</v>
      </c>
      <c r="AC131" s="399">
        <v>0</v>
      </c>
      <c r="AD131" s="399">
        <v>-160.28686324016067</v>
      </c>
      <c r="AE131" s="399">
        <v>-521.7581473275385</v>
      </c>
      <c r="AF131" s="399">
        <v>-227.03110674712397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-14.906891886474703</v>
      </c>
      <c r="AM131" s="399"/>
      <c r="AN131" s="399">
        <v>-2.2870323590093182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-25.400885809523565</v>
      </c>
      <c r="BH131" s="399">
        <v>0</v>
      </c>
      <c r="BI131" s="399">
        <v>0</v>
      </c>
      <c r="BJ131" s="399">
        <v>0</v>
      </c>
      <c r="BK131" s="399">
        <v>-261.13</v>
      </c>
      <c r="BL131" s="399">
        <v>0</v>
      </c>
      <c r="BM131" s="399"/>
      <c r="BN131" s="399"/>
      <c r="BO131" s="399"/>
      <c r="BP131" s="399"/>
      <c r="BQ131" s="399"/>
      <c r="BR131" s="399">
        <v>-122.93040000000002</v>
      </c>
      <c r="BS131" s="399"/>
      <c r="BT131" s="399"/>
      <c r="BU131" s="399"/>
      <c r="BV131" s="399">
        <v>-252.43199255664754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-900.45780000000002</v>
      </c>
      <c r="CJ131" s="399">
        <v>21.914640000000077</v>
      </c>
      <c r="CK131" s="399"/>
      <c r="CL131" s="399"/>
      <c r="CM131" s="399"/>
      <c r="CN131" s="399"/>
      <c r="CO131" s="399">
        <v>32.839079999999981</v>
      </c>
      <c r="CP131" s="399">
        <v>-9.1804800000000064</v>
      </c>
      <c r="CQ131" s="399">
        <v>30</v>
      </c>
      <c r="CR131" s="399">
        <v>0.15087860359676597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-6.7082218732116985</v>
      </c>
      <c r="DA131" s="399">
        <v>0</v>
      </c>
      <c r="DB131" s="399">
        <v>0</v>
      </c>
      <c r="DC131" s="399">
        <v>-9.1801536501905332</v>
      </c>
      <c r="DD131" s="399">
        <v>0</v>
      </c>
      <c r="DE131" s="399">
        <v>0</v>
      </c>
      <c r="DF131" s="399">
        <v>0</v>
      </c>
      <c r="DG131" s="399">
        <v>-1.0271016951085628</v>
      </c>
      <c r="DH131" s="399">
        <v>0</v>
      </c>
      <c r="DI131" s="399">
        <v>14.828833705826838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1.9615168049676353</v>
      </c>
      <c r="DP131" s="399">
        <v>0.27600531131308381</v>
      </c>
      <c r="DQ131" s="399">
        <v>0</v>
      </c>
      <c r="DR131" s="399">
        <v>0</v>
      </c>
      <c r="DS131" s="399"/>
      <c r="DT131" s="399"/>
      <c r="DU131" s="399"/>
      <c r="DV131" s="399">
        <v>-521.7581473275385</v>
      </c>
      <c r="DW131" s="399">
        <v>0</v>
      </c>
      <c r="DX131" s="399">
        <v>0</v>
      </c>
      <c r="DY131" s="399">
        <v>32.839079999999967</v>
      </c>
      <c r="DZ131" s="399">
        <v>-9.1804800000000171</v>
      </c>
      <c r="EA131" s="399">
        <v>0</v>
      </c>
      <c r="EB131" s="399">
        <v>0</v>
      </c>
      <c r="EC131" s="399">
        <v>23.498541951333721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225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8" customFormat="1">
      <c r="A132" s="399">
        <v>130</v>
      </c>
      <c r="B132" s="399" t="s">
        <v>2360</v>
      </c>
      <c r="C132" s="399" t="s">
        <v>2357</v>
      </c>
      <c r="D132" s="399" t="s">
        <v>2369</v>
      </c>
      <c r="E132" s="399" t="s">
        <v>895</v>
      </c>
      <c r="F132" s="399" t="s">
        <v>1240</v>
      </c>
      <c r="G132" s="399" t="s">
        <v>1240</v>
      </c>
      <c r="H132" s="399" t="s">
        <v>1240</v>
      </c>
      <c r="I132" s="399" t="s">
        <v>1240</v>
      </c>
      <c r="J132" s="399" t="s">
        <v>2358</v>
      </c>
      <c r="K132" s="789">
        <v>44501</v>
      </c>
      <c r="L132" s="399">
        <v>0</v>
      </c>
      <c r="M132" s="399">
        <v>0</v>
      </c>
      <c r="N132" s="399">
        <v>1.4790000000000001</v>
      </c>
      <c r="O132" s="399">
        <v>1.4790000000000001</v>
      </c>
      <c r="P132" s="399">
        <v>1.4790000000000001</v>
      </c>
      <c r="Q132" s="399">
        <v>1.4790000000000001</v>
      </c>
      <c r="R132" s="399"/>
      <c r="S132" s="399">
        <v>522.37</v>
      </c>
      <c r="T132" s="399">
        <v>144.41999999999999</v>
      </c>
      <c r="U132" s="399"/>
      <c r="V132" s="399">
        <v>986.18241</v>
      </c>
      <c r="W132" s="399">
        <v>986.18241</v>
      </c>
      <c r="X132" s="399">
        <v>963.92346000000009</v>
      </c>
      <c r="Y132" s="399">
        <v>0</v>
      </c>
      <c r="Z132" s="399">
        <v>90.812042668477702</v>
      </c>
      <c r="AA132" s="399">
        <v>0</v>
      </c>
      <c r="AB132" s="399">
        <v>0</v>
      </c>
      <c r="AC132" s="399">
        <v>0</v>
      </c>
      <c r="AD132" s="399">
        <v>150.8042434683191</v>
      </c>
      <c r="AE132" s="399">
        <v>490.89077601617646</v>
      </c>
      <c r="AF132" s="399">
        <v>213.5998771494888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14.024995610748146</v>
      </c>
      <c r="AM132" s="399"/>
      <c r="AN132" s="399">
        <v>2.1517308263198358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23.898161649036485</v>
      </c>
      <c r="BH132" s="399">
        <v>0</v>
      </c>
      <c r="BI132" s="399">
        <v>0</v>
      </c>
      <c r="BJ132" s="399">
        <v>0</v>
      </c>
      <c r="BK132" s="399">
        <v>411.14</v>
      </c>
      <c r="BL132" s="399">
        <v>6</v>
      </c>
      <c r="BM132" s="399"/>
      <c r="BN132" s="399"/>
      <c r="BO132" s="399"/>
      <c r="BP132" s="399"/>
      <c r="BQ132" s="399"/>
      <c r="BR132" s="399">
        <v>115.65780000000002</v>
      </c>
      <c r="BS132" s="399"/>
      <c r="BT132" s="399"/>
      <c r="BU132" s="399"/>
      <c r="BV132" s="399">
        <v>237.4980387985253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848.83919999999989</v>
      </c>
      <c r="CJ132" s="399">
        <v>-19.023630000000139</v>
      </c>
      <c r="CK132" s="399"/>
      <c r="CL132" s="399"/>
      <c r="CM132" s="399"/>
      <c r="CN132" s="399"/>
      <c r="CO132" s="399">
        <v>-30.896309999999982</v>
      </c>
      <c r="CP132" s="399">
        <v>8.6373600000000064</v>
      </c>
      <c r="CQ132" s="399">
        <v>30</v>
      </c>
      <c r="CR132" s="399">
        <v>-0.14195257933823768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6.3113614188804945</v>
      </c>
      <c r="DA132" s="399">
        <v>0</v>
      </c>
      <c r="DB132" s="399">
        <v>0</v>
      </c>
      <c r="DC132" s="399">
        <v>8.6370529571448742</v>
      </c>
      <c r="DD132" s="399">
        <v>0</v>
      </c>
      <c r="DE132" s="399">
        <v>0</v>
      </c>
      <c r="DF132" s="399">
        <v>0</v>
      </c>
      <c r="DG132" s="399">
        <v>0.96633804520710243</v>
      </c>
      <c r="DH132" s="399">
        <v>0</v>
      </c>
      <c r="DI132" s="399">
        <v>-13.951555375901975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-1.8454728718493207</v>
      </c>
      <c r="DP132" s="399">
        <v>-0.25967675281937108</v>
      </c>
      <c r="DQ132" s="399">
        <v>0</v>
      </c>
      <c r="DR132" s="399">
        <v>0</v>
      </c>
      <c r="DS132" s="399"/>
      <c r="DT132" s="399"/>
      <c r="DU132" s="399"/>
      <c r="DV132" s="399">
        <v>490.89077601617646</v>
      </c>
      <c r="DW132" s="399">
        <v>0</v>
      </c>
      <c r="DX132" s="399">
        <v>0</v>
      </c>
      <c r="DY132" s="399">
        <v>-30.896309999999971</v>
      </c>
      <c r="DZ132" s="399">
        <v>8.637360000000001</v>
      </c>
      <c r="EA132" s="399">
        <v>0</v>
      </c>
      <c r="EB132" s="399">
        <v>0</v>
      </c>
      <c r="EC132" s="399">
        <v>-22.108361034365487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225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957</v>
      </c>
      <c r="C133" s="399" t="s">
        <v>2366</v>
      </c>
      <c r="D133" s="399" t="s">
        <v>534</v>
      </c>
      <c r="E133" s="399" t="s">
        <v>895</v>
      </c>
      <c r="F133" s="399" t="s">
        <v>1240</v>
      </c>
      <c r="G133" s="399" t="s">
        <v>1240</v>
      </c>
      <c r="H133" s="399" t="s">
        <v>1240</v>
      </c>
      <c r="I133" s="399" t="s">
        <v>894</v>
      </c>
      <c r="J133" s="399" t="s">
        <v>2358</v>
      </c>
      <c r="K133" s="789">
        <v>44501</v>
      </c>
      <c r="L133" s="399">
        <v>0</v>
      </c>
      <c r="M133" s="399">
        <v>0</v>
      </c>
      <c r="N133" s="399">
        <v>0.65900000000000003</v>
      </c>
      <c r="O133" s="399">
        <v>0.63263999999999998</v>
      </c>
      <c r="P133" s="399">
        <v>0.65900000000000003</v>
      </c>
      <c r="Q133" s="399">
        <v>0.63263999999999998</v>
      </c>
      <c r="R133" s="399"/>
      <c r="S133" s="399">
        <v>2740.31</v>
      </c>
      <c r="T133" s="399">
        <v>144.41999999999999</v>
      </c>
      <c r="U133" s="399"/>
      <c r="V133" s="399">
        <v>1901.0370700000001</v>
      </c>
      <c r="W133" s="399">
        <v>1901.0370700000001</v>
      </c>
      <c r="X133" s="399">
        <v>1862.61078</v>
      </c>
      <c r="Y133" s="399">
        <v>0</v>
      </c>
      <c r="Z133" s="399">
        <v>35.203021246192243</v>
      </c>
      <c r="AA133" s="399">
        <v>0</v>
      </c>
      <c r="AB133" s="399">
        <v>0</v>
      </c>
      <c r="AC133" s="399">
        <v>0</v>
      </c>
      <c r="AD133" s="399">
        <v>496.00479393000762</v>
      </c>
      <c r="AE133" s="399">
        <v>1263.9669859910939</v>
      </c>
      <c r="AF133" s="399">
        <v>95.173981772490265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6.249135975309688</v>
      </c>
      <c r="AM133" s="399"/>
      <c r="AN133" s="399">
        <v>0.3279745490736436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4.1112389785243613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>
        <v>74.504431200000141</v>
      </c>
      <c r="BS133" s="399"/>
      <c r="BT133" s="399"/>
      <c r="BU133" s="399"/>
      <c r="BV133" s="399">
        <v>99.28522075101462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1780.6445999999999</v>
      </c>
      <c r="CJ133" s="399">
        <v>-44.380987200000163</v>
      </c>
      <c r="CK133" s="399"/>
      <c r="CL133" s="399"/>
      <c r="CM133" s="399"/>
      <c r="CN133" s="399"/>
      <c r="CO133" s="399">
        <v>-42.274850000000065</v>
      </c>
      <c r="CP133" s="399">
        <v>3.8485600000000026</v>
      </c>
      <c r="CQ133" s="399">
        <v>30</v>
      </c>
      <c r="CR133" s="399">
        <v>18.502984827803857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20.758471034980289</v>
      </c>
      <c r="DA133" s="399">
        <v>0</v>
      </c>
      <c r="DB133" s="399">
        <v>0</v>
      </c>
      <c r="DC133" s="399">
        <v>3.8484231905060824</v>
      </c>
      <c r="DD133" s="399">
        <v>0</v>
      </c>
      <c r="DE133" s="399">
        <v>0</v>
      </c>
      <c r="DF133" s="399">
        <v>0</v>
      </c>
      <c r="DG133" s="399">
        <v>0.16624067977406565</v>
      </c>
      <c r="DH133" s="399">
        <v>0</v>
      </c>
      <c r="DI133" s="399">
        <v>-5.4082794074819738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-0.82228980564482956</v>
      </c>
      <c r="DP133" s="399">
        <v>-3.9580864329813614E-2</v>
      </c>
      <c r="DQ133" s="399">
        <v>0</v>
      </c>
      <c r="DR133" s="399">
        <v>0</v>
      </c>
      <c r="DS133" s="399"/>
      <c r="DT133" s="399"/>
      <c r="DU133" s="399"/>
      <c r="DV133" s="399">
        <v>1263.9669859910939</v>
      </c>
      <c r="DW133" s="399">
        <v>0</v>
      </c>
      <c r="DX133" s="399">
        <v>0</v>
      </c>
      <c r="DY133" s="399">
        <v>-42.274850000000015</v>
      </c>
      <c r="DZ133" s="399">
        <v>3.848559999999992</v>
      </c>
      <c r="EA133" s="399">
        <v>0</v>
      </c>
      <c r="EB133" s="399">
        <v>0</v>
      </c>
      <c r="EC133" s="399">
        <v>-56.925572504321735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225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957</v>
      </c>
      <c r="C134" s="399" t="s">
        <v>2366</v>
      </c>
      <c r="D134" s="399" t="s">
        <v>534</v>
      </c>
      <c r="E134" s="399" t="s">
        <v>895</v>
      </c>
      <c r="F134" s="399" t="s">
        <v>1240</v>
      </c>
      <c r="G134" s="399" t="s">
        <v>1240</v>
      </c>
      <c r="H134" s="399" t="s">
        <v>1240</v>
      </c>
      <c r="I134" s="399" t="s">
        <v>2328</v>
      </c>
      <c r="J134" s="399" t="s">
        <v>2358</v>
      </c>
      <c r="K134" s="789">
        <v>44501</v>
      </c>
      <c r="L134" s="399">
        <v>0</v>
      </c>
      <c r="M134" s="399">
        <v>0</v>
      </c>
      <c r="N134" s="399">
        <v>37.720999999999997</v>
      </c>
      <c r="O134" s="399">
        <v>36.212159999999997</v>
      </c>
      <c r="P134" s="399">
        <v>37.720999999999997</v>
      </c>
      <c r="Q134" s="399">
        <v>36.212159999999997</v>
      </c>
      <c r="R134" s="399"/>
      <c r="S134" s="399">
        <v>69.64</v>
      </c>
      <c r="T134" s="399">
        <v>144.41999999999999</v>
      </c>
      <c r="U134" s="399"/>
      <c r="V134" s="399">
        <v>8074.5572599999996</v>
      </c>
      <c r="W134" s="399">
        <v>8074.5572599999996</v>
      </c>
      <c r="X134" s="399">
        <v>7945.5514399999993</v>
      </c>
      <c r="Y134" s="399">
        <v>0</v>
      </c>
      <c r="Z134" s="399">
        <v>2015.0123891162632</v>
      </c>
      <c r="AA134" s="399">
        <v>0</v>
      </c>
      <c r="AB134" s="399">
        <v>0</v>
      </c>
      <c r="AC134" s="399">
        <v>0</v>
      </c>
      <c r="AD134" s="399">
        <v>0</v>
      </c>
      <c r="AE134" s="399">
        <v>0</v>
      </c>
      <c r="AF134" s="399">
        <v>5447.7356091655611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357.699025985822</v>
      </c>
      <c r="AM134" s="399"/>
      <c r="AN134" s="399">
        <v>18.773183559342804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235.32632095435116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>
        <v>317.82205759999982</v>
      </c>
      <c r="BS134" s="399"/>
      <c r="BT134" s="399"/>
      <c r="BU134" s="399"/>
      <c r="BV134" s="399">
        <v>5683.0619301199122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7627.2744000000002</v>
      </c>
      <c r="CJ134" s="399">
        <v>-124.33056959999885</v>
      </c>
      <c r="CK134" s="399"/>
      <c r="CL134" s="399"/>
      <c r="CM134" s="399"/>
      <c r="CN134" s="399"/>
      <c r="CO134" s="399">
        <v>-349.29645999999991</v>
      </c>
      <c r="CP134" s="399">
        <v>220.29064000000011</v>
      </c>
      <c r="CQ134" s="399">
        <v>30</v>
      </c>
      <c r="CR134" s="399">
        <v>-129.10348288452769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0</v>
      </c>
      <c r="DA134" s="399">
        <v>0</v>
      </c>
      <c r="DB134" s="399">
        <v>0</v>
      </c>
      <c r="DC134" s="399">
        <v>220.28280905778411</v>
      </c>
      <c r="DD134" s="399">
        <v>0</v>
      </c>
      <c r="DE134" s="399">
        <v>0</v>
      </c>
      <c r="DF134" s="399">
        <v>0</v>
      </c>
      <c r="DG134" s="399">
        <v>9.5155761483422054</v>
      </c>
      <c r="DH134" s="399">
        <v>0</v>
      </c>
      <c r="DI134" s="399">
        <v>-309.56860019670353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-47.067668829633703</v>
      </c>
      <c r="DP134" s="399">
        <v>-2.2655990643169943</v>
      </c>
      <c r="DQ134" s="399">
        <v>0</v>
      </c>
      <c r="DR134" s="399">
        <v>0</v>
      </c>
      <c r="DS134" s="399"/>
      <c r="DT134" s="399"/>
      <c r="DU134" s="399"/>
      <c r="DV134" s="399">
        <v>0</v>
      </c>
      <c r="DW134" s="399">
        <v>0</v>
      </c>
      <c r="DX134" s="399">
        <v>0</v>
      </c>
      <c r="DY134" s="399">
        <v>-349.29645999999957</v>
      </c>
      <c r="DZ134" s="399">
        <v>220.29063999999926</v>
      </c>
      <c r="EA134" s="399">
        <v>0</v>
      </c>
      <c r="EB134" s="399">
        <v>0</v>
      </c>
      <c r="EC134" s="399">
        <v>0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225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957</v>
      </c>
      <c r="C135" s="399" t="s">
        <v>2366</v>
      </c>
      <c r="D135" s="399" t="s">
        <v>534</v>
      </c>
      <c r="E135" s="399" t="s">
        <v>895</v>
      </c>
      <c r="F135" s="399" t="s">
        <v>1240</v>
      </c>
      <c r="G135" s="399" t="s">
        <v>1240</v>
      </c>
      <c r="H135" s="399" t="s">
        <v>1240</v>
      </c>
      <c r="I135" s="399" t="s">
        <v>1240</v>
      </c>
      <c r="J135" s="399" t="s">
        <v>2358</v>
      </c>
      <c r="K135" s="789">
        <v>44501</v>
      </c>
      <c r="L135" s="399">
        <v>153</v>
      </c>
      <c r="M135" s="399">
        <v>146.88</v>
      </c>
      <c r="N135" s="399">
        <v>0</v>
      </c>
      <c r="O135" s="399">
        <v>0</v>
      </c>
      <c r="P135" s="399">
        <v>0</v>
      </c>
      <c r="Q135" s="399">
        <v>0</v>
      </c>
      <c r="R135" s="399">
        <v>34.950000000000003</v>
      </c>
      <c r="S135" s="399"/>
      <c r="T135" s="399"/>
      <c r="U135" s="399">
        <v>5347.35</v>
      </c>
      <c r="V135" s="399"/>
      <c r="W135" s="399">
        <v>5347.35</v>
      </c>
      <c r="X135" s="399">
        <v>5275.44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1938.4762652498609</v>
      </c>
      <c r="AE135" s="399">
        <v>3409.5756228667751</v>
      </c>
      <c r="AF135" s="399"/>
      <c r="AG135" s="399"/>
      <c r="AH135" s="399"/>
      <c r="AI135" s="399">
        <v>0</v>
      </c>
      <c r="AJ135" s="399">
        <v>0</v>
      </c>
      <c r="AK135" s="399">
        <v>0</v>
      </c>
      <c r="AL135" s="399">
        <v>0</v>
      </c>
      <c r="AM135" s="399"/>
      <c r="AN135" s="399">
        <v>0</v>
      </c>
      <c r="AO135" s="399">
        <v>0</v>
      </c>
      <c r="AP135" s="399">
        <v>0</v>
      </c>
      <c r="AQ135" s="399">
        <v>0</v>
      </c>
      <c r="AR135" s="399">
        <v>0</v>
      </c>
      <c r="AS135" s="399"/>
      <c r="AT135" s="399"/>
      <c r="AU135" s="399">
        <v>0</v>
      </c>
      <c r="AV135" s="399">
        <v>0</v>
      </c>
      <c r="AW135" s="399">
        <v>0</v>
      </c>
      <c r="AX135" s="399"/>
      <c r="AY135" s="399"/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/>
      <c r="BG135" s="399">
        <v>0</v>
      </c>
      <c r="BH135" s="399">
        <v>0</v>
      </c>
      <c r="BI135" s="399">
        <v>0</v>
      </c>
      <c r="BJ135" s="399">
        <v>0</v>
      </c>
      <c r="BK135" s="399">
        <v>7169.95</v>
      </c>
      <c r="BL135" s="399">
        <v>1</v>
      </c>
      <c r="BM135" s="399"/>
      <c r="BN135" s="399"/>
      <c r="BO135" s="399"/>
      <c r="BP135" s="399"/>
      <c r="BQ135" s="399"/>
      <c r="BR135" s="399">
        <v>211.01760000000013</v>
      </c>
      <c r="BS135" s="399"/>
      <c r="BT135" s="399"/>
      <c r="BU135" s="399"/>
      <c r="BV135" s="399">
        <v>0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5064.4223999999995</v>
      </c>
      <c r="CJ135" s="399">
        <v>-69.063600000001315</v>
      </c>
      <c r="CK135" s="399"/>
      <c r="CL135" s="399"/>
      <c r="CM135" s="399"/>
      <c r="CN135" s="399"/>
      <c r="CO135" s="399">
        <v>-71.910000000000906</v>
      </c>
      <c r="CP135" s="399">
        <v>0</v>
      </c>
      <c r="CQ135" s="399">
        <v>30</v>
      </c>
      <c r="CR135" s="399">
        <v>81.127851780122</v>
      </c>
      <c r="CS135" s="399">
        <v>0</v>
      </c>
      <c r="CT135" s="399">
        <v>0</v>
      </c>
      <c r="CU135" s="399">
        <v>0</v>
      </c>
      <c r="CV135" s="399">
        <v>0</v>
      </c>
      <c r="CW135" s="399"/>
      <c r="CX135" s="399"/>
      <c r="CY135" s="399"/>
      <c r="CZ135" s="399">
        <v>81.127851780122</v>
      </c>
      <c r="DA135" s="399">
        <v>0</v>
      </c>
      <c r="DB135" s="399">
        <v>0</v>
      </c>
      <c r="DC135" s="399"/>
      <c r="DD135" s="399"/>
      <c r="DE135" s="399">
        <v>0</v>
      </c>
      <c r="DF135" s="399">
        <v>0</v>
      </c>
      <c r="DG135" s="399">
        <v>0</v>
      </c>
      <c r="DH135" s="399">
        <v>0</v>
      </c>
      <c r="DI135" s="399">
        <v>0</v>
      </c>
      <c r="DJ135" s="399"/>
      <c r="DK135" s="399">
        <v>0</v>
      </c>
      <c r="DL135" s="399">
        <v>0</v>
      </c>
      <c r="DM135" s="399"/>
      <c r="DN135" s="399">
        <v>0</v>
      </c>
      <c r="DO135" s="399">
        <v>0</v>
      </c>
      <c r="DP135" s="399">
        <v>0</v>
      </c>
      <c r="DQ135" s="399">
        <v>0</v>
      </c>
      <c r="DR135" s="399">
        <v>0</v>
      </c>
      <c r="DS135" s="399"/>
      <c r="DT135" s="399"/>
      <c r="DU135" s="399">
        <v>3409.5756228667751</v>
      </c>
      <c r="DV135" s="399"/>
      <c r="DW135" s="399">
        <v>0</v>
      </c>
      <c r="DX135" s="399">
        <v>0</v>
      </c>
      <c r="DY135" s="399">
        <v>-71.910000000000764</v>
      </c>
      <c r="DZ135" s="399"/>
      <c r="EA135" s="399">
        <v>0</v>
      </c>
      <c r="EB135" s="399"/>
      <c r="EC135" s="399">
        <v>-153.55784326618368</v>
      </c>
      <c r="ED135" s="399"/>
      <c r="EE135" s="399">
        <v>0</v>
      </c>
      <c r="EF135" s="399">
        <v>0</v>
      </c>
      <c r="EG135" s="399"/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/>
      <c r="EN135" s="399"/>
      <c r="EO135" s="399">
        <v>0</v>
      </c>
      <c r="EP135" s="399">
        <v>0</v>
      </c>
      <c r="EQ135" s="399"/>
      <c r="ER135" s="399">
        <v>0</v>
      </c>
      <c r="ES135" s="399"/>
      <c r="ET135" s="399">
        <v>0</v>
      </c>
      <c r="EU135" s="399"/>
      <c r="EV135" s="399">
        <v>225</v>
      </c>
      <c r="EW135" s="399"/>
      <c r="EX135" s="399"/>
      <c r="EY135" s="399"/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957</v>
      </c>
      <c r="C136" s="399" t="s">
        <v>2357</v>
      </c>
      <c r="D136" s="399" t="s">
        <v>1826</v>
      </c>
      <c r="E136" s="399" t="s">
        <v>2370</v>
      </c>
      <c r="F136" s="399" t="s">
        <v>1240</v>
      </c>
      <c r="G136" s="399" t="s">
        <v>1240</v>
      </c>
      <c r="H136" s="399" t="s">
        <v>1240</v>
      </c>
      <c r="I136" s="399" t="s">
        <v>1240</v>
      </c>
      <c r="J136" s="399" t="s">
        <v>2358</v>
      </c>
      <c r="K136" s="789">
        <v>44501</v>
      </c>
      <c r="L136" s="399">
        <v>0</v>
      </c>
      <c r="M136" s="399">
        <v>0</v>
      </c>
      <c r="N136" s="399">
        <v>77.125</v>
      </c>
      <c r="O136" s="399">
        <v>77.125</v>
      </c>
      <c r="P136" s="399">
        <v>77.125</v>
      </c>
      <c r="Q136" s="399">
        <v>77.125</v>
      </c>
      <c r="R136" s="399"/>
      <c r="S136" s="399">
        <v>522.37</v>
      </c>
      <c r="T136" s="399">
        <v>144.41999999999999</v>
      </c>
      <c r="U136" s="399"/>
      <c r="V136" s="399">
        <v>51426.178749999999</v>
      </c>
      <c r="W136" s="399">
        <v>51426.178749999999</v>
      </c>
      <c r="X136" s="399">
        <v>50265.447500000002</v>
      </c>
      <c r="Y136" s="399">
        <v>0</v>
      </c>
      <c r="Z136" s="399">
        <v>4735.5502304302518</v>
      </c>
      <c r="AA136" s="399">
        <v>0</v>
      </c>
      <c r="AB136" s="399">
        <v>0</v>
      </c>
      <c r="AC136" s="399">
        <v>0</v>
      </c>
      <c r="AD136" s="399">
        <v>7863.9467731535569</v>
      </c>
      <c r="AE136" s="399">
        <v>25598.34421923435</v>
      </c>
      <c r="AF136" s="399">
        <v>11138.533147501232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731.35752973559886</v>
      </c>
      <c r="AM136" s="399"/>
      <c r="AN136" s="399">
        <v>112.20570654490692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1246.210762124367</v>
      </c>
      <c r="BH136" s="399">
        <v>0</v>
      </c>
      <c r="BI136" s="399">
        <v>375.88</v>
      </c>
      <c r="BJ136" s="399">
        <v>1738.25</v>
      </c>
      <c r="BK136" s="399">
        <v>15828.8</v>
      </c>
      <c r="BL136" s="399">
        <v>125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12384.743909625598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50268.706200000001</v>
      </c>
      <c r="CJ136" s="399">
        <v>-1157.5025500000047</v>
      </c>
      <c r="CK136" s="399"/>
      <c r="CL136" s="399"/>
      <c r="CM136" s="399"/>
      <c r="CN136" s="399"/>
      <c r="CO136" s="399">
        <v>-1611.141249999999</v>
      </c>
      <c r="CP136" s="399">
        <v>450.41000000000025</v>
      </c>
      <c r="CQ136" s="399">
        <v>30</v>
      </c>
      <c r="CR136" s="399">
        <v>-7.4023615155274456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329.11680150855682</v>
      </c>
      <c r="DA136" s="399">
        <v>0</v>
      </c>
      <c r="DB136" s="399">
        <v>0</v>
      </c>
      <c r="DC136" s="399">
        <v>450.39398872197489</v>
      </c>
      <c r="DD136" s="399">
        <v>0</v>
      </c>
      <c r="DE136" s="399">
        <v>0</v>
      </c>
      <c r="DF136" s="399">
        <v>0</v>
      </c>
      <c r="DG136" s="399">
        <v>50.391360200539339</v>
      </c>
      <c r="DH136" s="399">
        <v>0</v>
      </c>
      <c r="DI136" s="399">
        <v>-727.5278623167269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-96.235358513440701</v>
      </c>
      <c r="DP136" s="399">
        <v>-13.541291116425953</v>
      </c>
      <c r="DQ136" s="399">
        <v>0</v>
      </c>
      <c r="DR136" s="399">
        <v>0</v>
      </c>
      <c r="DS136" s="399"/>
      <c r="DT136" s="399"/>
      <c r="DU136" s="399"/>
      <c r="DV136" s="399">
        <v>25598.34421923435</v>
      </c>
      <c r="DW136" s="399">
        <v>0</v>
      </c>
      <c r="DX136" s="399">
        <v>0</v>
      </c>
      <c r="DY136" s="399">
        <v>-1611.1412499999933</v>
      </c>
      <c r="DZ136" s="399">
        <v>450.40999999999985</v>
      </c>
      <c r="EA136" s="399">
        <v>0</v>
      </c>
      <c r="EB136" s="399">
        <v>0</v>
      </c>
      <c r="EC136" s="399">
        <v>-1152.8785292599277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225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2360</v>
      </c>
      <c r="C137" s="399" t="s">
        <v>2357</v>
      </c>
      <c r="D137" s="399" t="s">
        <v>1826</v>
      </c>
      <c r="E137" s="399" t="s">
        <v>2370</v>
      </c>
      <c r="F137" s="399" t="s">
        <v>1240</v>
      </c>
      <c r="G137" s="399" t="s">
        <v>1240</v>
      </c>
      <c r="H137" s="399" t="s">
        <v>1240</v>
      </c>
      <c r="I137" s="399" t="s">
        <v>1240</v>
      </c>
      <c r="J137" s="399" t="s">
        <v>2358</v>
      </c>
      <c r="K137" s="789">
        <v>44501</v>
      </c>
      <c r="L137" s="399">
        <v>0</v>
      </c>
      <c r="M137" s="399">
        <v>0</v>
      </c>
      <c r="N137" s="399">
        <v>1.577</v>
      </c>
      <c r="O137" s="399">
        <v>1.577</v>
      </c>
      <c r="P137" s="399">
        <v>1.577</v>
      </c>
      <c r="Q137" s="399">
        <v>1.577</v>
      </c>
      <c r="R137" s="399"/>
      <c r="S137" s="399">
        <v>522.37</v>
      </c>
      <c r="T137" s="399">
        <v>144.41999999999999</v>
      </c>
      <c r="U137" s="399"/>
      <c r="V137" s="399">
        <v>1051.52783</v>
      </c>
      <c r="W137" s="399">
        <v>1051.52783</v>
      </c>
      <c r="X137" s="399">
        <v>1027.7939799999999</v>
      </c>
      <c r="Y137" s="399">
        <v>0</v>
      </c>
      <c r="Z137" s="399">
        <v>96.829338261115169</v>
      </c>
      <c r="AA137" s="399">
        <v>0</v>
      </c>
      <c r="AB137" s="399">
        <v>0</v>
      </c>
      <c r="AC137" s="399">
        <v>0</v>
      </c>
      <c r="AD137" s="399">
        <v>160.79668150746397</v>
      </c>
      <c r="AE137" s="399">
        <v>523.41768341954707</v>
      </c>
      <c r="AF137" s="399">
        <v>227.75321586527639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14.954305664739572</v>
      </c>
      <c r="AM137" s="399"/>
      <c r="AN137" s="399">
        <v>2.2943066349603658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25.481677431055129</v>
      </c>
      <c r="BH137" s="399">
        <v>0</v>
      </c>
      <c r="BI137" s="399">
        <v>5.85</v>
      </c>
      <c r="BJ137" s="399">
        <v>27.05</v>
      </c>
      <c r="BK137" s="399">
        <v>423.82</v>
      </c>
      <c r="BL137" s="399">
        <v>2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253.23489329633151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1029.7492000000002</v>
      </c>
      <c r="CJ137" s="399">
        <v>-21.808629999999766</v>
      </c>
      <c r="CK137" s="399"/>
      <c r="CL137" s="399"/>
      <c r="CM137" s="399"/>
      <c r="CN137" s="399"/>
      <c r="CO137" s="399">
        <v>-32.943529999999974</v>
      </c>
      <c r="CP137" s="399">
        <v>9.2096800000000059</v>
      </c>
      <c r="CQ137" s="399">
        <v>30</v>
      </c>
      <c r="CR137" s="399">
        <v>-0.15135849737407625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6.7295584567779088</v>
      </c>
      <c r="DA137" s="399">
        <v>0</v>
      </c>
      <c r="DB137" s="399">
        <v>0</v>
      </c>
      <c r="DC137" s="399">
        <v>9.2093526121822151</v>
      </c>
      <c r="DD137" s="399">
        <v>0</v>
      </c>
      <c r="DE137" s="399">
        <v>0</v>
      </c>
      <c r="DF137" s="399">
        <v>0</v>
      </c>
      <c r="DG137" s="399">
        <v>1.0303685580064901</v>
      </c>
      <c r="DH137" s="399">
        <v>0</v>
      </c>
      <c r="DI137" s="399">
        <v>-14.875999207435711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-1.9677557261030287</v>
      </c>
      <c r="DP137" s="399">
        <v>-0.27688319080199353</v>
      </c>
      <c r="DQ137" s="399">
        <v>0</v>
      </c>
      <c r="DR137" s="399">
        <v>0</v>
      </c>
      <c r="DS137" s="399"/>
      <c r="DT137" s="399"/>
      <c r="DU137" s="399"/>
      <c r="DV137" s="399">
        <v>523.41768341954707</v>
      </c>
      <c r="DW137" s="399">
        <v>0</v>
      </c>
      <c r="DX137" s="399">
        <v>0</v>
      </c>
      <c r="DY137" s="399">
        <v>-32.943529999999896</v>
      </c>
      <c r="DZ137" s="399">
        <v>9.2096800000000201</v>
      </c>
      <c r="EA137" s="399">
        <v>0</v>
      </c>
      <c r="EB137" s="399">
        <v>0</v>
      </c>
      <c r="EC137" s="399">
        <v>-23.573282860848053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225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957</v>
      </c>
      <c r="C138" s="399" t="s">
        <v>2366</v>
      </c>
      <c r="D138" s="399" t="s">
        <v>534</v>
      </c>
      <c r="E138" s="399" t="s">
        <v>2370</v>
      </c>
      <c r="F138" s="399" t="s">
        <v>1240</v>
      </c>
      <c r="G138" s="399" t="s">
        <v>1240</v>
      </c>
      <c r="H138" s="399" t="s">
        <v>1240</v>
      </c>
      <c r="I138" s="399" t="s">
        <v>894</v>
      </c>
      <c r="J138" s="399" t="s">
        <v>2358</v>
      </c>
      <c r="K138" s="789">
        <v>44501</v>
      </c>
      <c r="L138" s="399">
        <v>0</v>
      </c>
      <c r="M138" s="399">
        <v>0</v>
      </c>
      <c r="N138" s="399">
        <v>9.5000000000000001E-2</v>
      </c>
      <c r="O138" s="399">
        <v>9.5000000000000001E-2</v>
      </c>
      <c r="P138" s="399">
        <v>9.5000000000000001E-2</v>
      </c>
      <c r="Q138" s="399">
        <v>9.5000000000000001E-2</v>
      </c>
      <c r="R138" s="399"/>
      <c r="S138" s="399">
        <v>2740.31</v>
      </c>
      <c r="T138" s="399">
        <v>144.41999999999999</v>
      </c>
      <c r="U138" s="399"/>
      <c r="V138" s="399">
        <v>274.04935</v>
      </c>
      <c r="W138" s="399">
        <v>274.04935</v>
      </c>
      <c r="X138" s="399">
        <v>268.50990000000002</v>
      </c>
      <c r="Y138" s="399">
        <v>0</v>
      </c>
      <c r="Z138" s="399">
        <v>5.0747906197090487</v>
      </c>
      <c r="AA138" s="399">
        <v>0</v>
      </c>
      <c r="AB138" s="399">
        <v>0</v>
      </c>
      <c r="AC138" s="399">
        <v>0</v>
      </c>
      <c r="AD138" s="399">
        <v>71.502967258498813</v>
      </c>
      <c r="AE138" s="399">
        <v>182.21071876958106</v>
      </c>
      <c r="AF138" s="399">
        <v>13.720073244896168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0.9008617870325043</v>
      </c>
      <c r="AM138" s="399"/>
      <c r="AN138" s="399">
        <v>4.7280094327763492E-2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0.5926672275566226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14.312740472452791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282.642</v>
      </c>
      <c r="CJ138" s="399">
        <v>8.5626500000000192</v>
      </c>
      <c r="CK138" s="399"/>
      <c r="CL138" s="399"/>
      <c r="CM138" s="399"/>
      <c r="CN138" s="399"/>
      <c r="CO138" s="399">
        <v>-6.0942500000000086</v>
      </c>
      <c r="CP138" s="399">
        <v>0.55480000000000029</v>
      </c>
      <c r="CQ138" s="399">
        <v>30</v>
      </c>
      <c r="CR138" s="399">
        <v>2.6673498613677538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2.9924958244660473</v>
      </c>
      <c r="DA138" s="399">
        <v>0</v>
      </c>
      <c r="DB138" s="399">
        <v>0</v>
      </c>
      <c r="DC138" s="399">
        <v>0.55478027784230299</v>
      </c>
      <c r="DD138" s="399">
        <v>0</v>
      </c>
      <c r="DE138" s="399">
        <v>0</v>
      </c>
      <c r="DF138" s="399">
        <v>0</v>
      </c>
      <c r="DG138" s="399">
        <v>2.3964893138901711E-2</v>
      </c>
      <c r="DH138" s="399">
        <v>0</v>
      </c>
      <c r="DI138" s="399">
        <v>-0.7796457415945186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-0.11853950157247162</v>
      </c>
      <c r="DP138" s="399">
        <v>-5.7058909124921009E-3</v>
      </c>
      <c r="DQ138" s="399">
        <v>0</v>
      </c>
      <c r="DR138" s="399">
        <v>0</v>
      </c>
      <c r="DS138" s="399"/>
      <c r="DT138" s="399"/>
      <c r="DU138" s="399"/>
      <c r="DV138" s="399">
        <v>182.21071876958106</v>
      </c>
      <c r="DW138" s="399">
        <v>0</v>
      </c>
      <c r="DX138" s="399">
        <v>0</v>
      </c>
      <c r="DY138" s="399">
        <v>-6.0942500000000166</v>
      </c>
      <c r="DZ138" s="399">
        <v>0.55480000000000018</v>
      </c>
      <c r="EA138" s="399">
        <v>0</v>
      </c>
      <c r="EB138" s="399">
        <v>0</v>
      </c>
      <c r="EC138" s="399">
        <v>-8.2062661425046599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225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957</v>
      </c>
      <c r="C139" s="399" t="s">
        <v>2366</v>
      </c>
      <c r="D139" s="399" t="s">
        <v>534</v>
      </c>
      <c r="E139" s="399" t="s">
        <v>2370</v>
      </c>
      <c r="F139" s="399" t="s">
        <v>1240</v>
      </c>
      <c r="G139" s="399" t="s">
        <v>1240</v>
      </c>
      <c r="H139" s="399" t="s">
        <v>1240</v>
      </c>
      <c r="I139" s="399" t="s">
        <v>2328</v>
      </c>
      <c r="J139" s="399" t="s">
        <v>2358</v>
      </c>
      <c r="K139" s="789">
        <v>44501</v>
      </c>
      <c r="L139" s="399">
        <v>0</v>
      </c>
      <c r="M139" s="399">
        <v>0</v>
      </c>
      <c r="N139" s="399">
        <v>2.0819999999999999</v>
      </c>
      <c r="O139" s="399">
        <v>2.0819999999999999</v>
      </c>
      <c r="P139" s="399">
        <v>2.0819999999999999</v>
      </c>
      <c r="Q139" s="399">
        <v>2.0819999999999999</v>
      </c>
      <c r="R139" s="399"/>
      <c r="S139" s="399">
        <v>69.64</v>
      </c>
      <c r="T139" s="399">
        <v>144.41999999999999</v>
      </c>
      <c r="U139" s="399"/>
      <c r="V139" s="399">
        <v>445.67291999999992</v>
      </c>
      <c r="W139" s="399">
        <v>445.67291999999992</v>
      </c>
      <c r="X139" s="399">
        <v>438.55247999999995</v>
      </c>
      <c r="Y139" s="399">
        <v>0</v>
      </c>
      <c r="Z139" s="399">
        <v>111.21804284457093</v>
      </c>
      <c r="AA139" s="399">
        <v>0</v>
      </c>
      <c r="AB139" s="399">
        <v>0</v>
      </c>
      <c r="AC139" s="399">
        <v>0</v>
      </c>
      <c r="AD139" s="399">
        <v>0</v>
      </c>
      <c r="AE139" s="399">
        <v>0</v>
      </c>
      <c r="AF139" s="399">
        <v>300.68623679867181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19.743097269491305</v>
      </c>
      <c r="AM139" s="399"/>
      <c r="AN139" s="399">
        <v>1.0361805935831956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12.988770187083034</v>
      </c>
      <c r="BH139" s="399">
        <v>0</v>
      </c>
      <c r="BI139" s="399">
        <v>0</v>
      </c>
      <c r="BJ139" s="399">
        <v>0</v>
      </c>
      <c r="BK139" s="399">
        <v>0</v>
      </c>
      <c r="BL139" s="399">
        <v>0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313.67500698575486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438.13120000000004</v>
      </c>
      <c r="CJ139" s="399">
        <v>-7.571719999999857</v>
      </c>
      <c r="CK139" s="399"/>
      <c r="CL139" s="399"/>
      <c r="CM139" s="399"/>
      <c r="CN139" s="399"/>
      <c r="CO139" s="399">
        <v>-19.279319999999995</v>
      </c>
      <c r="CP139" s="399">
        <v>12.158880000000007</v>
      </c>
      <c r="CQ139" s="399">
        <v>30</v>
      </c>
      <c r="CR139" s="399">
        <v>-7.1258304754801998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0</v>
      </c>
      <c r="DA139" s="399">
        <v>0</v>
      </c>
      <c r="DB139" s="399">
        <v>0</v>
      </c>
      <c r="DC139" s="399">
        <v>12.158447773343937</v>
      </c>
      <c r="DD139" s="399">
        <v>0</v>
      </c>
      <c r="DE139" s="399">
        <v>0</v>
      </c>
      <c r="DF139" s="399">
        <v>0</v>
      </c>
      <c r="DG139" s="399">
        <v>0.52520955279150883</v>
      </c>
      <c r="DH139" s="399">
        <v>0</v>
      </c>
      <c r="DI139" s="399">
        <v>-17.086551936839868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-2.5978867607777474</v>
      </c>
      <c r="DP139" s="399">
        <v>-0.12504910399798475</v>
      </c>
      <c r="DQ139" s="399">
        <v>0</v>
      </c>
      <c r="DR139" s="399">
        <v>0</v>
      </c>
      <c r="DS139" s="399"/>
      <c r="DT139" s="399"/>
      <c r="DU139" s="399"/>
      <c r="DV139" s="399">
        <v>0</v>
      </c>
      <c r="DW139" s="399">
        <v>0</v>
      </c>
      <c r="DX139" s="399">
        <v>0</v>
      </c>
      <c r="DY139" s="399">
        <v>-19.279319999999998</v>
      </c>
      <c r="DZ139" s="399">
        <v>12.158880000000011</v>
      </c>
      <c r="EA139" s="399">
        <v>0</v>
      </c>
      <c r="EB139" s="399">
        <v>0</v>
      </c>
      <c r="EC139" s="399">
        <v>0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225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957</v>
      </c>
      <c r="C140" s="399" t="s">
        <v>2366</v>
      </c>
      <c r="D140" s="399" t="s">
        <v>534</v>
      </c>
      <c r="E140" s="399" t="s">
        <v>2370</v>
      </c>
      <c r="F140" s="399" t="s">
        <v>1240</v>
      </c>
      <c r="G140" s="399" t="s">
        <v>1240</v>
      </c>
      <c r="H140" s="399" t="s">
        <v>1240</v>
      </c>
      <c r="I140" s="399" t="s">
        <v>1240</v>
      </c>
      <c r="J140" s="399" t="s">
        <v>2358</v>
      </c>
      <c r="K140" s="789">
        <v>44501</v>
      </c>
      <c r="L140" s="399">
        <v>75</v>
      </c>
      <c r="M140" s="399">
        <v>75</v>
      </c>
      <c r="N140" s="399">
        <v>0</v>
      </c>
      <c r="O140" s="399">
        <v>0</v>
      </c>
      <c r="P140" s="399">
        <v>0</v>
      </c>
      <c r="Q140" s="399">
        <v>0</v>
      </c>
      <c r="R140" s="399">
        <v>34.950000000000003</v>
      </c>
      <c r="S140" s="399"/>
      <c r="T140" s="399"/>
      <c r="U140" s="399">
        <v>2621.25</v>
      </c>
      <c r="V140" s="399"/>
      <c r="W140" s="399">
        <v>2621.25</v>
      </c>
      <c r="X140" s="399">
        <v>2585.9999999999995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950.23346335777501</v>
      </c>
      <c r="AE140" s="399">
        <v>1671.3605994444974</v>
      </c>
      <c r="AF140" s="399"/>
      <c r="AG140" s="399"/>
      <c r="AH140" s="399"/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0</v>
      </c>
      <c r="AO140" s="399">
        <v>0</v>
      </c>
      <c r="AP140" s="399">
        <v>0</v>
      </c>
      <c r="AQ140" s="399">
        <v>0</v>
      </c>
      <c r="AR140" s="399">
        <v>0</v>
      </c>
      <c r="AS140" s="399"/>
      <c r="AT140" s="399"/>
      <c r="AU140" s="399">
        <v>0</v>
      </c>
      <c r="AV140" s="399">
        <v>0</v>
      </c>
      <c r="AW140" s="399">
        <v>0</v>
      </c>
      <c r="AX140" s="399"/>
      <c r="AY140" s="399"/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/>
      <c r="BG140" s="399">
        <v>0</v>
      </c>
      <c r="BH140" s="399">
        <v>0</v>
      </c>
      <c r="BI140" s="399">
        <v>22.73</v>
      </c>
      <c r="BJ140" s="399">
        <v>104.95</v>
      </c>
      <c r="BK140" s="399">
        <v>689.66</v>
      </c>
      <c r="BL140" s="399">
        <v>1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>
        <v>0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2585.9999999999995</v>
      </c>
      <c r="CJ140" s="399">
        <v>-35.28000000000111</v>
      </c>
      <c r="CK140" s="399"/>
      <c r="CL140" s="399"/>
      <c r="CM140" s="399"/>
      <c r="CN140" s="399"/>
      <c r="CO140" s="399">
        <v>-35.250000000000448</v>
      </c>
      <c r="CP140" s="399">
        <v>0</v>
      </c>
      <c r="CQ140" s="399">
        <v>30</v>
      </c>
      <c r="CR140" s="399">
        <v>39.768554794177476</v>
      </c>
      <c r="CS140" s="399">
        <v>0</v>
      </c>
      <c r="CT140" s="399">
        <v>0</v>
      </c>
      <c r="CU140" s="399">
        <v>0</v>
      </c>
      <c r="CV140" s="399">
        <v>0</v>
      </c>
      <c r="CW140" s="399"/>
      <c r="CX140" s="399"/>
      <c r="CY140" s="399"/>
      <c r="CZ140" s="399">
        <v>39.768554794177476</v>
      </c>
      <c r="DA140" s="399">
        <v>0</v>
      </c>
      <c r="DB140" s="399">
        <v>0</v>
      </c>
      <c r="DC140" s="399"/>
      <c r="DD140" s="399"/>
      <c r="DE140" s="399">
        <v>0</v>
      </c>
      <c r="DF140" s="399">
        <v>0</v>
      </c>
      <c r="DG140" s="399">
        <v>0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/>
      <c r="DN140" s="399">
        <v>0</v>
      </c>
      <c r="DO140" s="399">
        <v>0</v>
      </c>
      <c r="DP140" s="399">
        <v>0</v>
      </c>
      <c r="DQ140" s="399">
        <v>0</v>
      </c>
      <c r="DR140" s="399">
        <v>0</v>
      </c>
      <c r="DS140" s="399"/>
      <c r="DT140" s="399"/>
      <c r="DU140" s="399">
        <v>1671.3605994444974</v>
      </c>
      <c r="DV140" s="399"/>
      <c r="DW140" s="399">
        <v>0</v>
      </c>
      <c r="DX140" s="399">
        <v>0</v>
      </c>
      <c r="DY140" s="399">
        <v>-35.250000000000455</v>
      </c>
      <c r="DZ140" s="399"/>
      <c r="EA140" s="399">
        <v>0</v>
      </c>
      <c r="EB140" s="399"/>
      <c r="EC140" s="399">
        <v>-75.273452581462379</v>
      </c>
      <c r="ED140" s="399"/>
      <c r="EE140" s="399">
        <v>0</v>
      </c>
      <c r="EF140" s="399">
        <v>0</v>
      </c>
      <c r="EG140" s="399"/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/>
      <c r="EN140" s="399"/>
      <c r="EO140" s="399">
        <v>0</v>
      </c>
      <c r="EP140" s="399">
        <v>0</v>
      </c>
      <c r="EQ140" s="399"/>
      <c r="ER140" s="399">
        <v>0</v>
      </c>
      <c r="ES140" s="399"/>
      <c r="ET140" s="399">
        <v>0</v>
      </c>
      <c r="EU140" s="399"/>
      <c r="EV140" s="399">
        <v>225</v>
      </c>
      <c r="EW140" s="399"/>
      <c r="EX140" s="399"/>
      <c r="EY140" s="399"/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957</v>
      </c>
      <c r="C141" s="399" t="s">
        <v>2357</v>
      </c>
      <c r="D141" s="399" t="s">
        <v>2371</v>
      </c>
      <c r="E141" s="399" t="s">
        <v>2372</v>
      </c>
      <c r="F141" s="399" t="s">
        <v>2373</v>
      </c>
      <c r="G141" s="399" t="s">
        <v>1240</v>
      </c>
      <c r="H141" s="399" t="s">
        <v>1240</v>
      </c>
      <c r="I141" s="399" t="s">
        <v>1240</v>
      </c>
      <c r="J141" s="399" t="s">
        <v>2358</v>
      </c>
      <c r="K141" s="789">
        <v>44501</v>
      </c>
      <c r="L141" s="399">
        <v>0</v>
      </c>
      <c r="M141" s="399">
        <v>0</v>
      </c>
      <c r="N141" s="399">
        <v>370.55399999999997</v>
      </c>
      <c r="O141" s="399">
        <v>370.55399999999997</v>
      </c>
      <c r="P141" s="399">
        <v>370.55399999999997</v>
      </c>
      <c r="Q141" s="399">
        <v>370.55399999999997</v>
      </c>
      <c r="R141" s="399"/>
      <c r="S141" s="399">
        <v>287.3</v>
      </c>
      <c r="T141" s="399">
        <v>79.430000000000007</v>
      </c>
      <c r="U141" s="399"/>
      <c r="V141" s="399">
        <v>135893.26842000001</v>
      </c>
      <c r="W141" s="399">
        <v>135893.26842000001</v>
      </c>
      <c r="X141" s="399">
        <v>132828.78683999999</v>
      </c>
      <c r="Y141" s="399">
        <v>0</v>
      </c>
      <c r="Z141" s="399">
        <v>12513.80737825307</v>
      </c>
      <c r="AA141" s="399">
        <v>0</v>
      </c>
      <c r="AB141" s="399">
        <v>0</v>
      </c>
      <c r="AC141" s="399">
        <v>0</v>
      </c>
      <c r="AD141" s="399">
        <v>20780.671804454181</v>
      </c>
      <c r="AE141" s="399">
        <v>67644.251074201457</v>
      </c>
      <c r="AF141" s="399">
        <v>29433.846438464181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1932.6301710276143</v>
      </c>
      <c r="AM141" s="399"/>
      <c r="AN141" s="399">
        <v>296.50632558408898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3293.1424377507733</v>
      </c>
      <c r="BH141" s="399">
        <v>0</v>
      </c>
      <c r="BI141" s="399">
        <v>1183.72</v>
      </c>
      <c r="BJ141" s="399">
        <v>5463.47</v>
      </c>
      <c r="BK141" s="399">
        <v>60705.15</v>
      </c>
      <c r="BL141" s="399">
        <v>6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32726.988876214953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132827.353</v>
      </c>
      <c r="CJ141" s="399">
        <v>-3065.9454200000037</v>
      </c>
      <c r="CK141" s="399"/>
      <c r="CL141" s="399"/>
      <c r="CM141" s="399"/>
      <c r="CN141" s="399"/>
      <c r="CO141" s="399">
        <v>-4253.9599200000066</v>
      </c>
      <c r="CP141" s="399">
        <v>1189.4783399999976</v>
      </c>
      <c r="CQ141" s="399">
        <v>30</v>
      </c>
      <c r="CR141" s="399">
        <v>-19.560921464901185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869.69920254656608</v>
      </c>
      <c r="DA141" s="399">
        <v>0</v>
      </c>
      <c r="DB141" s="399">
        <v>0</v>
      </c>
      <c r="DC141" s="399">
        <v>1190.1771378058147</v>
      </c>
      <c r="DD141" s="399">
        <v>0</v>
      </c>
      <c r="DE141" s="399">
        <v>0</v>
      </c>
      <c r="DF141" s="399">
        <v>0</v>
      </c>
      <c r="DG141" s="399">
        <v>133.1604025706697</v>
      </c>
      <c r="DH141" s="399">
        <v>0</v>
      </c>
      <c r="DI141" s="399">
        <v>-1922.5101811487948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-254.30429006449322</v>
      </c>
      <c r="DP141" s="399">
        <v>-35.783193174663779</v>
      </c>
      <c r="DQ141" s="399">
        <v>0</v>
      </c>
      <c r="DR141" s="399">
        <v>0</v>
      </c>
      <c r="DS141" s="399"/>
      <c r="DT141" s="399"/>
      <c r="DU141" s="399"/>
      <c r="DV141" s="399">
        <v>67644.251074201457</v>
      </c>
      <c r="DW141" s="399">
        <v>0</v>
      </c>
      <c r="DX141" s="399">
        <v>0</v>
      </c>
      <c r="DY141" s="399">
        <v>-4253.9599200000084</v>
      </c>
      <c r="DZ141" s="399">
        <v>1189.4783399999978</v>
      </c>
      <c r="EA141" s="399">
        <v>0</v>
      </c>
      <c r="EB141" s="399">
        <v>0</v>
      </c>
      <c r="EC141" s="399">
        <v>-3046.5097282626157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225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957</v>
      </c>
      <c r="C142" s="399" t="s">
        <v>2357</v>
      </c>
      <c r="D142" s="399" t="s">
        <v>1826</v>
      </c>
      <c r="E142" s="399" t="s">
        <v>922</v>
      </c>
      <c r="F142" s="399" t="s">
        <v>2374</v>
      </c>
      <c r="G142" s="399" t="s">
        <v>1240</v>
      </c>
      <c r="H142" s="399" t="s">
        <v>1240</v>
      </c>
      <c r="I142" s="399" t="s">
        <v>1240</v>
      </c>
      <c r="J142" s="399" t="s">
        <v>2358</v>
      </c>
      <c r="K142" s="789">
        <v>44501</v>
      </c>
      <c r="L142" s="399">
        <v>0</v>
      </c>
      <c r="M142" s="399">
        <v>0</v>
      </c>
      <c r="N142" s="399">
        <v>18.056999999999999</v>
      </c>
      <c r="O142" s="399">
        <v>16.973579999999998</v>
      </c>
      <c r="P142" s="399">
        <v>18.056999999999999</v>
      </c>
      <c r="Q142" s="399">
        <v>16.973579999999998</v>
      </c>
      <c r="R142" s="399"/>
      <c r="S142" s="399">
        <v>522.37</v>
      </c>
      <c r="T142" s="399">
        <v>144.41999999999999</v>
      </c>
      <c r="U142" s="399"/>
      <c r="V142" s="399">
        <v>12040.227029999998</v>
      </c>
      <c r="W142" s="399">
        <v>12040.227029999998</v>
      </c>
      <c r="X142" s="399">
        <v>11768.46918</v>
      </c>
      <c r="Y142" s="399">
        <v>0</v>
      </c>
      <c r="Z142" s="399">
        <v>1108.7174134311708</v>
      </c>
      <c r="AA142" s="399">
        <v>0</v>
      </c>
      <c r="AB142" s="399">
        <v>0</v>
      </c>
      <c r="AC142" s="399">
        <v>0</v>
      </c>
      <c r="AD142" s="399">
        <v>1841.1576905391737</v>
      </c>
      <c r="AE142" s="399">
        <v>5993.2486426802552</v>
      </c>
      <c r="AF142" s="399">
        <v>2607.8248692956854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171.23011882574662</v>
      </c>
      <c r="AM142" s="399"/>
      <c r="AN142" s="399">
        <v>26.270320169612759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291.77086199908842</v>
      </c>
      <c r="BH142" s="399">
        <v>0</v>
      </c>
      <c r="BI142" s="399">
        <v>83.68</v>
      </c>
      <c r="BJ142" s="399">
        <v>387.41</v>
      </c>
      <c r="BK142" s="399">
        <v>4521.3999999999996</v>
      </c>
      <c r="BL142" s="399">
        <v>33</v>
      </c>
      <c r="BM142" s="399"/>
      <c r="BN142" s="399"/>
      <c r="BO142" s="399"/>
      <c r="BP142" s="399"/>
      <c r="BQ142" s="399">
        <v>706.1081508000002</v>
      </c>
      <c r="BR142" s="399"/>
      <c r="BS142" s="399"/>
      <c r="BT142" s="399"/>
      <c r="BU142" s="399"/>
      <c r="BV142" s="399">
        <v>2899.5957312947739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11060.0278</v>
      </c>
      <c r="CJ142" s="399">
        <v>-257.81560819999868</v>
      </c>
      <c r="CK142" s="399"/>
      <c r="CL142" s="399"/>
      <c r="CM142" s="399"/>
      <c r="CN142" s="399"/>
      <c r="CO142" s="399">
        <v>-377.21072999999973</v>
      </c>
      <c r="CP142" s="399">
        <v>105.45288000000005</v>
      </c>
      <c r="CQ142" s="399">
        <v>30</v>
      </c>
      <c r="CR142" s="399">
        <v>-1.7330883875001746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77.05493789095658</v>
      </c>
      <c r="DA142" s="399">
        <v>0</v>
      </c>
      <c r="DB142" s="399">
        <v>0</v>
      </c>
      <c r="DC142" s="399">
        <v>105.44913133682576</v>
      </c>
      <c r="DD142" s="399">
        <v>0</v>
      </c>
      <c r="DE142" s="399">
        <v>0</v>
      </c>
      <c r="DF142" s="399">
        <v>0</v>
      </c>
      <c r="DG142" s="399">
        <v>11.797948669577181</v>
      </c>
      <c r="DH142" s="399">
        <v>0</v>
      </c>
      <c r="DI142" s="399">
        <v>-170.3334925102514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-22.531239788359159</v>
      </c>
      <c r="DP142" s="399">
        <v>-3.1703739862470464</v>
      </c>
      <c r="DQ142" s="399">
        <v>0</v>
      </c>
      <c r="DR142" s="399">
        <v>0</v>
      </c>
      <c r="DS142" s="399"/>
      <c r="DT142" s="399"/>
      <c r="DU142" s="399"/>
      <c r="DV142" s="399">
        <v>5993.2486426802552</v>
      </c>
      <c r="DW142" s="399">
        <v>0</v>
      </c>
      <c r="DX142" s="399">
        <v>0</v>
      </c>
      <c r="DY142" s="399">
        <v>-377.21072999999888</v>
      </c>
      <c r="DZ142" s="399">
        <v>105.45287999999982</v>
      </c>
      <c r="EA142" s="399">
        <v>0</v>
      </c>
      <c r="EB142" s="399">
        <v>0</v>
      </c>
      <c r="EC142" s="399">
        <v>-269.91932062037722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225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957</v>
      </c>
      <c r="C143" s="399" t="s">
        <v>2366</v>
      </c>
      <c r="D143" s="399" t="s">
        <v>534</v>
      </c>
      <c r="E143" s="399" t="s">
        <v>922</v>
      </c>
      <c r="F143" s="399" t="s">
        <v>2374</v>
      </c>
      <c r="G143" s="399" t="s">
        <v>1240</v>
      </c>
      <c r="H143" s="399" t="s">
        <v>1240</v>
      </c>
      <c r="I143" s="399" t="s">
        <v>894</v>
      </c>
      <c r="J143" s="399" t="s">
        <v>2358</v>
      </c>
      <c r="K143" s="789">
        <v>44501</v>
      </c>
      <c r="L143" s="399">
        <v>0</v>
      </c>
      <c r="M143" s="399">
        <v>0</v>
      </c>
      <c r="N143" s="399">
        <v>0.57299999999999995</v>
      </c>
      <c r="O143" s="399">
        <v>0.53861999999999999</v>
      </c>
      <c r="P143" s="399">
        <v>0.57299999999999995</v>
      </c>
      <c r="Q143" s="399">
        <v>0.53861999999999999</v>
      </c>
      <c r="R143" s="399"/>
      <c r="S143" s="399">
        <v>2740.31</v>
      </c>
      <c r="T143" s="399">
        <v>144.41999999999999</v>
      </c>
      <c r="U143" s="399"/>
      <c r="V143" s="399">
        <v>1652.9502899999998</v>
      </c>
      <c r="W143" s="399">
        <v>1652.9502899999998</v>
      </c>
      <c r="X143" s="399">
        <v>1619.5386599999997</v>
      </c>
      <c r="Y143" s="399">
        <v>0</v>
      </c>
      <c r="Z143" s="399">
        <v>30.609000264139837</v>
      </c>
      <c r="AA143" s="399">
        <v>0</v>
      </c>
      <c r="AB143" s="399">
        <v>0</v>
      </c>
      <c r="AC143" s="399">
        <v>0</v>
      </c>
      <c r="AD143" s="399">
        <v>431.27579199073494</v>
      </c>
      <c r="AE143" s="399">
        <v>1099.018335315473</v>
      </c>
      <c r="AF143" s="399">
        <v>82.753704940268463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5.4336189891539464</v>
      </c>
      <c r="AM143" s="399"/>
      <c r="AN143" s="399">
        <v>0.28517362157693132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3.5747191725257341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>
        <v>97.172319599999895</v>
      </c>
      <c r="BR143" s="399"/>
      <c r="BS143" s="399"/>
      <c r="BT143" s="399"/>
      <c r="BU143" s="399"/>
      <c r="BV143" s="399">
        <v>86.328424112794195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1526.2668000000001</v>
      </c>
      <c r="CJ143" s="399">
        <v>-27.536472599999797</v>
      </c>
      <c r="CK143" s="399"/>
      <c r="CL143" s="399"/>
      <c r="CM143" s="399"/>
      <c r="CN143" s="399"/>
      <c r="CO143" s="399">
        <v>-36.757950000000051</v>
      </c>
      <c r="CP143" s="399">
        <v>3.3463200000000017</v>
      </c>
      <c r="CQ143" s="399">
        <v>30</v>
      </c>
      <c r="CR143" s="399">
        <v>16.088331269091782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18.049474814937298</v>
      </c>
      <c r="DA143" s="399">
        <v>0</v>
      </c>
      <c r="DB143" s="399">
        <v>0</v>
      </c>
      <c r="DC143" s="399">
        <v>3.3462010442488292</v>
      </c>
      <c r="DD143" s="399">
        <v>0</v>
      </c>
      <c r="DE143" s="399">
        <v>0</v>
      </c>
      <c r="DF143" s="399">
        <v>0</v>
      </c>
      <c r="DG143" s="399">
        <v>0.14454614493253315</v>
      </c>
      <c r="DH143" s="399">
        <v>0</v>
      </c>
      <c r="DI143" s="399">
        <v>-4.7024948414069385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-0.71498036211606575</v>
      </c>
      <c r="DP143" s="399">
        <v>-3.4415531503768138E-2</v>
      </c>
      <c r="DQ143" s="399">
        <v>0</v>
      </c>
      <c r="DR143" s="399">
        <v>0</v>
      </c>
      <c r="DS143" s="399"/>
      <c r="DT143" s="399"/>
      <c r="DU143" s="399"/>
      <c r="DV143" s="399">
        <v>1099.018335315473</v>
      </c>
      <c r="DW143" s="399">
        <v>0</v>
      </c>
      <c r="DX143" s="399">
        <v>0</v>
      </c>
      <c r="DY143" s="399">
        <v>-36.757950000000164</v>
      </c>
      <c r="DZ143" s="399">
        <v>3.3463199999999915</v>
      </c>
      <c r="EA143" s="399">
        <v>0</v>
      </c>
      <c r="EB143" s="399">
        <v>0</v>
      </c>
      <c r="EC143" s="399">
        <v>-49.496742101633345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225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957</v>
      </c>
      <c r="C144" s="399" t="s">
        <v>2366</v>
      </c>
      <c r="D144" s="399" t="s">
        <v>534</v>
      </c>
      <c r="E144" s="399" t="s">
        <v>922</v>
      </c>
      <c r="F144" s="399" t="s">
        <v>2374</v>
      </c>
      <c r="G144" s="399" t="s">
        <v>1240</v>
      </c>
      <c r="H144" s="399" t="s">
        <v>1240</v>
      </c>
      <c r="I144" s="399" t="s">
        <v>2328</v>
      </c>
      <c r="J144" s="399" t="s">
        <v>2358</v>
      </c>
      <c r="K144" s="789">
        <v>44501</v>
      </c>
      <c r="L144" s="399">
        <v>0</v>
      </c>
      <c r="M144" s="399">
        <v>0</v>
      </c>
      <c r="N144" s="399">
        <v>3.375</v>
      </c>
      <c r="O144" s="399">
        <v>3.1724999999999999</v>
      </c>
      <c r="P144" s="399">
        <v>3.375</v>
      </c>
      <c r="Q144" s="399">
        <v>3.1724999999999999</v>
      </c>
      <c r="R144" s="399"/>
      <c r="S144" s="399">
        <v>69.64</v>
      </c>
      <c r="T144" s="399">
        <v>144.41999999999999</v>
      </c>
      <c r="U144" s="399"/>
      <c r="V144" s="399">
        <v>722.45249999999999</v>
      </c>
      <c r="W144" s="399">
        <v>722.45249999999999</v>
      </c>
      <c r="X144" s="399">
        <v>710.91</v>
      </c>
      <c r="Y144" s="399">
        <v>0</v>
      </c>
      <c r="Z144" s="399">
        <v>180.28861412124252</v>
      </c>
      <c r="AA144" s="399">
        <v>0</v>
      </c>
      <c r="AB144" s="399">
        <v>0</v>
      </c>
      <c r="AC144" s="399">
        <v>0</v>
      </c>
      <c r="AD144" s="399">
        <v>0</v>
      </c>
      <c r="AE144" s="399">
        <v>0</v>
      </c>
      <c r="AF144" s="399">
        <v>487.42365475289023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32.004300328786336</v>
      </c>
      <c r="AM144" s="399"/>
      <c r="AN144" s="399">
        <v>1.6796875616442293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21.055283084248437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>
        <v>42.654600000000023</v>
      </c>
      <c r="BR144" s="399"/>
      <c r="BS144" s="399"/>
      <c r="BT144" s="399"/>
      <c r="BU144" s="399"/>
      <c r="BV144" s="399">
        <v>508.47893783713869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667.72879999999998</v>
      </c>
      <c r="CJ144" s="399">
        <v>-11.406549999999925</v>
      </c>
      <c r="CK144" s="399"/>
      <c r="CL144" s="399"/>
      <c r="CM144" s="399"/>
      <c r="CN144" s="399"/>
      <c r="CO144" s="399">
        <v>-31.252499999999994</v>
      </c>
      <c r="CP144" s="399">
        <v>19.710000000000012</v>
      </c>
      <c r="CQ144" s="399">
        <v>30</v>
      </c>
      <c r="CR144" s="399">
        <v>-11.55123816270202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0</v>
      </c>
      <c r="DA144" s="399">
        <v>0</v>
      </c>
      <c r="DB144" s="399">
        <v>0</v>
      </c>
      <c r="DC144" s="399">
        <v>19.70929934439755</v>
      </c>
      <c r="DD144" s="399">
        <v>0</v>
      </c>
      <c r="DE144" s="399">
        <v>0</v>
      </c>
      <c r="DF144" s="399">
        <v>0</v>
      </c>
      <c r="DG144" s="399">
        <v>0.85138436151360963</v>
      </c>
      <c r="DH144" s="399">
        <v>0</v>
      </c>
      <c r="DI144" s="399">
        <v>-27.697940819805268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-4.2112717663904391</v>
      </c>
      <c r="DP144" s="399">
        <v>-0.20270928241748254</v>
      </c>
      <c r="DQ144" s="399">
        <v>0</v>
      </c>
      <c r="DR144" s="399">
        <v>0</v>
      </c>
      <c r="DS144" s="399"/>
      <c r="DT144" s="399"/>
      <c r="DU144" s="399"/>
      <c r="DV144" s="399">
        <v>0</v>
      </c>
      <c r="DW144" s="399">
        <v>0</v>
      </c>
      <c r="DX144" s="399">
        <v>0</v>
      </c>
      <c r="DY144" s="399">
        <v>-31.252499999999998</v>
      </c>
      <c r="DZ144" s="399">
        <v>19.70999999999998</v>
      </c>
      <c r="EA144" s="399">
        <v>0</v>
      </c>
      <c r="EB144" s="399">
        <v>0</v>
      </c>
      <c r="EC144" s="399">
        <v>0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225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957</v>
      </c>
      <c r="C145" s="399" t="s">
        <v>2366</v>
      </c>
      <c r="D145" s="399" t="s">
        <v>534</v>
      </c>
      <c r="E145" s="399" t="s">
        <v>922</v>
      </c>
      <c r="F145" s="399" t="s">
        <v>2374</v>
      </c>
      <c r="G145" s="399" t="s">
        <v>1240</v>
      </c>
      <c r="H145" s="399" t="s">
        <v>1240</v>
      </c>
      <c r="I145" s="399" t="s">
        <v>1240</v>
      </c>
      <c r="J145" s="399" t="s">
        <v>2358</v>
      </c>
      <c r="K145" s="789">
        <v>44501</v>
      </c>
      <c r="L145" s="399">
        <v>30</v>
      </c>
      <c r="M145" s="399">
        <v>28.2</v>
      </c>
      <c r="N145" s="399">
        <v>0</v>
      </c>
      <c r="O145" s="399">
        <v>0</v>
      </c>
      <c r="P145" s="399">
        <v>0</v>
      </c>
      <c r="Q145" s="399">
        <v>0</v>
      </c>
      <c r="R145" s="399">
        <v>34.950000000000003</v>
      </c>
      <c r="S145" s="399"/>
      <c r="T145" s="399"/>
      <c r="U145" s="399">
        <v>1048.5</v>
      </c>
      <c r="V145" s="399"/>
      <c r="W145" s="399">
        <v>1048.5</v>
      </c>
      <c r="X145" s="399">
        <v>1034.3999999999999</v>
      </c>
      <c r="Y145" s="399">
        <v>0</v>
      </c>
      <c r="Z145" s="399">
        <v>0</v>
      </c>
      <c r="AA145" s="399">
        <v>0</v>
      </c>
      <c r="AB145" s="399">
        <v>0</v>
      </c>
      <c r="AC145" s="399">
        <v>0</v>
      </c>
      <c r="AD145" s="399">
        <v>380.09338534310996</v>
      </c>
      <c r="AE145" s="399">
        <v>668.54423977779902</v>
      </c>
      <c r="AF145" s="399"/>
      <c r="AG145" s="399"/>
      <c r="AH145" s="399"/>
      <c r="AI145" s="399">
        <v>0</v>
      </c>
      <c r="AJ145" s="399">
        <v>0</v>
      </c>
      <c r="AK145" s="399">
        <v>0</v>
      </c>
      <c r="AL145" s="399">
        <v>0</v>
      </c>
      <c r="AM145" s="399"/>
      <c r="AN145" s="399">
        <v>0</v>
      </c>
      <c r="AO145" s="399">
        <v>0</v>
      </c>
      <c r="AP145" s="399">
        <v>0</v>
      </c>
      <c r="AQ145" s="399">
        <v>0</v>
      </c>
      <c r="AR145" s="399">
        <v>0</v>
      </c>
      <c r="AS145" s="399"/>
      <c r="AT145" s="399"/>
      <c r="AU145" s="399">
        <v>0</v>
      </c>
      <c r="AV145" s="399">
        <v>0</v>
      </c>
      <c r="AW145" s="399">
        <v>0</v>
      </c>
      <c r="AX145" s="399"/>
      <c r="AY145" s="399"/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/>
      <c r="BG145" s="399">
        <v>0</v>
      </c>
      <c r="BH145" s="399">
        <v>0</v>
      </c>
      <c r="BI145" s="399">
        <v>23.66</v>
      </c>
      <c r="BJ145" s="399">
        <v>109.24</v>
      </c>
      <c r="BK145" s="399">
        <v>1035.06</v>
      </c>
      <c r="BL145" s="399">
        <v>1</v>
      </c>
      <c r="BM145" s="399"/>
      <c r="BN145" s="399"/>
      <c r="BO145" s="399"/>
      <c r="BP145" s="399"/>
      <c r="BQ145" s="399">
        <v>62.064000000000021</v>
      </c>
      <c r="BR145" s="399"/>
      <c r="BS145" s="399"/>
      <c r="BT145" s="399"/>
      <c r="BU145" s="399"/>
      <c r="BV145" s="399">
        <v>0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972.3359999999999</v>
      </c>
      <c r="CJ145" s="399">
        <v>-13.284000000000106</v>
      </c>
      <c r="CK145" s="399"/>
      <c r="CL145" s="399"/>
      <c r="CM145" s="399"/>
      <c r="CN145" s="399"/>
      <c r="CO145" s="399">
        <v>-14.100000000000179</v>
      </c>
      <c r="CP145" s="399">
        <v>0</v>
      </c>
      <c r="CQ145" s="399">
        <v>30</v>
      </c>
      <c r="CR145" s="399">
        <v>15.907421917671002</v>
      </c>
      <c r="CS145" s="399">
        <v>0</v>
      </c>
      <c r="CT145" s="399">
        <v>0</v>
      </c>
      <c r="CU145" s="399">
        <v>0</v>
      </c>
      <c r="CV145" s="399">
        <v>0</v>
      </c>
      <c r="CW145" s="399"/>
      <c r="CX145" s="399"/>
      <c r="CY145" s="399"/>
      <c r="CZ145" s="399">
        <v>15.907421917671002</v>
      </c>
      <c r="DA145" s="399">
        <v>0</v>
      </c>
      <c r="DB145" s="399">
        <v>0</v>
      </c>
      <c r="DC145" s="399"/>
      <c r="DD145" s="399"/>
      <c r="DE145" s="399">
        <v>0</v>
      </c>
      <c r="DF145" s="399">
        <v>0</v>
      </c>
      <c r="DG145" s="399">
        <v>0</v>
      </c>
      <c r="DH145" s="399">
        <v>0</v>
      </c>
      <c r="DI145" s="399">
        <v>0</v>
      </c>
      <c r="DJ145" s="399"/>
      <c r="DK145" s="399">
        <v>0</v>
      </c>
      <c r="DL145" s="399">
        <v>0</v>
      </c>
      <c r="DM145" s="399"/>
      <c r="DN145" s="399">
        <v>0</v>
      </c>
      <c r="DO145" s="399">
        <v>0</v>
      </c>
      <c r="DP145" s="399">
        <v>0</v>
      </c>
      <c r="DQ145" s="399">
        <v>0</v>
      </c>
      <c r="DR145" s="399">
        <v>0</v>
      </c>
      <c r="DS145" s="399"/>
      <c r="DT145" s="399"/>
      <c r="DU145" s="399">
        <v>668.54423977779902</v>
      </c>
      <c r="DV145" s="399"/>
      <c r="DW145" s="399">
        <v>0</v>
      </c>
      <c r="DX145" s="399">
        <v>0</v>
      </c>
      <c r="DY145" s="399">
        <v>-14.100000000000136</v>
      </c>
      <c r="DZ145" s="399"/>
      <c r="EA145" s="399">
        <v>0</v>
      </c>
      <c r="EB145" s="399"/>
      <c r="EC145" s="399">
        <v>-30.10938103258502</v>
      </c>
      <c r="ED145" s="399"/>
      <c r="EE145" s="399">
        <v>0</v>
      </c>
      <c r="EF145" s="399">
        <v>0</v>
      </c>
      <c r="EG145" s="399"/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/>
      <c r="EN145" s="399"/>
      <c r="EO145" s="399">
        <v>0</v>
      </c>
      <c r="EP145" s="399">
        <v>0</v>
      </c>
      <c r="EQ145" s="399"/>
      <c r="ER145" s="399">
        <v>0</v>
      </c>
      <c r="ES145" s="399"/>
      <c r="ET145" s="399">
        <v>0</v>
      </c>
      <c r="EU145" s="399"/>
      <c r="EV145" s="399">
        <v>225</v>
      </c>
      <c r="EW145" s="399"/>
      <c r="EX145" s="399"/>
      <c r="EY145" s="399"/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957</v>
      </c>
      <c r="C146" s="399" t="s">
        <v>2357</v>
      </c>
      <c r="D146" s="399" t="s">
        <v>1826</v>
      </c>
      <c r="E146" s="399" t="s">
        <v>2375</v>
      </c>
      <c r="F146" s="399" t="s">
        <v>1240</v>
      </c>
      <c r="G146" s="399" t="s">
        <v>1240</v>
      </c>
      <c r="H146" s="399" t="s">
        <v>1240</v>
      </c>
      <c r="I146" s="399" t="s">
        <v>1240</v>
      </c>
      <c r="J146" s="399" t="s">
        <v>2358</v>
      </c>
      <c r="K146" s="789">
        <v>44501</v>
      </c>
      <c r="L146" s="399">
        <v>0</v>
      </c>
      <c r="M146" s="399">
        <v>0</v>
      </c>
      <c r="N146" s="399">
        <v>6.5890000000000004</v>
      </c>
      <c r="O146" s="399">
        <v>6.5890000000000004</v>
      </c>
      <c r="P146" s="399">
        <v>6.5890000000000004</v>
      </c>
      <c r="Q146" s="399">
        <v>6.5890000000000004</v>
      </c>
      <c r="R146" s="399"/>
      <c r="S146" s="399">
        <v>522.37</v>
      </c>
      <c r="T146" s="399">
        <v>144.41999999999999</v>
      </c>
      <c r="U146" s="399"/>
      <c r="V146" s="399">
        <v>4393.4793100000006</v>
      </c>
      <c r="W146" s="399">
        <v>4393.4793100000006</v>
      </c>
      <c r="X146" s="399">
        <v>4294.3148600000004</v>
      </c>
      <c r="Y146" s="399">
        <v>0</v>
      </c>
      <c r="Z146" s="399">
        <v>404.57102714171708</v>
      </c>
      <c r="AA146" s="399">
        <v>0</v>
      </c>
      <c r="AB146" s="399">
        <v>0</v>
      </c>
      <c r="AC146" s="399">
        <v>0</v>
      </c>
      <c r="AD146" s="399">
        <v>671.83851265230192</v>
      </c>
      <c r="AE146" s="399">
        <v>2186.9366620490782</v>
      </c>
      <c r="AF146" s="399">
        <v>951.59539590127224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62.481876997443905</v>
      </c>
      <c r="AM146" s="399"/>
      <c r="AN146" s="399">
        <v>9.5860408482903292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106.46719885429438</v>
      </c>
      <c r="BH146" s="399">
        <v>0</v>
      </c>
      <c r="BI146" s="399">
        <v>0</v>
      </c>
      <c r="BJ146" s="399">
        <v>0</v>
      </c>
      <c r="BK146" s="399">
        <v>0</v>
      </c>
      <c r="BL146" s="399">
        <v>3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1058.0625947555666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4294.9665999999997</v>
      </c>
      <c r="CJ146" s="399">
        <v>-98.542710000001534</v>
      </c>
      <c r="CK146" s="399"/>
      <c r="CL146" s="399"/>
      <c r="CM146" s="399"/>
      <c r="CN146" s="399"/>
      <c r="CO146" s="399">
        <v>-137.64420999999993</v>
      </c>
      <c r="CP146" s="399">
        <v>38.479760000000027</v>
      </c>
      <c r="CQ146" s="399">
        <v>30</v>
      </c>
      <c r="CR146" s="399">
        <v>-0.63240401978282534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28.117349823531868</v>
      </c>
      <c r="DA146" s="399">
        <v>0</v>
      </c>
      <c r="DB146" s="399">
        <v>0</v>
      </c>
      <c r="DC146" s="399">
        <v>38.478392112662391</v>
      </c>
      <c r="DD146" s="399">
        <v>0</v>
      </c>
      <c r="DE146" s="399">
        <v>0</v>
      </c>
      <c r="DF146" s="399">
        <v>0</v>
      </c>
      <c r="DG146" s="399">
        <v>4.305071926889525</v>
      </c>
      <c r="DH146" s="399">
        <v>0</v>
      </c>
      <c r="DI146" s="399">
        <v>-62.154698020160936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-8.2216502722212113</v>
      </c>
      <c r="DP146" s="399">
        <v>-1.1568695904846749</v>
      </c>
      <c r="DQ146" s="399">
        <v>0</v>
      </c>
      <c r="DR146" s="399">
        <v>0</v>
      </c>
      <c r="DS146" s="399"/>
      <c r="DT146" s="399"/>
      <c r="DU146" s="399"/>
      <c r="DV146" s="399">
        <v>2186.9366620490782</v>
      </c>
      <c r="DW146" s="399">
        <v>0</v>
      </c>
      <c r="DX146" s="399">
        <v>0</v>
      </c>
      <c r="DY146" s="399">
        <v>-137.64420999999993</v>
      </c>
      <c r="DZ146" s="399">
        <v>38.479759999999942</v>
      </c>
      <c r="EA146" s="399">
        <v>0</v>
      </c>
      <c r="EB146" s="399">
        <v>0</v>
      </c>
      <c r="EC146" s="399">
        <v>-98.493570558102874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225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957</v>
      </c>
      <c r="C147" s="399" t="s">
        <v>2357</v>
      </c>
      <c r="D147" s="399" t="s">
        <v>2369</v>
      </c>
      <c r="E147" s="399" t="s">
        <v>895</v>
      </c>
      <c r="F147" s="399" t="s">
        <v>2376</v>
      </c>
      <c r="G147" s="399" t="s">
        <v>2377</v>
      </c>
      <c r="H147" s="399" t="s">
        <v>1240</v>
      </c>
      <c r="I147" s="399" t="s">
        <v>1240</v>
      </c>
      <c r="J147" s="399" t="s">
        <v>2358</v>
      </c>
      <c r="K147" s="789">
        <v>44501</v>
      </c>
      <c r="L147" s="399">
        <v>0</v>
      </c>
      <c r="M147" s="399">
        <v>0</v>
      </c>
      <c r="N147" s="399">
        <v>0</v>
      </c>
      <c r="O147" s="399">
        <v>0</v>
      </c>
      <c r="P147" s="399">
        <v>0</v>
      </c>
      <c r="Q147" s="399">
        <v>0</v>
      </c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>
        <v>0</v>
      </c>
      <c r="AB147" s="399"/>
      <c r="AC147" s="399"/>
      <c r="AD147" s="399"/>
      <c r="AE147" s="399"/>
      <c r="AF147" s="399"/>
      <c r="AG147" s="399"/>
      <c r="AH147" s="399"/>
      <c r="AI147" s="399"/>
      <c r="AJ147" s="399"/>
      <c r="AK147" s="399"/>
      <c r="AL147" s="399"/>
      <c r="AM147" s="399"/>
      <c r="AN147" s="399"/>
      <c r="AO147" s="399"/>
      <c r="AP147" s="399"/>
      <c r="AQ147" s="399"/>
      <c r="AR147" s="399"/>
      <c r="AS147" s="399"/>
      <c r="AT147" s="399"/>
      <c r="AU147" s="399"/>
      <c r="AV147" s="399"/>
      <c r="AW147" s="399"/>
      <c r="AX147" s="399"/>
      <c r="AY147" s="399"/>
      <c r="AZ147" s="399">
        <v>0</v>
      </c>
      <c r="BA147" s="399"/>
      <c r="BB147" s="399"/>
      <c r="BC147" s="399"/>
      <c r="BD147" s="399"/>
      <c r="BE147" s="399"/>
      <c r="BF147" s="399"/>
      <c r="BG147" s="399"/>
      <c r="BH147" s="399"/>
      <c r="BI147" s="399">
        <v>0</v>
      </c>
      <c r="BJ147" s="399">
        <v>0</v>
      </c>
      <c r="BK147" s="399">
        <v>836.85</v>
      </c>
      <c r="BL147" s="399">
        <v>2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/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/>
      <c r="CJ147" s="399">
        <v>-0.03</v>
      </c>
      <c r="CK147" s="399"/>
      <c r="CL147" s="399"/>
      <c r="CM147" s="399"/>
      <c r="CN147" s="399"/>
      <c r="CO147" s="399">
        <v>0</v>
      </c>
      <c r="CP147" s="399">
        <v>0</v>
      </c>
      <c r="CQ147" s="399">
        <v>30</v>
      </c>
      <c r="CR147" s="399"/>
      <c r="CS147" s="399"/>
      <c r="CT147" s="399"/>
      <c r="CU147" s="399"/>
      <c r="CV147" s="399"/>
      <c r="CW147" s="399"/>
      <c r="CX147" s="399"/>
      <c r="CY147" s="399"/>
      <c r="CZ147" s="399"/>
      <c r="DA147" s="399"/>
      <c r="DB147" s="399"/>
      <c r="DC147" s="399"/>
      <c r="DD147" s="399"/>
      <c r="DE147" s="399"/>
      <c r="DF147" s="399"/>
      <c r="DG147" s="399"/>
      <c r="DH147" s="399"/>
      <c r="DI147" s="399"/>
      <c r="DJ147" s="399"/>
      <c r="DK147" s="399">
        <v>0</v>
      </c>
      <c r="DL147" s="399"/>
      <c r="DM147" s="399"/>
      <c r="DN147" s="399"/>
      <c r="DO147" s="399"/>
      <c r="DP147" s="399"/>
      <c r="DQ147" s="399"/>
      <c r="DR147" s="399"/>
      <c r="DS147" s="399"/>
      <c r="DT147" s="399"/>
      <c r="DU147" s="399"/>
      <c r="DV147" s="399"/>
      <c r="DW147" s="399"/>
      <c r="DX147" s="399"/>
      <c r="DY147" s="399"/>
      <c r="DZ147" s="399"/>
      <c r="EA147" s="399"/>
      <c r="EB147" s="399"/>
      <c r="EC147" s="399"/>
      <c r="ED147" s="399"/>
      <c r="EE147" s="399"/>
      <c r="EF147" s="399"/>
      <c r="EG147" s="399"/>
      <c r="EH147" s="399"/>
      <c r="EI147" s="399"/>
      <c r="EJ147" s="399"/>
      <c r="EK147" s="399"/>
      <c r="EL147" s="399"/>
      <c r="EM147" s="399"/>
      <c r="EN147" s="399"/>
      <c r="EO147" s="399"/>
      <c r="EP147" s="399"/>
      <c r="EQ147" s="399"/>
      <c r="ER147" s="399"/>
      <c r="ES147" s="399"/>
      <c r="ET147" s="399"/>
      <c r="EU147" s="399"/>
      <c r="EV147" s="399">
        <v>225</v>
      </c>
      <c r="EW147" s="399"/>
      <c r="EX147" s="399"/>
      <c r="EY147" s="399"/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957</v>
      </c>
      <c r="C148" s="399" t="s">
        <v>2357</v>
      </c>
      <c r="D148" s="399" t="s">
        <v>2369</v>
      </c>
      <c r="E148" s="399" t="s">
        <v>895</v>
      </c>
      <c r="F148" s="399" t="s">
        <v>2376</v>
      </c>
      <c r="G148" s="399" t="s">
        <v>2377</v>
      </c>
      <c r="H148" s="399" t="s">
        <v>1240</v>
      </c>
      <c r="I148" s="399" t="s">
        <v>1240</v>
      </c>
      <c r="J148" s="399" t="s">
        <v>2358</v>
      </c>
      <c r="K148" s="789">
        <v>44501</v>
      </c>
      <c r="L148" s="399">
        <v>0</v>
      </c>
      <c r="M148" s="399">
        <v>0</v>
      </c>
      <c r="N148" s="399">
        <v>2.355</v>
      </c>
      <c r="O148" s="399">
        <v>2.355</v>
      </c>
      <c r="P148" s="399">
        <v>2.355</v>
      </c>
      <c r="Q148" s="399">
        <v>2.355</v>
      </c>
      <c r="R148" s="399"/>
      <c r="S148" s="399">
        <v>522.37</v>
      </c>
      <c r="T148" s="399">
        <v>144.41999999999999</v>
      </c>
      <c r="U148" s="399"/>
      <c r="V148" s="399">
        <v>1570.29045</v>
      </c>
      <c r="W148" s="399">
        <v>1570.29045</v>
      </c>
      <c r="X148" s="399">
        <v>1534.8477</v>
      </c>
      <c r="Y148" s="399">
        <v>0</v>
      </c>
      <c r="Z148" s="399">
        <v>144.59929714960444</v>
      </c>
      <c r="AA148" s="399">
        <v>0</v>
      </c>
      <c r="AB148" s="399">
        <v>0</v>
      </c>
      <c r="AC148" s="399">
        <v>0</v>
      </c>
      <c r="AD148" s="399">
        <v>240.124403899859</v>
      </c>
      <c r="AE148" s="399">
        <v>781.64149933610236</v>
      </c>
      <c r="AF148" s="399">
        <v>340.11339464979449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22.331889562753133</v>
      </c>
      <c r="AM148" s="399"/>
      <c r="AN148" s="399">
        <v>3.426183972943349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38.052853741366405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>
        <v>184.16100000000006</v>
      </c>
      <c r="BS148" s="399"/>
      <c r="BT148" s="399"/>
      <c r="BU148" s="399"/>
      <c r="BV148" s="399">
        <v>378.16624839116088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1353.5544</v>
      </c>
      <c r="CJ148" s="399">
        <v>-28.318949999999859</v>
      </c>
      <c r="CK148" s="399"/>
      <c r="CL148" s="399"/>
      <c r="CM148" s="399"/>
      <c r="CN148" s="399"/>
      <c r="CO148" s="399">
        <v>-49.195949999999968</v>
      </c>
      <c r="CP148" s="399">
        <v>13.753200000000009</v>
      </c>
      <c r="CQ148" s="399">
        <v>30</v>
      </c>
      <c r="CR148" s="399">
        <v>-0.226029969128831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10.049530859677844</v>
      </c>
      <c r="DA148" s="399">
        <v>0</v>
      </c>
      <c r="DB148" s="399">
        <v>0</v>
      </c>
      <c r="DC148" s="399">
        <v>13.752711098090742</v>
      </c>
      <c r="DD148" s="399">
        <v>0</v>
      </c>
      <c r="DE148" s="399">
        <v>0</v>
      </c>
      <c r="DF148" s="399">
        <v>0</v>
      </c>
      <c r="DG148" s="399">
        <v>1.5386924249240934</v>
      </c>
      <c r="DH148" s="399">
        <v>0</v>
      </c>
      <c r="DI148" s="399">
        <v>-22.214951257774928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-2.9385318547702184</v>
      </c>
      <c r="DP148" s="399">
        <v>-0.41348123927628055</v>
      </c>
      <c r="DQ148" s="399">
        <v>0</v>
      </c>
      <c r="DR148" s="399">
        <v>0</v>
      </c>
      <c r="DS148" s="399"/>
      <c r="DT148" s="399"/>
      <c r="DU148" s="399"/>
      <c r="DV148" s="399">
        <v>781.64149933610236</v>
      </c>
      <c r="DW148" s="399">
        <v>0</v>
      </c>
      <c r="DX148" s="399">
        <v>0</v>
      </c>
      <c r="DY148" s="399">
        <v>-49.195950000000039</v>
      </c>
      <c r="DZ148" s="399">
        <v>13.753199999999993</v>
      </c>
      <c r="EA148" s="399">
        <v>0</v>
      </c>
      <c r="EB148" s="399">
        <v>0</v>
      </c>
      <c r="EC148" s="399">
        <v>-35.202968381291839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225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957</v>
      </c>
      <c r="C149" s="399" t="s">
        <v>2357</v>
      </c>
      <c r="D149" s="399" t="s">
        <v>2369</v>
      </c>
      <c r="E149" s="399" t="s">
        <v>895</v>
      </c>
      <c r="F149" s="399" t="s">
        <v>2376</v>
      </c>
      <c r="G149" s="399" t="s">
        <v>2378</v>
      </c>
      <c r="H149" s="399" t="s">
        <v>1240</v>
      </c>
      <c r="I149" s="399" t="s">
        <v>1240</v>
      </c>
      <c r="J149" s="399" t="s">
        <v>2358</v>
      </c>
      <c r="K149" s="789">
        <v>44501</v>
      </c>
      <c r="L149" s="399">
        <v>0</v>
      </c>
      <c r="M149" s="399">
        <v>0</v>
      </c>
      <c r="N149" s="399">
        <v>1.7170000000000001</v>
      </c>
      <c r="O149" s="399">
        <v>0.68679999999999997</v>
      </c>
      <c r="P149" s="399">
        <v>1.7170000000000001</v>
      </c>
      <c r="Q149" s="399">
        <v>0.68679999999999997</v>
      </c>
      <c r="R149" s="399"/>
      <c r="S149" s="399">
        <v>522.37</v>
      </c>
      <c r="T149" s="399">
        <v>144.41999999999999</v>
      </c>
      <c r="U149" s="399"/>
      <c r="V149" s="399">
        <v>1144.87843</v>
      </c>
      <c r="W149" s="399">
        <v>1144.87843</v>
      </c>
      <c r="X149" s="399">
        <v>1119.0375800000002</v>
      </c>
      <c r="Y149" s="399">
        <v>0</v>
      </c>
      <c r="Z149" s="399">
        <v>105.42547482202583</v>
      </c>
      <c r="AA149" s="399">
        <v>0</v>
      </c>
      <c r="AB149" s="399">
        <v>0</v>
      </c>
      <c r="AC149" s="399">
        <v>0</v>
      </c>
      <c r="AD149" s="399">
        <v>175.07159299195666</v>
      </c>
      <c r="AE149" s="399">
        <v>569.88469399579105</v>
      </c>
      <c r="AF149" s="399">
        <v>247.97227117354444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16.281891456155893</v>
      </c>
      <c r="AM149" s="399"/>
      <c r="AN149" s="399">
        <v>2.4979863615896942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27.743842833938906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/>
      <c r="BS149" s="399">
        <v>725.13030800000013</v>
      </c>
      <c r="BT149" s="399"/>
      <c r="BU149" s="399"/>
      <c r="BV149" s="399">
        <v>275.71611400748333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395.74259999999998</v>
      </c>
      <c r="CJ149" s="399">
        <v>-7.2810359999999719</v>
      </c>
      <c r="CK149" s="399"/>
      <c r="CL149" s="399"/>
      <c r="CM149" s="399"/>
      <c r="CN149" s="399"/>
      <c r="CO149" s="399">
        <v>-35.868129999999979</v>
      </c>
      <c r="CP149" s="399">
        <v>10.027280000000006</v>
      </c>
      <c r="CQ149" s="399">
        <v>30</v>
      </c>
      <c r="CR149" s="399">
        <v>-0.16479552313990098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7.3269827966313699</v>
      </c>
      <c r="DA149" s="399">
        <v>0</v>
      </c>
      <c r="DB149" s="399">
        <v>0</v>
      </c>
      <c r="DC149" s="399">
        <v>10.026923547949849</v>
      </c>
      <c r="DD149" s="399">
        <v>0</v>
      </c>
      <c r="DE149" s="399">
        <v>0</v>
      </c>
      <c r="DF149" s="399">
        <v>0</v>
      </c>
      <c r="DG149" s="399">
        <v>1.1218407191484765</v>
      </c>
      <c r="DH149" s="399">
        <v>0</v>
      </c>
      <c r="DI149" s="399">
        <v>-16.196633252483892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-2.1424455178940391</v>
      </c>
      <c r="DP149" s="399">
        <v>-0.3014638164914536</v>
      </c>
      <c r="DQ149" s="399">
        <v>0</v>
      </c>
      <c r="DR149" s="399">
        <v>0</v>
      </c>
      <c r="DS149" s="399"/>
      <c r="DT149" s="399"/>
      <c r="DU149" s="399"/>
      <c r="DV149" s="399">
        <v>569.88469399579105</v>
      </c>
      <c r="DW149" s="399">
        <v>0</v>
      </c>
      <c r="DX149" s="399">
        <v>0</v>
      </c>
      <c r="DY149" s="399">
        <v>-35.868129999999951</v>
      </c>
      <c r="DZ149" s="399">
        <v>10.027280000000019</v>
      </c>
      <c r="EA149" s="399">
        <v>0</v>
      </c>
      <c r="EB149" s="399">
        <v>0</v>
      </c>
      <c r="EC149" s="399">
        <v>-25.666028327251865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225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957</v>
      </c>
      <c r="C150" s="399" t="s">
        <v>2357</v>
      </c>
      <c r="D150" s="399" t="s">
        <v>1823</v>
      </c>
      <c r="E150" s="399" t="s">
        <v>890</v>
      </c>
      <c r="F150" s="399" t="s">
        <v>890</v>
      </c>
      <c r="G150" s="399" t="s">
        <v>1240</v>
      </c>
      <c r="H150" s="399" t="s">
        <v>1240</v>
      </c>
      <c r="I150" s="399" t="s">
        <v>1240</v>
      </c>
      <c r="J150" s="399" t="s">
        <v>2358</v>
      </c>
      <c r="K150" s="789">
        <v>44531</v>
      </c>
      <c r="L150" s="399">
        <v>0</v>
      </c>
      <c r="M150" s="399">
        <v>0</v>
      </c>
      <c r="N150" s="399">
        <v>2454.1689999999999</v>
      </c>
      <c r="O150" s="399">
        <v>2454.1689999999999</v>
      </c>
      <c r="P150" s="399">
        <v>2454.1689999999999</v>
      </c>
      <c r="Q150" s="399">
        <v>2454.1689999999999</v>
      </c>
      <c r="R150" s="399"/>
      <c r="S150" s="399">
        <v>522.37</v>
      </c>
      <c r="T150" s="399">
        <v>144.41999999999999</v>
      </c>
      <c r="U150" s="399"/>
      <c r="V150" s="399">
        <v>1636415.3475099998</v>
      </c>
      <c r="W150" s="399">
        <v>1636415.3475099998</v>
      </c>
      <c r="X150" s="399">
        <v>1599480.1040599998</v>
      </c>
      <c r="Y150" s="399">
        <v>0</v>
      </c>
      <c r="Z150" s="399">
        <v>150688.3704825255</v>
      </c>
      <c r="AA150" s="399">
        <v>0</v>
      </c>
      <c r="AB150" s="399">
        <v>0</v>
      </c>
      <c r="AC150" s="399">
        <v>0</v>
      </c>
      <c r="AD150" s="399">
        <v>250236.03744989939</v>
      </c>
      <c r="AE150" s="399">
        <v>814556.40627778473</v>
      </c>
      <c r="AF150" s="399">
        <v>354435.56247740617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23272.284958102882</v>
      </c>
      <c r="AM150" s="399"/>
      <c r="AN150" s="399">
        <v>3570.4605073012335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39655.258604499133</v>
      </c>
      <c r="BH150" s="399">
        <v>0</v>
      </c>
      <c r="BI150" s="399">
        <v>552.07000000000005</v>
      </c>
      <c r="BJ150" s="399">
        <v>2564.64</v>
      </c>
      <c r="BK150" s="399">
        <v>369969.75</v>
      </c>
      <c r="BL150" s="399">
        <v>11985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394090.82108190528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1599480.7557999999</v>
      </c>
      <c r="CJ150" s="399">
        <v>-36934.621709999861</v>
      </c>
      <c r="CK150" s="399"/>
      <c r="CL150" s="399"/>
      <c r="CM150" s="399"/>
      <c r="CN150" s="399"/>
      <c r="CO150" s="399">
        <v>-51267.590409999961</v>
      </c>
      <c r="CP150" s="399">
        <v>14332.346960000008</v>
      </c>
      <c r="CQ150" s="399"/>
      <c r="CR150" s="399">
        <v>-235.54808632994536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10472.716390813031</v>
      </c>
      <c r="DA150" s="399">
        <v>0</v>
      </c>
      <c r="DB150" s="399">
        <v>0</v>
      </c>
      <c r="DC150" s="399">
        <v>14331.837470441707</v>
      </c>
      <c r="DD150" s="399">
        <v>0</v>
      </c>
      <c r="DE150" s="399">
        <v>0</v>
      </c>
      <c r="DF150" s="399">
        <v>0</v>
      </c>
      <c r="DG150" s="399">
        <v>1603.4867302690109</v>
      </c>
      <c r="DH150" s="399">
        <v>0</v>
      </c>
      <c r="DI150" s="399">
        <v>-23150.42238358481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-3062.2733687853797</v>
      </c>
      <c r="DP150" s="399">
        <v>-430.89292548340973</v>
      </c>
      <c r="DQ150" s="399">
        <v>0</v>
      </c>
      <c r="DR150" s="399">
        <v>0</v>
      </c>
      <c r="DS150" s="399"/>
      <c r="DT150" s="399"/>
      <c r="DU150" s="399"/>
      <c r="DV150" s="399">
        <v>814556.40627778473</v>
      </c>
      <c r="DW150" s="399">
        <v>0</v>
      </c>
      <c r="DX150" s="399">
        <v>0</v>
      </c>
      <c r="DY150" s="399">
        <v>-51267.590409999946</v>
      </c>
      <c r="DZ150" s="399">
        <v>14332.346959999995</v>
      </c>
      <c r="EA150" s="399">
        <v>0</v>
      </c>
      <c r="EB150" s="399">
        <v>0</v>
      </c>
      <c r="EC150" s="399">
        <v>-36685.364632418961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225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2359</v>
      </c>
      <c r="C151" s="399" t="s">
        <v>2357</v>
      </c>
      <c r="D151" s="399" t="s">
        <v>1823</v>
      </c>
      <c r="E151" s="399" t="s">
        <v>890</v>
      </c>
      <c r="F151" s="399" t="s">
        <v>890</v>
      </c>
      <c r="G151" s="399" t="s">
        <v>1240</v>
      </c>
      <c r="H151" s="399" t="s">
        <v>1240</v>
      </c>
      <c r="I151" s="399" t="s">
        <v>1240</v>
      </c>
      <c r="J151" s="399" t="s">
        <v>2358</v>
      </c>
      <c r="K151" s="789">
        <v>44531</v>
      </c>
      <c r="L151" s="399">
        <v>0</v>
      </c>
      <c r="M151" s="399">
        <v>0</v>
      </c>
      <c r="N151" s="399">
        <v>-5.4290000000000003</v>
      </c>
      <c r="O151" s="399">
        <v>-5.4290000000000003</v>
      </c>
      <c r="P151" s="399">
        <v>-5.4290000000000003</v>
      </c>
      <c r="Q151" s="399">
        <v>-5.4290000000000003</v>
      </c>
      <c r="R151" s="399"/>
      <c r="S151" s="399">
        <v>522.37</v>
      </c>
      <c r="T151" s="399">
        <v>144.41999999999999</v>
      </c>
      <c r="U151" s="399"/>
      <c r="V151" s="399">
        <v>-3620.0029100000002</v>
      </c>
      <c r="W151" s="399">
        <v>-3620.0029100000002</v>
      </c>
      <c r="X151" s="399">
        <v>-3538.29646</v>
      </c>
      <c r="Y151" s="399">
        <v>0</v>
      </c>
      <c r="Z151" s="399">
        <v>-333.34589563702872</v>
      </c>
      <c r="AA151" s="399">
        <v>0</v>
      </c>
      <c r="AB151" s="399">
        <v>0</v>
      </c>
      <c r="AC151" s="399">
        <v>0</v>
      </c>
      <c r="AD151" s="399">
        <v>-553.56067463793408</v>
      </c>
      <c r="AE151" s="399">
        <v>-1801.9242887030573</v>
      </c>
      <c r="AF151" s="399">
        <v>-784.06608048990847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-51.481880439994377</v>
      </c>
      <c r="AM151" s="399"/>
      <c r="AN151" s="399">
        <v>-7.8984088276473212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-87.723542658971652</v>
      </c>
      <c r="BH151" s="399">
        <v>0</v>
      </c>
      <c r="BI151" s="399">
        <v>1.72</v>
      </c>
      <c r="BJ151" s="399">
        <v>7.93</v>
      </c>
      <c r="BK151" s="399">
        <v>-1161.4100000000001</v>
      </c>
      <c r="BL151" s="399">
        <v>0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-871.78962314888008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-3538.9481999999998</v>
      </c>
      <c r="CJ151" s="399">
        <v>81.024709999999686</v>
      </c>
      <c r="CK151" s="399"/>
      <c r="CL151" s="399"/>
      <c r="CM151" s="399"/>
      <c r="CN151" s="399"/>
      <c r="CO151" s="399">
        <v>113.41180999999993</v>
      </c>
      <c r="CP151" s="399">
        <v>-31.70536000000002</v>
      </c>
      <c r="CQ151" s="399"/>
      <c r="CR151" s="399">
        <v>0.52106866343956426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-23.167262436174497</v>
      </c>
      <c r="DA151" s="399">
        <v>0</v>
      </c>
      <c r="DB151" s="399">
        <v>0</v>
      </c>
      <c r="DC151" s="399">
        <v>-31.704232930587978</v>
      </c>
      <c r="DD151" s="399">
        <v>0</v>
      </c>
      <c r="DE151" s="399">
        <v>0</v>
      </c>
      <c r="DF151" s="399">
        <v>0</v>
      </c>
      <c r="DG151" s="399">
        <v>-3.5471597345702293</v>
      </c>
      <c r="DH151" s="399">
        <v>0</v>
      </c>
      <c r="DI151" s="399">
        <v>51.212301646904564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6.7742205688099801</v>
      </c>
      <c r="DP151" s="399">
        <v>0.95320154905771748</v>
      </c>
      <c r="DQ151" s="399">
        <v>0</v>
      </c>
      <c r="DR151" s="399">
        <v>0</v>
      </c>
      <c r="DS151" s="399"/>
      <c r="DT151" s="399"/>
      <c r="DU151" s="399"/>
      <c r="DV151" s="399">
        <v>-1801.9242887030573</v>
      </c>
      <c r="DW151" s="399">
        <v>0</v>
      </c>
      <c r="DX151" s="399">
        <v>0</v>
      </c>
      <c r="DY151" s="399">
        <v>113.41181000000006</v>
      </c>
      <c r="DZ151" s="399">
        <v>-31.705360000000042</v>
      </c>
      <c r="EA151" s="399">
        <v>0</v>
      </c>
      <c r="EB151" s="399">
        <v>0</v>
      </c>
      <c r="EC151" s="399">
        <v>81.153679550757261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225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2360</v>
      </c>
      <c r="C152" s="399" t="s">
        <v>2357</v>
      </c>
      <c r="D152" s="399" t="s">
        <v>1823</v>
      </c>
      <c r="E152" s="399" t="s">
        <v>890</v>
      </c>
      <c r="F152" s="399" t="s">
        <v>890</v>
      </c>
      <c r="G152" s="399" t="s">
        <v>1240</v>
      </c>
      <c r="H152" s="399" t="s">
        <v>1240</v>
      </c>
      <c r="I152" s="399" t="s">
        <v>1240</v>
      </c>
      <c r="J152" s="399" t="s">
        <v>2358</v>
      </c>
      <c r="K152" s="789">
        <v>44531</v>
      </c>
      <c r="L152" s="399">
        <v>0</v>
      </c>
      <c r="M152" s="399">
        <v>0</v>
      </c>
      <c r="N152" s="399">
        <v>6.2380000000000004</v>
      </c>
      <c r="O152" s="399">
        <v>6.2380000000000004</v>
      </c>
      <c r="P152" s="399">
        <v>6.2380000000000004</v>
      </c>
      <c r="Q152" s="399">
        <v>6.2380000000000004</v>
      </c>
      <c r="R152" s="399"/>
      <c r="S152" s="399">
        <v>522.37</v>
      </c>
      <c r="T152" s="399">
        <v>144.41999999999999</v>
      </c>
      <c r="U152" s="399"/>
      <c r="V152" s="399">
        <v>4159.4360200000001</v>
      </c>
      <c r="W152" s="399">
        <v>4159.4360200000001</v>
      </c>
      <c r="X152" s="399">
        <v>4065.5541200000002</v>
      </c>
      <c r="Y152" s="399">
        <v>0</v>
      </c>
      <c r="Z152" s="399">
        <v>383.01928476400536</v>
      </c>
      <c r="AA152" s="399">
        <v>0</v>
      </c>
      <c r="AB152" s="399">
        <v>0</v>
      </c>
      <c r="AC152" s="399">
        <v>0</v>
      </c>
      <c r="AD152" s="399">
        <v>636.0492702876096</v>
      </c>
      <c r="AE152" s="399">
        <v>2070.4372283900666</v>
      </c>
      <c r="AF152" s="399">
        <v>900.90333580697165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59.153429763250131</v>
      </c>
      <c r="AM152" s="399"/>
      <c r="AN152" s="399">
        <v>9.075386676526799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100.79562702277863</v>
      </c>
      <c r="BH152" s="399">
        <v>0</v>
      </c>
      <c r="BI152" s="399">
        <v>0.66</v>
      </c>
      <c r="BJ152" s="399">
        <v>3.14</v>
      </c>
      <c r="BK152" s="399">
        <v>4038.05</v>
      </c>
      <c r="BL152" s="399">
        <v>65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1001.6989628297503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4066.8576000000003</v>
      </c>
      <c r="CJ152" s="399">
        <v>-92.608420000000478</v>
      </c>
      <c r="CK152" s="399"/>
      <c r="CL152" s="399"/>
      <c r="CM152" s="399"/>
      <c r="CN152" s="399"/>
      <c r="CO152" s="399">
        <v>-130.31181999999993</v>
      </c>
      <c r="CP152" s="399">
        <v>36.429920000000024</v>
      </c>
      <c r="CQ152" s="399"/>
      <c r="CR152" s="399">
        <v>-0.59871547661350633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26.619521657184919</v>
      </c>
      <c r="DA152" s="399">
        <v>0</v>
      </c>
      <c r="DB152" s="399">
        <v>0</v>
      </c>
      <c r="DC152" s="399">
        <v>36.428624980845029</v>
      </c>
      <c r="DD152" s="399">
        <v>0</v>
      </c>
      <c r="DE152" s="399">
        <v>0</v>
      </c>
      <c r="DF152" s="399">
        <v>0</v>
      </c>
      <c r="DG152" s="399">
        <v>4.0757381514549706</v>
      </c>
      <c r="DH152" s="399">
        <v>0</v>
      </c>
      <c r="DI152" s="399">
        <v>-58.843679807218734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-7.7836780085166097</v>
      </c>
      <c r="DP152" s="399">
        <v>-1.0952424503632425</v>
      </c>
      <c r="DQ152" s="399">
        <v>0</v>
      </c>
      <c r="DR152" s="399">
        <v>0</v>
      </c>
      <c r="DS152" s="399"/>
      <c r="DT152" s="399"/>
      <c r="DU152" s="399"/>
      <c r="DV152" s="399">
        <v>2070.4372283900666</v>
      </c>
      <c r="DW152" s="399">
        <v>0</v>
      </c>
      <c r="DX152" s="399">
        <v>0</v>
      </c>
      <c r="DY152" s="399">
        <v>-130.3118199999999</v>
      </c>
      <c r="DZ152" s="399">
        <v>36.429919999999925</v>
      </c>
      <c r="EA152" s="399">
        <v>0</v>
      </c>
      <c r="EB152" s="399">
        <v>0</v>
      </c>
      <c r="EC152" s="399">
        <v>-93.246758710190306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225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2360</v>
      </c>
      <c r="C153" s="399" t="s">
        <v>2357</v>
      </c>
      <c r="D153" s="399" t="s">
        <v>1823</v>
      </c>
      <c r="E153" s="399" t="s">
        <v>890</v>
      </c>
      <c r="F153" s="399" t="s">
        <v>890</v>
      </c>
      <c r="G153" s="399" t="s">
        <v>1240</v>
      </c>
      <c r="H153" s="399" t="s">
        <v>1240</v>
      </c>
      <c r="I153" s="399" t="s">
        <v>1240</v>
      </c>
      <c r="J153" s="399" t="s">
        <v>2358</v>
      </c>
      <c r="K153" s="789">
        <v>44531</v>
      </c>
      <c r="L153" s="399">
        <v>0</v>
      </c>
      <c r="M153" s="399">
        <v>0</v>
      </c>
      <c r="N153" s="399">
        <v>0</v>
      </c>
      <c r="O153" s="399">
        <v>0</v>
      </c>
      <c r="P153" s="399">
        <v>0</v>
      </c>
      <c r="Q153" s="399">
        <v>0</v>
      </c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>
        <v>0</v>
      </c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399"/>
      <c r="AL153" s="399"/>
      <c r="AM153" s="399"/>
      <c r="AN153" s="399"/>
      <c r="AO153" s="399"/>
      <c r="AP153" s="399"/>
      <c r="AQ153" s="399"/>
      <c r="AR153" s="399"/>
      <c r="AS153" s="399"/>
      <c r="AT153" s="399"/>
      <c r="AU153" s="399"/>
      <c r="AV153" s="399"/>
      <c r="AW153" s="399"/>
      <c r="AX153" s="399"/>
      <c r="AY153" s="399"/>
      <c r="AZ153" s="399">
        <v>0</v>
      </c>
      <c r="BA153" s="399"/>
      <c r="BB153" s="399"/>
      <c r="BC153" s="399"/>
      <c r="BD153" s="399"/>
      <c r="BE153" s="399"/>
      <c r="BF153" s="399"/>
      <c r="BG153" s="399"/>
      <c r="BH153" s="399"/>
      <c r="BI153" s="399">
        <v>0</v>
      </c>
      <c r="BJ153" s="399">
        <v>0</v>
      </c>
      <c r="BK153" s="399">
        <v>-16.29</v>
      </c>
      <c r="BL153" s="399">
        <v>2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/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/>
      <c r="CJ153" s="399">
        <v>-0.03</v>
      </c>
      <c r="CK153" s="399"/>
      <c r="CL153" s="399"/>
      <c r="CM153" s="399"/>
      <c r="CN153" s="399"/>
      <c r="CO153" s="399">
        <v>0</v>
      </c>
      <c r="CP153" s="399">
        <v>0</v>
      </c>
      <c r="CQ153" s="399"/>
      <c r="CR153" s="399"/>
      <c r="CS153" s="399"/>
      <c r="CT153" s="399"/>
      <c r="CU153" s="399"/>
      <c r="CV153" s="399"/>
      <c r="CW153" s="399"/>
      <c r="CX153" s="399"/>
      <c r="CY153" s="399"/>
      <c r="CZ153" s="399"/>
      <c r="DA153" s="399"/>
      <c r="DB153" s="399"/>
      <c r="DC153" s="399"/>
      <c r="DD153" s="399"/>
      <c r="DE153" s="399"/>
      <c r="DF153" s="399"/>
      <c r="DG153" s="399"/>
      <c r="DH153" s="399"/>
      <c r="DI153" s="399"/>
      <c r="DJ153" s="399"/>
      <c r="DK153" s="399">
        <v>0</v>
      </c>
      <c r="DL153" s="399"/>
      <c r="DM153" s="399"/>
      <c r="DN153" s="399"/>
      <c r="DO153" s="399"/>
      <c r="DP153" s="399"/>
      <c r="DQ153" s="399"/>
      <c r="DR153" s="399"/>
      <c r="DS153" s="399"/>
      <c r="DT153" s="399"/>
      <c r="DU153" s="399"/>
      <c r="DV153" s="399"/>
      <c r="DW153" s="399"/>
      <c r="DX153" s="399"/>
      <c r="DY153" s="399"/>
      <c r="DZ153" s="399"/>
      <c r="EA153" s="399"/>
      <c r="EB153" s="399"/>
      <c r="EC153" s="399"/>
      <c r="ED153" s="399"/>
      <c r="EE153" s="399"/>
      <c r="EF153" s="399"/>
      <c r="EG153" s="399"/>
      <c r="EH153" s="399"/>
      <c r="EI153" s="399"/>
      <c r="EJ153" s="399"/>
      <c r="EK153" s="399"/>
      <c r="EL153" s="399"/>
      <c r="EM153" s="399"/>
      <c r="EN153" s="399"/>
      <c r="EO153" s="399"/>
      <c r="EP153" s="399"/>
      <c r="EQ153" s="399"/>
      <c r="ER153" s="399"/>
      <c r="ES153" s="399"/>
      <c r="ET153" s="399"/>
      <c r="EU153" s="399"/>
      <c r="EV153" s="399">
        <v>225</v>
      </c>
      <c r="EW153" s="399"/>
      <c r="EX153" s="399"/>
      <c r="EY153" s="399"/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957</v>
      </c>
      <c r="C154" s="399" t="s">
        <v>2357</v>
      </c>
      <c r="D154" s="399" t="s">
        <v>1823</v>
      </c>
      <c r="E154" s="399" t="s">
        <v>890</v>
      </c>
      <c r="F154" s="399" t="s">
        <v>2361</v>
      </c>
      <c r="G154" s="399" t="s">
        <v>1240</v>
      </c>
      <c r="H154" s="399" t="s">
        <v>1240</v>
      </c>
      <c r="I154" s="399" t="s">
        <v>1240</v>
      </c>
      <c r="J154" s="399" t="s">
        <v>2358</v>
      </c>
      <c r="K154" s="789">
        <v>44531</v>
      </c>
      <c r="L154" s="399">
        <v>0</v>
      </c>
      <c r="M154" s="399">
        <v>0</v>
      </c>
      <c r="N154" s="399">
        <v>15.587999999999999</v>
      </c>
      <c r="O154" s="399">
        <v>15.587999999999999</v>
      </c>
      <c r="P154" s="399">
        <v>15.587999999999999</v>
      </c>
      <c r="Q154" s="399">
        <v>15.587999999999999</v>
      </c>
      <c r="R154" s="399"/>
      <c r="S154" s="399">
        <v>451.48</v>
      </c>
      <c r="T154" s="399">
        <v>144.41999999999999</v>
      </c>
      <c r="U154" s="399"/>
      <c r="V154" s="399">
        <v>9288.8891999999996</v>
      </c>
      <c r="W154" s="399">
        <v>9288.8891999999996</v>
      </c>
      <c r="X154" s="399">
        <v>9220.9255199999989</v>
      </c>
      <c r="Y154" s="399">
        <v>0</v>
      </c>
      <c r="Z154" s="399">
        <v>0</v>
      </c>
      <c r="AA154" s="399">
        <v>0</v>
      </c>
      <c r="AB154" s="399">
        <v>0</v>
      </c>
      <c r="AC154" s="399">
        <v>0</v>
      </c>
      <c r="AD154" s="399">
        <v>1589.4094301447992</v>
      </c>
      <c r="AE154" s="399">
        <v>5173.7697204463539</v>
      </c>
      <c r="AF154" s="399">
        <v>2251.2473867520157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0</v>
      </c>
      <c r="AM154" s="399"/>
      <c r="AN154" s="399">
        <v>22.678282704985527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251.87595928680236</v>
      </c>
      <c r="BH154" s="399">
        <v>0</v>
      </c>
      <c r="BI154" s="399">
        <v>0.83</v>
      </c>
      <c r="BJ154" s="399">
        <v>3.77</v>
      </c>
      <c r="BK154" s="399">
        <v>390.18</v>
      </c>
      <c r="BL154" s="399">
        <v>8</v>
      </c>
      <c r="BM154" s="399"/>
      <c r="BN154" s="399"/>
      <c r="BO154" s="399"/>
      <c r="BP154" s="399"/>
      <c r="BQ154" s="399"/>
      <c r="BR154" s="399"/>
      <c r="BS154" s="399"/>
      <c r="BT154" s="399">
        <v>5993.5859999999993</v>
      </c>
      <c r="BU154" s="399"/>
      <c r="BV154" s="399">
        <v>2503.123346038818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3227.7535999999996</v>
      </c>
      <c r="CJ154" s="399">
        <v>-23.465560000001005</v>
      </c>
      <c r="CK154" s="399"/>
      <c r="CL154" s="399"/>
      <c r="CM154" s="399"/>
      <c r="CN154" s="399"/>
      <c r="CO154" s="399">
        <v>-158.99760000000069</v>
      </c>
      <c r="CP154" s="399">
        <v>91.033920000000052</v>
      </c>
      <c r="CQ154" s="399"/>
      <c r="CR154" s="399">
        <v>164.99751150725024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66.518932925969466</v>
      </c>
      <c r="DA154" s="399">
        <v>0</v>
      </c>
      <c r="DB154" s="399">
        <v>0</v>
      </c>
      <c r="DC154" s="399">
        <v>91.030683905324167</v>
      </c>
      <c r="DD154" s="399">
        <v>0</v>
      </c>
      <c r="DE154" s="399">
        <v>0</v>
      </c>
      <c r="DF154" s="399">
        <v>0</v>
      </c>
      <c r="DG154" s="399">
        <v>10.184771770580312</v>
      </c>
      <c r="DH154" s="399">
        <v>0</v>
      </c>
      <c r="DI154" s="399">
        <v>0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0</v>
      </c>
      <c r="DP154" s="399">
        <v>-2.7368770946236332</v>
      </c>
      <c r="DQ154" s="399">
        <v>0</v>
      </c>
      <c r="DR154" s="399">
        <v>0</v>
      </c>
      <c r="DS154" s="399"/>
      <c r="DT154" s="399"/>
      <c r="DU154" s="399"/>
      <c r="DV154" s="399">
        <v>5173.7697204463539</v>
      </c>
      <c r="DW154" s="399">
        <v>0</v>
      </c>
      <c r="DX154" s="399">
        <v>0</v>
      </c>
      <c r="DY154" s="399">
        <v>-158.9976000000006</v>
      </c>
      <c r="DZ154" s="399">
        <v>91.033919999999853</v>
      </c>
      <c r="EA154" s="399">
        <v>0</v>
      </c>
      <c r="EB154" s="399">
        <v>0</v>
      </c>
      <c r="EC154" s="399">
        <v>-233.01225950215576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225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957</v>
      </c>
      <c r="C155" s="399" t="s">
        <v>2357</v>
      </c>
      <c r="D155" s="399" t="s">
        <v>1823</v>
      </c>
      <c r="E155" s="399" t="s">
        <v>890</v>
      </c>
      <c r="F155" s="399" t="s">
        <v>2362</v>
      </c>
      <c r="G155" s="399" t="s">
        <v>1240</v>
      </c>
      <c r="H155" s="399" t="s">
        <v>1240</v>
      </c>
      <c r="I155" s="399" t="s">
        <v>1240</v>
      </c>
      <c r="J155" s="399" t="s">
        <v>2358</v>
      </c>
      <c r="K155" s="789">
        <v>44531</v>
      </c>
      <c r="L155" s="399">
        <v>0</v>
      </c>
      <c r="M155" s="399">
        <v>0</v>
      </c>
      <c r="N155" s="399">
        <v>34.677</v>
      </c>
      <c r="O155" s="399">
        <v>34.677</v>
      </c>
      <c r="P155" s="399">
        <v>34.677</v>
      </c>
      <c r="Q155" s="399">
        <v>34.677</v>
      </c>
      <c r="R155" s="399"/>
      <c r="S155" s="399">
        <v>451.48</v>
      </c>
      <c r="T155" s="399">
        <v>144.41999999999999</v>
      </c>
      <c r="U155" s="399"/>
      <c r="V155" s="399">
        <v>20664.024300000001</v>
      </c>
      <c r="W155" s="399">
        <v>20664.024300000001</v>
      </c>
      <c r="X155" s="399">
        <v>20512.832579999998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3535.793611055376</v>
      </c>
      <c r="AE155" s="399">
        <v>11509.546612517208</v>
      </c>
      <c r="AF155" s="399">
        <v>5008.1155780343624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50.450013430894479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560.32221197000547</v>
      </c>
      <c r="BH155" s="399">
        <v>0</v>
      </c>
      <c r="BI155" s="399">
        <v>3.21</v>
      </c>
      <c r="BJ155" s="399">
        <v>14.85</v>
      </c>
      <c r="BK155" s="399">
        <v>1490.28</v>
      </c>
      <c r="BL155" s="399">
        <v>50</v>
      </c>
      <c r="BM155" s="399"/>
      <c r="BN155" s="399"/>
      <c r="BO155" s="399"/>
      <c r="BP155" s="399"/>
      <c r="BQ155" s="399"/>
      <c r="BR155" s="399"/>
      <c r="BS155" s="399"/>
      <c r="BT155" s="399">
        <v>8204.92497</v>
      </c>
      <c r="BU155" s="399"/>
      <c r="BV155" s="399">
        <v>5568.4377900043683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12308.972399999999</v>
      </c>
      <c r="CJ155" s="399">
        <v>-89.472180000002481</v>
      </c>
      <c r="CK155" s="399"/>
      <c r="CL155" s="399"/>
      <c r="CM155" s="399"/>
      <c r="CN155" s="399"/>
      <c r="CO155" s="399">
        <v>-353.70540000000159</v>
      </c>
      <c r="CP155" s="399">
        <v>202.51368000000011</v>
      </c>
      <c r="CQ155" s="399"/>
      <c r="CR155" s="399">
        <v>367.0527781971341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147.97774166498903</v>
      </c>
      <c r="DA155" s="399">
        <v>0</v>
      </c>
      <c r="DB155" s="399">
        <v>0</v>
      </c>
      <c r="DC155" s="399">
        <v>202.5064809972373</v>
      </c>
      <c r="DD155" s="399">
        <v>0</v>
      </c>
      <c r="DE155" s="399">
        <v>0</v>
      </c>
      <c r="DF155" s="399">
        <v>0</v>
      </c>
      <c r="DG155" s="399">
        <v>22.657000942289869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0</v>
      </c>
      <c r="DP155" s="399">
        <v>-6.0884454073815562</v>
      </c>
      <c r="DQ155" s="399">
        <v>0</v>
      </c>
      <c r="DR155" s="399">
        <v>0</v>
      </c>
      <c r="DS155" s="399"/>
      <c r="DT155" s="399"/>
      <c r="DU155" s="399"/>
      <c r="DV155" s="399">
        <v>11509.546612517208</v>
      </c>
      <c r="DW155" s="399">
        <v>0</v>
      </c>
      <c r="DX155" s="399">
        <v>0</v>
      </c>
      <c r="DY155" s="399">
        <v>-353.70540000000256</v>
      </c>
      <c r="DZ155" s="399">
        <v>202.51368000000002</v>
      </c>
      <c r="EA155" s="399">
        <v>0</v>
      </c>
      <c r="EB155" s="399">
        <v>0</v>
      </c>
      <c r="EC155" s="399">
        <v>-518.35810384630895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225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2359</v>
      </c>
      <c r="C156" s="399" t="s">
        <v>2357</v>
      </c>
      <c r="D156" s="399" t="s">
        <v>1823</v>
      </c>
      <c r="E156" s="399" t="s">
        <v>890</v>
      </c>
      <c r="F156" s="399" t="s">
        <v>2362</v>
      </c>
      <c r="G156" s="399" t="s">
        <v>1240</v>
      </c>
      <c r="H156" s="399" t="s">
        <v>1240</v>
      </c>
      <c r="I156" s="399" t="s">
        <v>1240</v>
      </c>
      <c r="J156" s="399" t="s">
        <v>2358</v>
      </c>
      <c r="K156" s="789">
        <v>44531</v>
      </c>
      <c r="L156" s="399">
        <v>0</v>
      </c>
      <c r="M156" s="399">
        <v>0</v>
      </c>
      <c r="N156" s="399">
        <v>0</v>
      </c>
      <c r="O156" s="399">
        <v>0</v>
      </c>
      <c r="P156" s="399">
        <v>0</v>
      </c>
      <c r="Q156" s="399">
        <v>0</v>
      </c>
      <c r="R156" s="399"/>
      <c r="S156" s="399"/>
      <c r="T156" s="399"/>
      <c r="U156" s="399"/>
      <c r="V156" s="399"/>
      <c r="W156" s="399"/>
      <c r="X156" s="399"/>
      <c r="Y156" s="399"/>
      <c r="Z156" s="399"/>
      <c r="AA156" s="399">
        <v>0</v>
      </c>
      <c r="AB156" s="399"/>
      <c r="AC156" s="399"/>
      <c r="AD156" s="399"/>
      <c r="AE156" s="399"/>
      <c r="AF156" s="399"/>
      <c r="AG156" s="399"/>
      <c r="AH156" s="399"/>
      <c r="AI156" s="399"/>
      <c r="AJ156" s="399"/>
      <c r="AK156" s="399"/>
      <c r="AL156" s="399"/>
      <c r="AM156" s="399"/>
      <c r="AN156" s="399"/>
      <c r="AO156" s="399"/>
      <c r="AP156" s="399"/>
      <c r="AQ156" s="399"/>
      <c r="AR156" s="399"/>
      <c r="AS156" s="399"/>
      <c r="AT156" s="399"/>
      <c r="AU156" s="399"/>
      <c r="AV156" s="399"/>
      <c r="AW156" s="399"/>
      <c r="AX156" s="399"/>
      <c r="AY156" s="399"/>
      <c r="AZ156" s="399">
        <v>0</v>
      </c>
      <c r="BA156" s="399"/>
      <c r="BB156" s="399"/>
      <c r="BC156" s="399"/>
      <c r="BD156" s="399"/>
      <c r="BE156" s="399"/>
      <c r="BF156" s="399"/>
      <c r="BG156" s="399"/>
      <c r="BH156" s="399"/>
      <c r="BI156" s="399">
        <v>0</v>
      </c>
      <c r="BJ156" s="399">
        <v>0</v>
      </c>
      <c r="BK156" s="399">
        <v>0.19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/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/>
      <c r="CJ156" s="399">
        <v>-0.03</v>
      </c>
      <c r="CK156" s="399"/>
      <c r="CL156" s="399"/>
      <c r="CM156" s="399"/>
      <c r="CN156" s="399"/>
      <c r="CO156" s="399">
        <v>0</v>
      </c>
      <c r="CP156" s="399">
        <v>0</v>
      </c>
      <c r="CQ156" s="399"/>
      <c r="CR156" s="399"/>
      <c r="CS156" s="399"/>
      <c r="CT156" s="399"/>
      <c r="CU156" s="399"/>
      <c r="CV156" s="399"/>
      <c r="CW156" s="399"/>
      <c r="CX156" s="399"/>
      <c r="CY156" s="399"/>
      <c r="CZ156" s="399"/>
      <c r="DA156" s="399"/>
      <c r="DB156" s="399"/>
      <c r="DC156" s="399"/>
      <c r="DD156" s="399"/>
      <c r="DE156" s="399"/>
      <c r="DF156" s="399"/>
      <c r="DG156" s="399"/>
      <c r="DH156" s="399"/>
      <c r="DI156" s="399"/>
      <c r="DJ156" s="399"/>
      <c r="DK156" s="399">
        <v>0</v>
      </c>
      <c r="DL156" s="399"/>
      <c r="DM156" s="399"/>
      <c r="DN156" s="399"/>
      <c r="DO156" s="399"/>
      <c r="DP156" s="399"/>
      <c r="DQ156" s="399"/>
      <c r="DR156" s="399"/>
      <c r="DS156" s="399"/>
      <c r="DT156" s="399"/>
      <c r="DU156" s="399"/>
      <c r="DV156" s="399"/>
      <c r="DW156" s="399"/>
      <c r="DX156" s="399"/>
      <c r="DY156" s="399"/>
      <c r="DZ156" s="399"/>
      <c r="EA156" s="399"/>
      <c r="EB156" s="399"/>
      <c r="EC156" s="399"/>
      <c r="ED156" s="399"/>
      <c r="EE156" s="399"/>
      <c r="EF156" s="399"/>
      <c r="EG156" s="399"/>
      <c r="EH156" s="399"/>
      <c r="EI156" s="399"/>
      <c r="EJ156" s="399"/>
      <c r="EK156" s="399"/>
      <c r="EL156" s="399"/>
      <c r="EM156" s="399"/>
      <c r="EN156" s="399"/>
      <c r="EO156" s="399"/>
      <c r="EP156" s="399"/>
      <c r="EQ156" s="399"/>
      <c r="ER156" s="399"/>
      <c r="ES156" s="399"/>
      <c r="ET156" s="399"/>
      <c r="EU156" s="399"/>
      <c r="EV156" s="399">
        <v>225</v>
      </c>
      <c r="EW156" s="399"/>
      <c r="EX156" s="399"/>
      <c r="EY156" s="399"/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957</v>
      </c>
      <c r="C157" s="399" t="s">
        <v>2357</v>
      </c>
      <c r="D157" s="399" t="s">
        <v>1823</v>
      </c>
      <c r="E157" s="399" t="s">
        <v>890</v>
      </c>
      <c r="F157" s="399" t="s">
        <v>2363</v>
      </c>
      <c r="G157" s="399" t="s">
        <v>1240</v>
      </c>
      <c r="H157" s="399" t="s">
        <v>1240</v>
      </c>
      <c r="I157" s="399" t="s">
        <v>1240</v>
      </c>
      <c r="J157" s="399" t="s">
        <v>2358</v>
      </c>
      <c r="K157" s="789">
        <v>44531</v>
      </c>
      <c r="L157" s="399">
        <v>0</v>
      </c>
      <c r="M157" s="399">
        <v>0</v>
      </c>
      <c r="N157" s="399">
        <v>40.651000000000003</v>
      </c>
      <c r="O157" s="399">
        <v>40.651000000000003</v>
      </c>
      <c r="P157" s="399">
        <v>40.651000000000003</v>
      </c>
      <c r="Q157" s="399">
        <v>40.651000000000003</v>
      </c>
      <c r="R157" s="399"/>
      <c r="S157" s="399">
        <v>451.48</v>
      </c>
      <c r="T157" s="399">
        <v>144.41999999999999</v>
      </c>
      <c r="U157" s="399"/>
      <c r="V157" s="399">
        <v>24223.930900000003</v>
      </c>
      <c r="W157" s="399">
        <v>24223.930900000003</v>
      </c>
      <c r="X157" s="399">
        <v>24046.692540000004</v>
      </c>
      <c r="Y157" s="399">
        <v>0</v>
      </c>
      <c r="Z157" s="399">
        <v>0</v>
      </c>
      <c r="AA157" s="399">
        <v>0</v>
      </c>
      <c r="AB157" s="399">
        <v>0</v>
      </c>
      <c r="AC157" s="399">
        <v>0</v>
      </c>
      <c r="AD157" s="399">
        <v>4144.9244768293711</v>
      </c>
      <c r="AE157" s="399">
        <v>13492.360335249215</v>
      </c>
      <c r="AF157" s="399">
        <v>5870.8915524028862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0</v>
      </c>
      <c r="AM157" s="399"/>
      <c r="AN157" s="399">
        <v>59.141318337205981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656.85204137591757</v>
      </c>
      <c r="BH157" s="399">
        <v>0</v>
      </c>
      <c r="BI157" s="399">
        <v>4.91</v>
      </c>
      <c r="BJ157" s="399">
        <v>23.09</v>
      </c>
      <c r="BK157" s="399">
        <v>4506.99</v>
      </c>
      <c r="BL157" s="399">
        <v>254</v>
      </c>
      <c r="BM157" s="399"/>
      <c r="BN157" s="399"/>
      <c r="BO157" s="399"/>
      <c r="BP157" s="399"/>
      <c r="BQ157" s="399"/>
      <c r="BR157" s="399"/>
      <c r="BS157" s="399"/>
      <c r="BT157" s="399">
        <v>2404.5066499999994</v>
      </c>
      <c r="BU157" s="399"/>
      <c r="BV157" s="399">
        <v>6527.7435937788041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21641.6535</v>
      </c>
      <c r="CJ157" s="399">
        <v>-160.32081999999355</v>
      </c>
      <c r="CK157" s="399"/>
      <c r="CL157" s="399"/>
      <c r="CM157" s="399"/>
      <c r="CN157" s="399"/>
      <c r="CO157" s="399">
        <v>-414.64020000000187</v>
      </c>
      <c r="CP157" s="399">
        <v>237.40184000000016</v>
      </c>
      <c r="CQ157" s="399"/>
      <c r="CR157" s="399">
        <v>430.28700540680256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173.47069170987925</v>
      </c>
      <c r="DA157" s="399">
        <v>0</v>
      </c>
      <c r="DB157" s="399">
        <v>0</v>
      </c>
      <c r="DC157" s="399">
        <v>237.39340078492023</v>
      </c>
      <c r="DD157" s="399">
        <v>0</v>
      </c>
      <c r="DE157" s="399">
        <v>0</v>
      </c>
      <c r="DF157" s="399">
        <v>0</v>
      </c>
      <c r="DG157" s="399">
        <v>26.560248732734294</v>
      </c>
      <c r="DH157" s="399">
        <v>0</v>
      </c>
      <c r="DI157" s="399">
        <v>0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0</v>
      </c>
      <c r="DP157" s="399">
        <v>-7.1373358207303923</v>
      </c>
      <c r="DQ157" s="399">
        <v>0</v>
      </c>
      <c r="DR157" s="399">
        <v>0</v>
      </c>
      <c r="DS157" s="399"/>
      <c r="DT157" s="399"/>
      <c r="DU157" s="399"/>
      <c r="DV157" s="399">
        <v>13492.360335249215</v>
      </c>
      <c r="DW157" s="399">
        <v>0</v>
      </c>
      <c r="DX157" s="399">
        <v>0</v>
      </c>
      <c r="DY157" s="399">
        <v>-414.64020000000164</v>
      </c>
      <c r="DZ157" s="399">
        <v>237.40183999999954</v>
      </c>
      <c r="EA157" s="399">
        <v>0</v>
      </c>
      <c r="EB157" s="399">
        <v>0</v>
      </c>
      <c r="EC157" s="399">
        <v>-607.65854253413818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225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2359</v>
      </c>
      <c r="C158" s="399" t="s">
        <v>2357</v>
      </c>
      <c r="D158" s="399" t="s">
        <v>1823</v>
      </c>
      <c r="E158" s="399" t="s">
        <v>890</v>
      </c>
      <c r="F158" s="399" t="s">
        <v>2363</v>
      </c>
      <c r="G158" s="399" t="s">
        <v>1240</v>
      </c>
      <c r="H158" s="399" t="s">
        <v>1240</v>
      </c>
      <c r="I158" s="399" t="s">
        <v>1240</v>
      </c>
      <c r="J158" s="399" t="s">
        <v>2358</v>
      </c>
      <c r="K158" s="789">
        <v>44531</v>
      </c>
      <c r="L158" s="399">
        <v>0</v>
      </c>
      <c r="M158" s="399">
        <v>0</v>
      </c>
      <c r="N158" s="399">
        <v>-0.12</v>
      </c>
      <c r="O158" s="399">
        <v>-0.12</v>
      </c>
      <c r="P158" s="399">
        <v>-0.12</v>
      </c>
      <c r="Q158" s="399">
        <v>-0.12</v>
      </c>
      <c r="R158" s="399"/>
      <c r="S158" s="399">
        <v>451.48</v>
      </c>
      <c r="T158" s="399">
        <v>144.41999999999999</v>
      </c>
      <c r="U158" s="399"/>
      <c r="V158" s="399">
        <v>-71.507999999999996</v>
      </c>
      <c r="W158" s="399">
        <v>-71.507999999999996</v>
      </c>
      <c r="X158" s="399">
        <v>-70.984799999999993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-12.235638415279439</v>
      </c>
      <c r="AE158" s="399">
        <v>-39.828866208209035</v>
      </c>
      <c r="AF158" s="399">
        <v>-17.330618835658317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/>
      <c r="AN158" s="399">
        <v>-0.17458262282513878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-1.9389989167575239</v>
      </c>
      <c r="BH158" s="399">
        <v>0</v>
      </c>
      <c r="BI158" s="399">
        <v>0</v>
      </c>
      <c r="BJ158" s="399">
        <v>0</v>
      </c>
      <c r="BK158" s="399">
        <v>-14.26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>
        <v>-7.0979999999999972</v>
      </c>
      <c r="BU158" s="399"/>
      <c r="BV158" s="399">
        <v>-19.26961775241584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-63.886799999999994</v>
      </c>
      <c r="CJ158" s="399">
        <v>0.441599999999994</v>
      </c>
      <c r="CK158" s="399"/>
      <c r="CL158" s="399"/>
      <c r="CM158" s="399"/>
      <c r="CN158" s="399"/>
      <c r="CO158" s="399">
        <v>1.2240000000000053</v>
      </c>
      <c r="CP158" s="399">
        <v>-0.70080000000000042</v>
      </c>
      <c r="CQ158" s="399"/>
      <c r="CR158" s="399">
        <v>-1.2701886952059276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-0.51207800558868044</v>
      </c>
      <c r="DA158" s="399">
        <v>0</v>
      </c>
      <c r="DB158" s="399">
        <v>0</v>
      </c>
      <c r="DC158" s="399">
        <v>-0.70077508780080322</v>
      </c>
      <c r="DD158" s="399">
        <v>0</v>
      </c>
      <c r="DE158" s="399">
        <v>0</v>
      </c>
      <c r="DF158" s="399">
        <v>0</v>
      </c>
      <c r="DG158" s="399">
        <v>-7.8404709550272234E-2</v>
      </c>
      <c r="DH158" s="399">
        <v>0</v>
      </c>
      <c r="DI158" s="399">
        <v>0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0</v>
      </c>
      <c r="DP158" s="399">
        <v>2.10691077338232E-2</v>
      </c>
      <c r="DQ158" s="399">
        <v>0</v>
      </c>
      <c r="DR158" s="399">
        <v>0</v>
      </c>
      <c r="DS158" s="399"/>
      <c r="DT158" s="399"/>
      <c r="DU158" s="399"/>
      <c r="DV158" s="399">
        <v>-39.828866208209035</v>
      </c>
      <c r="DW158" s="399">
        <v>0</v>
      </c>
      <c r="DX158" s="399">
        <v>0</v>
      </c>
      <c r="DY158" s="399">
        <v>1.2240000000000038</v>
      </c>
      <c r="DZ158" s="399">
        <v>-0.70080000000000098</v>
      </c>
      <c r="EA158" s="399">
        <v>0</v>
      </c>
      <c r="EB158" s="399">
        <v>0</v>
      </c>
      <c r="EC158" s="399">
        <v>1.7937818283460771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225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957</v>
      </c>
      <c r="C159" s="399" t="s">
        <v>2357</v>
      </c>
      <c r="D159" s="399" t="s">
        <v>1823</v>
      </c>
      <c r="E159" s="399" t="s">
        <v>890</v>
      </c>
      <c r="F159" s="399" t="s">
        <v>2364</v>
      </c>
      <c r="G159" s="399" t="s">
        <v>1240</v>
      </c>
      <c r="H159" s="399" t="s">
        <v>1240</v>
      </c>
      <c r="I159" s="399" t="s">
        <v>1240</v>
      </c>
      <c r="J159" s="399" t="s">
        <v>2358</v>
      </c>
      <c r="K159" s="789">
        <v>44531</v>
      </c>
      <c r="L159" s="399">
        <v>0</v>
      </c>
      <c r="M159" s="399">
        <v>0</v>
      </c>
      <c r="N159" s="399">
        <v>17.779</v>
      </c>
      <c r="O159" s="399">
        <v>17.779</v>
      </c>
      <c r="P159" s="399">
        <v>17.779</v>
      </c>
      <c r="Q159" s="399">
        <v>17.779</v>
      </c>
      <c r="R159" s="399"/>
      <c r="S159" s="399">
        <v>451.48</v>
      </c>
      <c r="T159" s="399">
        <v>144.41999999999999</v>
      </c>
      <c r="U159" s="399"/>
      <c r="V159" s="399">
        <v>10594.506100000001</v>
      </c>
      <c r="W159" s="399">
        <v>10594.506100000001</v>
      </c>
      <c r="X159" s="399">
        <v>10516.989659999999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1812.8117948771098</v>
      </c>
      <c r="AE159" s="399">
        <v>5900.978435964571</v>
      </c>
      <c r="AF159" s="399">
        <v>2567.6756023264102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/>
      <c r="AN159" s="399">
        <v>25.865870426734521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287.2788478419335</v>
      </c>
      <c r="BH159" s="399">
        <v>0</v>
      </c>
      <c r="BI159" s="399">
        <v>1.64</v>
      </c>
      <c r="BJ159" s="399">
        <v>7.79</v>
      </c>
      <c r="BK159" s="399">
        <v>3148.24</v>
      </c>
      <c r="BL159" s="399">
        <v>207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2854.9544501683436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10517.581200000001</v>
      </c>
      <c r="CJ159" s="399">
        <v>-76.954900000000634</v>
      </c>
      <c r="CK159" s="399"/>
      <c r="CL159" s="399"/>
      <c r="CM159" s="399"/>
      <c r="CN159" s="399"/>
      <c r="CO159" s="399">
        <v>-181.34580000000082</v>
      </c>
      <c r="CP159" s="399">
        <v>103.82936000000007</v>
      </c>
      <c r="CQ159" s="399"/>
      <c r="CR159" s="399">
        <v>188.18904010055303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75.868623844675994</v>
      </c>
      <c r="DA159" s="399">
        <v>0</v>
      </c>
      <c r="DB159" s="399">
        <v>0</v>
      </c>
      <c r="DC159" s="399">
        <v>103.82566905008753</v>
      </c>
      <c r="DD159" s="399">
        <v>0</v>
      </c>
      <c r="DE159" s="399">
        <v>0</v>
      </c>
      <c r="DF159" s="399">
        <v>0</v>
      </c>
      <c r="DG159" s="399">
        <v>11.616311092452349</v>
      </c>
      <c r="DH159" s="399">
        <v>0</v>
      </c>
      <c r="DI159" s="399">
        <v>0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0</v>
      </c>
      <c r="DP159" s="399">
        <v>-3.1215638866636866</v>
      </c>
      <c r="DQ159" s="399">
        <v>0</v>
      </c>
      <c r="DR159" s="399">
        <v>0</v>
      </c>
      <c r="DS159" s="399"/>
      <c r="DT159" s="399"/>
      <c r="DU159" s="399"/>
      <c r="DV159" s="399">
        <v>5900.978435964571</v>
      </c>
      <c r="DW159" s="399">
        <v>0</v>
      </c>
      <c r="DX159" s="399">
        <v>0</v>
      </c>
      <c r="DY159" s="399">
        <v>-181.34580000000096</v>
      </c>
      <c r="DZ159" s="399">
        <v>103.82936000000018</v>
      </c>
      <c r="EA159" s="399">
        <v>0</v>
      </c>
      <c r="EB159" s="399">
        <v>0</v>
      </c>
      <c r="EC159" s="399">
        <v>-265.76372605137476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225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2359</v>
      </c>
      <c r="C160" s="399" t="s">
        <v>2357</v>
      </c>
      <c r="D160" s="399" t="s">
        <v>1823</v>
      </c>
      <c r="E160" s="399" t="s">
        <v>890</v>
      </c>
      <c r="F160" s="399" t="s">
        <v>2364</v>
      </c>
      <c r="G160" s="399" t="s">
        <v>1240</v>
      </c>
      <c r="H160" s="399" t="s">
        <v>1240</v>
      </c>
      <c r="I160" s="399" t="s">
        <v>1240</v>
      </c>
      <c r="J160" s="399" t="s">
        <v>2358</v>
      </c>
      <c r="K160" s="789">
        <v>44531</v>
      </c>
      <c r="L160" s="399">
        <v>0</v>
      </c>
      <c r="M160" s="399">
        <v>0</v>
      </c>
      <c r="N160" s="399">
        <v>-0.245</v>
      </c>
      <c r="O160" s="399">
        <v>-0.245</v>
      </c>
      <c r="P160" s="399">
        <v>-0.245</v>
      </c>
      <c r="Q160" s="399">
        <v>-0.245</v>
      </c>
      <c r="R160" s="399"/>
      <c r="S160" s="399">
        <v>451.48</v>
      </c>
      <c r="T160" s="399">
        <v>144.41999999999999</v>
      </c>
      <c r="U160" s="399"/>
      <c r="V160" s="399">
        <v>-145.99549999999999</v>
      </c>
      <c r="W160" s="399">
        <v>-145.99549999999999</v>
      </c>
      <c r="X160" s="399">
        <v>-144.9273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-24.981095097862191</v>
      </c>
      <c r="AE160" s="399">
        <v>-81.317268508426793</v>
      </c>
      <c r="AF160" s="399">
        <v>-35.383346789469066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-0.35643952160132503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-3.9587894550466114</v>
      </c>
      <c r="BH160" s="399">
        <v>0</v>
      </c>
      <c r="BI160" s="399">
        <v>0</v>
      </c>
      <c r="BJ160" s="399">
        <v>0</v>
      </c>
      <c r="BK160" s="399">
        <v>-45.81</v>
      </c>
      <c r="BL160" s="399">
        <v>0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-39.342136244515679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-147.88499999999999</v>
      </c>
      <c r="CJ160" s="399">
        <v>-1.9194999999999993</v>
      </c>
      <c r="CK160" s="399"/>
      <c r="CL160" s="399"/>
      <c r="CM160" s="399"/>
      <c r="CN160" s="399"/>
      <c r="CO160" s="399">
        <v>2.4990000000000112</v>
      </c>
      <c r="CP160" s="399">
        <v>-1.4308000000000007</v>
      </c>
      <c r="CQ160" s="399"/>
      <c r="CR160" s="399">
        <v>-2.5933019193787885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-1.0454925947435534</v>
      </c>
      <c r="DA160" s="399">
        <v>0</v>
      </c>
      <c r="DB160" s="399">
        <v>0</v>
      </c>
      <c r="DC160" s="399">
        <v>-1.4307491375933097</v>
      </c>
      <c r="DD160" s="399">
        <v>0</v>
      </c>
      <c r="DE160" s="399">
        <v>0</v>
      </c>
      <c r="DF160" s="399">
        <v>0</v>
      </c>
      <c r="DG160" s="399">
        <v>-0.16007628199847179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0</v>
      </c>
      <c r="DP160" s="399">
        <v>4.3016094956555673E-2</v>
      </c>
      <c r="DQ160" s="399">
        <v>0</v>
      </c>
      <c r="DR160" s="399">
        <v>0</v>
      </c>
      <c r="DS160" s="399"/>
      <c r="DT160" s="399"/>
      <c r="DU160" s="399"/>
      <c r="DV160" s="399">
        <v>-81.317268508426793</v>
      </c>
      <c r="DW160" s="399">
        <v>0</v>
      </c>
      <c r="DX160" s="399">
        <v>0</v>
      </c>
      <c r="DY160" s="399">
        <v>2.4990000000000094</v>
      </c>
      <c r="DZ160" s="399">
        <v>-1.4307999999999979</v>
      </c>
      <c r="EA160" s="399">
        <v>0</v>
      </c>
      <c r="EB160" s="399">
        <v>0</v>
      </c>
      <c r="EC160" s="399">
        <v>3.6623045662065863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225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957</v>
      </c>
      <c r="C161" s="399" t="s">
        <v>2357</v>
      </c>
      <c r="D161" s="399" t="s">
        <v>1826</v>
      </c>
      <c r="E161" s="399" t="s">
        <v>891</v>
      </c>
      <c r="F161" s="399" t="s">
        <v>1240</v>
      </c>
      <c r="G161" s="399" t="s">
        <v>1240</v>
      </c>
      <c r="H161" s="399" t="s">
        <v>1240</v>
      </c>
      <c r="I161" s="399" t="s">
        <v>1240</v>
      </c>
      <c r="J161" s="399" t="s">
        <v>2358</v>
      </c>
      <c r="K161" s="789">
        <v>44531</v>
      </c>
      <c r="L161" s="399">
        <v>0</v>
      </c>
      <c r="M161" s="399">
        <v>0</v>
      </c>
      <c r="N161" s="399">
        <v>357.19900000000001</v>
      </c>
      <c r="O161" s="399">
        <v>357.19900000000001</v>
      </c>
      <c r="P161" s="399">
        <v>357.19900000000001</v>
      </c>
      <c r="Q161" s="399">
        <v>357.19900000000001</v>
      </c>
      <c r="R161" s="399"/>
      <c r="S161" s="399">
        <v>522.37</v>
      </c>
      <c r="T161" s="399">
        <v>144.41999999999999</v>
      </c>
      <c r="U161" s="399"/>
      <c r="V161" s="399">
        <v>238176.72121000002</v>
      </c>
      <c r="W161" s="399">
        <v>238176.72121000002</v>
      </c>
      <c r="X161" s="399">
        <v>232800.87626000002</v>
      </c>
      <c r="Y161" s="399">
        <v>0</v>
      </c>
      <c r="Z161" s="399">
        <v>21932.367024433785</v>
      </c>
      <c r="AA161" s="399">
        <v>0</v>
      </c>
      <c r="AB161" s="399">
        <v>0</v>
      </c>
      <c r="AC161" s="399">
        <v>0</v>
      </c>
      <c r="AD161" s="399">
        <v>36421.315052495011</v>
      </c>
      <c r="AE161" s="399">
        <v>118556.92650588385</v>
      </c>
      <c r="AF161" s="399">
        <v>51587.330978985963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3387.2308364865635</v>
      </c>
      <c r="AM161" s="399"/>
      <c r="AN161" s="399">
        <v>519.6728190876396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5771.7372838905903</v>
      </c>
      <c r="BH161" s="399">
        <v>0</v>
      </c>
      <c r="BI161" s="399">
        <v>27.36</v>
      </c>
      <c r="BJ161" s="399">
        <v>128.37</v>
      </c>
      <c r="BK161" s="399">
        <v>86230.48</v>
      </c>
      <c r="BL161" s="399">
        <v>559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57359.06826287655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232801.52799999999</v>
      </c>
      <c r="CJ161" s="399">
        <v>-5375.2232100000547</v>
      </c>
      <c r="CK161" s="399"/>
      <c r="CL161" s="399"/>
      <c r="CM161" s="399"/>
      <c r="CN161" s="399"/>
      <c r="CO161" s="399">
        <v>-7461.8871099999951</v>
      </c>
      <c r="CP161" s="399">
        <v>2086.0421600000013</v>
      </c>
      <c r="CQ161" s="399"/>
      <c r="CR161" s="399">
        <v>-34.283515474657179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1524.2812626522573</v>
      </c>
      <c r="DA161" s="399">
        <v>0</v>
      </c>
      <c r="DB161" s="399">
        <v>0</v>
      </c>
      <c r="DC161" s="399">
        <v>2085.9680048946611</v>
      </c>
      <c r="DD161" s="399">
        <v>0</v>
      </c>
      <c r="DE161" s="399">
        <v>0</v>
      </c>
      <c r="DF161" s="399">
        <v>0</v>
      </c>
      <c r="DG161" s="399">
        <v>233.38403205539635</v>
      </c>
      <c r="DH161" s="399">
        <v>0</v>
      </c>
      <c r="DI161" s="399">
        <v>-3369.4940018369234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-445.70727812826635</v>
      </c>
      <c r="DP161" s="399">
        <v>-62.715535111782572</v>
      </c>
      <c r="DQ161" s="399">
        <v>0</v>
      </c>
      <c r="DR161" s="399">
        <v>0</v>
      </c>
      <c r="DS161" s="399"/>
      <c r="DT161" s="399"/>
      <c r="DU161" s="399"/>
      <c r="DV161" s="399">
        <v>118556.92650588385</v>
      </c>
      <c r="DW161" s="399">
        <v>0</v>
      </c>
      <c r="DX161" s="399">
        <v>0</v>
      </c>
      <c r="DY161" s="399">
        <v>-7461.8871100000106</v>
      </c>
      <c r="DZ161" s="399">
        <v>2086.0421600000045</v>
      </c>
      <c r="EA161" s="399">
        <v>0</v>
      </c>
      <c r="EB161" s="399">
        <v>0</v>
      </c>
      <c r="EC161" s="399">
        <v>-5339.4756275282707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225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2360</v>
      </c>
      <c r="C162" s="399" t="s">
        <v>2357</v>
      </c>
      <c r="D162" s="399" t="s">
        <v>1826</v>
      </c>
      <c r="E162" s="399" t="s">
        <v>891</v>
      </c>
      <c r="F162" s="399" t="s">
        <v>1240</v>
      </c>
      <c r="G162" s="399" t="s">
        <v>1240</v>
      </c>
      <c r="H162" s="399" t="s">
        <v>1240</v>
      </c>
      <c r="I162" s="399" t="s">
        <v>1240</v>
      </c>
      <c r="J162" s="399" t="s">
        <v>2358</v>
      </c>
      <c r="K162" s="789">
        <v>44531</v>
      </c>
      <c r="L162" s="399">
        <v>0</v>
      </c>
      <c r="M162" s="399">
        <v>0</v>
      </c>
      <c r="N162" s="399">
        <v>4.8369999999999997</v>
      </c>
      <c r="O162" s="399">
        <v>4.8369999999999997</v>
      </c>
      <c r="P162" s="399">
        <v>4.8369999999999997</v>
      </c>
      <c r="Q162" s="399">
        <v>4.8369999999999997</v>
      </c>
      <c r="R162" s="399"/>
      <c r="S162" s="399">
        <v>522.37</v>
      </c>
      <c r="T162" s="399">
        <v>144.41999999999999</v>
      </c>
      <c r="U162" s="399"/>
      <c r="V162" s="399">
        <v>3225.2632299999996</v>
      </c>
      <c r="W162" s="399">
        <v>3225.2632299999996</v>
      </c>
      <c r="X162" s="399">
        <v>3152.4663799999998</v>
      </c>
      <c r="Y162" s="399">
        <v>0</v>
      </c>
      <c r="Z162" s="399">
        <v>296.99651817946358</v>
      </c>
      <c r="AA162" s="399">
        <v>0</v>
      </c>
      <c r="AB162" s="399">
        <v>0</v>
      </c>
      <c r="AC162" s="399">
        <v>0</v>
      </c>
      <c r="AD162" s="399">
        <v>493.19819178922205</v>
      </c>
      <c r="AE162" s="399">
        <v>1605.435215409226</v>
      </c>
      <c r="AF162" s="399">
        <v>698.56836090066065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45.868089093433923</v>
      </c>
      <c r="AM162" s="399"/>
      <c r="AN162" s="399">
        <v>7.0371345550433029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78.157814669634533</v>
      </c>
      <c r="BH162" s="399">
        <v>0</v>
      </c>
      <c r="BI162" s="399">
        <v>0</v>
      </c>
      <c r="BJ162" s="399">
        <v>0</v>
      </c>
      <c r="BK162" s="399">
        <v>4132.5200000000004</v>
      </c>
      <c r="BL162" s="399">
        <v>8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776.72617557029514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3154.4215999999997</v>
      </c>
      <c r="CJ162" s="399">
        <v>-70.87163000000055</v>
      </c>
      <c r="CK162" s="399"/>
      <c r="CL162" s="399"/>
      <c r="CM162" s="399"/>
      <c r="CN162" s="399"/>
      <c r="CO162" s="399">
        <v>-101.04492999999992</v>
      </c>
      <c r="CP162" s="399">
        <v>28.248080000000016</v>
      </c>
      <c r="CQ162" s="399"/>
      <c r="CR162" s="399">
        <v>-0.46424924020152503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20.641010941937111</v>
      </c>
      <c r="DA162" s="399">
        <v>0</v>
      </c>
      <c r="DB162" s="399">
        <v>0</v>
      </c>
      <c r="DC162" s="399">
        <v>28.247075830770768</v>
      </c>
      <c r="DD162" s="399">
        <v>0</v>
      </c>
      <c r="DE162" s="399">
        <v>0</v>
      </c>
      <c r="DF162" s="399">
        <v>0</v>
      </c>
      <c r="DG162" s="399">
        <v>3.160363167455543</v>
      </c>
      <c r="DH162" s="399">
        <v>0</v>
      </c>
      <c r="DI162" s="399">
        <v>-45.627906256415059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-6.035532306379416</v>
      </c>
      <c r="DP162" s="399">
        <v>-0.8492606175708568</v>
      </c>
      <c r="DQ162" s="399">
        <v>0</v>
      </c>
      <c r="DR162" s="399">
        <v>0</v>
      </c>
      <c r="DS162" s="399"/>
      <c r="DT162" s="399"/>
      <c r="DU162" s="399"/>
      <c r="DV162" s="399">
        <v>1605.435215409226</v>
      </c>
      <c r="DW162" s="399">
        <v>0</v>
      </c>
      <c r="DX162" s="399">
        <v>0</v>
      </c>
      <c r="DY162" s="399">
        <v>-101.04493000000002</v>
      </c>
      <c r="DZ162" s="399">
        <v>28.248080000000073</v>
      </c>
      <c r="EA162" s="399">
        <v>0</v>
      </c>
      <c r="EB162" s="399">
        <v>0</v>
      </c>
      <c r="EC162" s="399">
        <v>-72.304355864250056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225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957</v>
      </c>
      <c r="C163" s="399" t="s">
        <v>2365</v>
      </c>
      <c r="D163" s="399" t="s">
        <v>534</v>
      </c>
      <c r="E163" s="399" t="s">
        <v>891</v>
      </c>
      <c r="F163" s="399" t="s">
        <v>1240</v>
      </c>
      <c r="G163" s="399" t="s">
        <v>1240</v>
      </c>
      <c r="H163" s="399" t="s">
        <v>1240</v>
      </c>
      <c r="I163" s="399" t="s">
        <v>894</v>
      </c>
      <c r="J163" s="399" t="s">
        <v>2358</v>
      </c>
      <c r="K163" s="789">
        <v>44531</v>
      </c>
      <c r="L163" s="399">
        <v>1335</v>
      </c>
      <c r="M163" s="399">
        <v>1335</v>
      </c>
      <c r="N163" s="399">
        <v>57.280999999999999</v>
      </c>
      <c r="O163" s="399">
        <v>57.280999999999999</v>
      </c>
      <c r="P163" s="399">
        <v>57.280999999999999</v>
      </c>
      <c r="Q163" s="399">
        <v>57.280999999999999</v>
      </c>
      <c r="R163" s="399">
        <v>111</v>
      </c>
      <c r="S163" s="399">
        <v>69.64</v>
      </c>
      <c r="T163" s="399">
        <v>144.41999999999999</v>
      </c>
      <c r="U163" s="399">
        <v>148185</v>
      </c>
      <c r="V163" s="399">
        <v>12261.570859999998</v>
      </c>
      <c r="W163" s="399">
        <v>160446.57086000001</v>
      </c>
      <c r="X163" s="399">
        <v>157193.51983999999</v>
      </c>
      <c r="Y163" s="399">
        <v>0</v>
      </c>
      <c r="Z163" s="399">
        <v>3059.885068290042</v>
      </c>
      <c r="AA163" s="399">
        <v>0</v>
      </c>
      <c r="AB163" s="399">
        <v>0</v>
      </c>
      <c r="AC163" s="399">
        <v>0</v>
      </c>
      <c r="AD163" s="399">
        <v>41712.489813400214</v>
      </c>
      <c r="AE163" s="399">
        <v>106467.68557061993</v>
      </c>
      <c r="AF163" s="399">
        <v>8272.6264793778682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543.18172655798821</v>
      </c>
      <c r="AM163" s="399"/>
      <c r="AN163" s="399">
        <v>28.507906138827583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357.35338380706213</v>
      </c>
      <c r="BH163" s="399">
        <v>0</v>
      </c>
      <c r="BI163" s="399">
        <v>0</v>
      </c>
      <c r="BJ163" s="399">
        <v>0</v>
      </c>
      <c r="BK163" s="399">
        <v>0</v>
      </c>
      <c r="BL163" s="399">
        <v>0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8629.9798631849299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157193.30920000002</v>
      </c>
      <c r="CJ163" s="399">
        <v>-3253.2916600000171</v>
      </c>
      <c r="CK163" s="399"/>
      <c r="CL163" s="399"/>
      <c r="CM163" s="399"/>
      <c r="CN163" s="399"/>
      <c r="CO163" s="399">
        <v>-3587.5720600000082</v>
      </c>
      <c r="CP163" s="399">
        <v>334.5210400000002</v>
      </c>
      <c r="CQ163" s="399"/>
      <c r="CR163" s="399">
        <v>1549.6747526511317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1745.7240780430438</v>
      </c>
      <c r="DA163" s="399">
        <v>0</v>
      </c>
      <c r="DB163" s="399">
        <v>0</v>
      </c>
      <c r="DC163" s="399">
        <v>334.50914836931406</v>
      </c>
      <c r="DD163" s="399">
        <v>0</v>
      </c>
      <c r="DE163" s="399">
        <v>0</v>
      </c>
      <c r="DF163" s="399">
        <v>0</v>
      </c>
      <c r="DG163" s="399">
        <v>14.449821514625512</v>
      </c>
      <c r="DH163" s="399">
        <v>0</v>
      </c>
      <c r="DI163" s="399">
        <v>-470.09355499237472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-71.474328311292084</v>
      </c>
      <c r="DP163" s="399">
        <v>-3.4404119721943154</v>
      </c>
      <c r="DQ163" s="399">
        <v>0</v>
      </c>
      <c r="DR163" s="399">
        <v>0</v>
      </c>
      <c r="DS163" s="399"/>
      <c r="DT163" s="399"/>
      <c r="DU163" s="399">
        <v>106467.68557061993</v>
      </c>
      <c r="DV163" s="399">
        <v>0</v>
      </c>
      <c r="DW163" s="399">
        <v>0</v>
      </c>
      <c r="DX163" s="399">
        <v>0</v>
      </c>
      <c r="DY163" s="399">
        <v>-3587.5720600000059</v>
      </c>
      <c r="DZ163" s="399">
        <v>334.52104000000145</v>
      </c>
      <c r="EA163" s="399">
        <v>0</v>
      </c>
      <c r="EB163" s="399">
        <v>0</v>
      </c>
      <c r="EC163" s="399">
        <v>-4795.0096968436992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225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957</v>
      </c>
      <c r="C164" s="399" t="s">
        <v>2365</v>
      </c>
      <c r="D164" s="399" t="s">
        <v>534</v>
      </c>
      <c r="E164" s="399" t="s">
        <v>891</v>
      </c>
      <c r="F164" s="399" t="s">
        <v>1240</v>
      </c>
      <c r="G164" s="399" t="s">
        <v>1240</v>
      </c>
      <c r="H164" s="399" t="s">
        <v>1240</v>
      </c>
      <c r="I164" s="399" t="s">
        <v>2328</v>
      </c>
      <c r="J164" s="399" t="s">
        <v>2358</v>
      </c>
      <c r="K164" s="789">
        <v>44531</v>
      </c>
      <c r="L164" s="399">
        <v>3685</v>
      </c>
      <c r="M164" s="399">
        <v>3685</v>
      </c>
      <c r="N164" s="399">
        <v>1325.4169999999999</v>
      </c>
      <c r="O164" s="399">
        <v>1325.4169999999999</v>
      </c>
      <c r="P164" s="399">
        <v>1325.4169999999999</v>
      </c>
      <c r="Q164" s="399">
        <v>1325.4169999999999</v>
      </c>
      <c r="R164" s="399">
        <v>34.950000000000003</v>
      </c>
      <c r="S164" s="399">
        <v>69.64</v>
      </c>
      <c r="T164" s="399">
        <v>144.41999999999999</v>
      </c>
      <c r="U164" s="399">
        <v>128790.75000000001</v>
      </c>
      <c r="V164" s="399">
        <v>283718.76301999995</v>
      </c>
      <c r="W164" s="399">
        <v>412509.51301999995</v>
      </c>
      <c r="X164" s="399">
        <v>406244.63687999995</v>
      </c>
      <c r="Y164" s="399">
        <v>0</v>
      </c>
      <c r="Z164" s="399">
        <v>70802.250092662187</v>
      </c>
      <c r="AA164" s="399">
        <v>0</v>
      </c>
      <c r="AB164" s="399">
        <v>0</v>
      </c>
      <c r="AC164" s="399">
        <v>0</v>
      </c>
      <c r="AD164" s="399">
        <v>46688.137499645345</v>
      </c>
      <c r="AE164" s="399">
        <v>82119.517452706306</v>
      </c>
      <c r="AF164" s="399">
        <v>191419.14021084784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12568.605549297481</v>
      </c>
      <c r="AM164" s="399"/>
      <c r="AN164" s="399">
        <v>659.64042930127687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8268.7496710149062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199687.88988186273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406245.26880000002</v>
      </c>
      <c r="CJ164" s="399">
        <v>-6264.274219999963</v>
      </c>
      <c r="CK164" s="399"/>
      <c r="CL164" s="399"/>
      <c r="CM164" s="399"/>
      <c r="CN164" s="399"/>
      <c r="CO164" s="399">
        <v>-14005.31142000002</v>
      </c>
      <c r="CP164" s="399">
        <v>7740.4352800000042</v>
      </c>
      <c r="CQ164" s="399"/>
      <c r="CR164" s="399">
        <v>-2582.396098711004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1953.9616588872523</v>
      </c>
      <c r="DA164" s="399">
        <v>0</v>
      </c>
      <c r="DB164" s="399">
        <v>0</v>
      </c>
      <c r="DC164" s="399">
        <v>7740.1601212306414</v>
      </c>
      <c r="DD164" s="399">
        <v>0</v>
      </c>
      <c r="DE164" s="399">
        <v>0</v>
      </c>
      <c r="DF164" s="399">
        <v>0</v>
      </c>
      <c r="DG164" s="399">
        <v>334.35238704719632</v>
      </c>
      <c r="DH164" s="399">
        <v>0</v>
      </c>
      <c r="DI164" s="399">
        <v>-10877.428630389288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-1653.8344269019017</v>
      </c>
      <c r="DP164" s="399">
        <v>-79.607208584868886</v>
      </c>
      <c r="DQ164" s="399">
        <v>0</v>
      </c>
      <c r="DR164" s="399">
        <v>0</v>
      </c>
      <c r="DS164" s="399"/>
      <c r="DT164" s="399"/>
      <c r="DU164" s="399">
        <v>82119.517452706306</v>
      </c>
      <c r="DV164" s="399">
        <v>0</v>
      </c>
      <c r="DW164" s="399">
        <v>0</v>
      </c>
      <c r="DX164" s="399">
        <v>0</v>
      </c>
      <c r="DY164" s="399">
        <v>-14005.311420000013</v>
      </c>
      <c r="DZ164" s="399">
        <v>7740.4352800000052</v>
      </c>
      <c r="EA164" s="399">
        <v>0</v>
      </c>
      <c r="EB164" s="399">
        <v>0</v>
      </c>
      <c r="EC164" s="399">
        <v>-3698.4356368358567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225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957</v>
      </c>
      <c r="C165" s="399" t="s">
        <v>2365</v>
      </c>
      <c r="D165" s="399" t="s">
        <v>534</v>
      </c>
      <c r="E165" s="399" t="s">
        <v>891</v>
      </c>
      <c r="F165" s="399" t="s">
        <v>1240</v>
      </c>
      <c r="G165" s="399" t="s">
        <v>1240</v>
      </c>
      <c r="H165" s="399" t="s">
        <v>1240</v>
      </c>
      <c r="I165" s="399" t="s">
        <v>1240</v>
      </c>
      <c r="J165" s="399" t="s">
        <v>2358</v>
      </c>
      <c r="K165" s="789">
        <v>44531</v>
      </c>
      <c r="L165" s="399">
        <v>0</v>
      </c>
      <c r="M165" s="399">
        <v>0</v>
      </c>
      <c r="N165" s="399">
        <v>0</v>
      </c>
      <c r="O165" s="399">
        <v>0</v>
      </c>
      <c r="P165" s="399">
        <v>0</v>
      </c>
      <c r="Q165" s="399">
        <v>0</v>
      </c>
      <c r="R165" s="399"/>
      <c r="S165" s="399"/>
      <c r="T165" s="399"/>
      <c r="U165" s="399"/>
      <c r="V165" s="399"/>
      <c r="W165" s="399"/>
      <c r="X165" s="399"/>
      <c r="Y165" s="399"/>
      <c r="Z165" s="399"/>
      <c r="AA165" s="399">
        <v>0</v>
      </c>
      <c r="AB165" s="399"/>
      <c r="AC165" s="399"/>
      <c r="AD165" s="399"/>
      <c r="AE165" s="399"/>
      <c r="AF165" s="399"/>
      <c r="AG165" s="399"/>
      <c r="AH165" s="399"/>
      <c r="AI165" s="399"/>
      <c r="AJ165" s="399"/>
      <c r="AK165" s="399"/>
      <c r="AL165" s="399"/>
      <c r="AM165" s="399"/>
      <c r="AN165" s="399"/>
      <c r="AO165" s="399"/>
      <c r="AP165" s="399"/>
      <c r="AQ165" s="399"/>
      <c r="AR165" s="399"/>
      <c r="AS165" s="399"/>
      <c r="AT165" s="399"/>
      <c r="AU165" s="399"/>
      <c r="AV165" s="399"/>
      <c r="AW165" s="399"/>
      <c r="AX165" s="399"/>
      <c r="AY165" s="399"/>
      <c r="AZ165" s="399">
        <v>0</v>
      </c>
      <c r="BA165" s="399"/>
      <c r="BB165" s="399"/>
      <c r="BC165" s="399"/>
      <c r="BD165" s="399"/>
      <c r="BE165" s="399"/>
      <c r="BF165" s="399"/>
      <c r="BG165" s="399"/>
      <c r="BH165" s="399"/>
      <c r="BI165" s="399">
        <v>0</v>
      </c>
      <c r="BJ165" s="399">
        <v>0</v>
      </c>
      <c r="BK165" s="399">
        <v>240472.09</v>
      </c>
      <c r="BL165" s="399">
        <v>2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/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/>
      <c r="CJ165" s="399">
        <v>-0.03</v>
      </c>
      <c r="CK165" s="399"/>
      <c r="CL165" s="399"/>
      <c r="CM165" s="399"/>
      <c r="CN165" s="399"/>
      <c r="CO165" s="399">
        <v>0</v>
      </c>
      <c r="CP165" s="399">
        <v>0</v>
      </c>
      <c r="CQ165" s="399"/>
      <c r="CR165" s="399"/>
      <c r="CS165" s="399"/>
      <c r="CT165" s="399"/>
      <c r="CU165" s="399"/>
      <c r="CV165" s="399"/>
      <c r="CW165" s="399"/>
      <c r="CX165" s="399"/>
      <c r="CY165" s="399"/>
      <c r="CZ165" s="399"/>
      <c r="DA165" s="399"/>
      <c r="DB165" s="399"/>
      <c r="DC165" s="399"/>
      <c r="DD165" s="399"/>
      <c r="DE165" s="399"/>
      <c r="DF165" s="399"/>
      <c r="DG165" s="399"/>
      <c r="DH165" s="399"/>
      <c r="DI165" s="399"/>
      <c r="DJ165" s="399"/>
      <c r="DK165" s="399">
        <v>0</v>
      </c>
      <c r="DL165" s="399"/>
      <c r="DM165" s="399"/>
      <c r="DN165" s="399"/>
      <c r="DO165" s="399"/>
      <c r="DP165" s="399"/>
      <c r="DQ165" s="399"/>
      <c r="DR165" s="399"/>
      <c r="DS165" s="399"/>
      <c r="DT165" s="399"/>
      <c r="DU165" s="399"/>
      <c r="DV165" s="399"/>
      <c r="DW165" s="399"/>
      <c r="DX165" s="399"/>
      <c r="DY165" s="399"/>
      <c r="DZ165" s="399"/>
      <c r="EA165" s="399"/>
      <c r="EB165" s="399"/>
      <c r="EC165" s="399"/>
      <c r="ED165" s="399"/>
      <c r="EE165" s="399"/>
      <c r="EF165" s="399"/>
      <c r="EG165" s="399"/>
      <c r="EH165" s="399"/>
      <c r="EI165" s="399"/>
      <c r="EJ165" s="399"/>
      <c r="EK165" s="399"/>
      <c r="EL165" s="399"/>
      <c r="EM165" s="399"/>
      <c r="EN165" s="399"/>
      <c r="EO165" s="399"/>
      <c r="EP165" s="399"/>
      <c r="EQ165" s="399"/>
      <c r="ER165" s="399"/>
      <c r="ES165" s="399"/>
      <c r="ET165" s="399"/>
      <c r="EU165" s="399"/>
      <c r="EV165" s="399">
        <v>225</v>
      </c>
      <c r="EW165" s="399"/>
      <c r="EX165" s="399"/>
      <c r="EY165" s="399"/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957</v>
      </c>
      <c r="C166" s="399" t="s">
        <v>2366</v>
      </c>
      <c r="D166" s="399" t="s">
        <v>534</v>
      </c>
      <c r="E166" s="399" t="s">
        <v>891</v>
      </c>
      <c r="F166" s="399" t="s">
        <v>1240</v>
      </c>
      <c r="G166" s="399" t="s">
        <v>1240</v>
      </c>
      <c r="H166" s="399" t="s">
        <v>1240</v>
      </c>
      <c r="I166" s="399" t="s">
        <v>894</v>
      </c>
      <c r="J166" s="399" t="s">
        <v>2358</v>
      </c>
      <c r="K166" s="789">
        <v>44531</v>
      </c>
      <c r="L166" s="399">
        <v>0</v>
      </c>
      <c r="M166" s="399">
        <v>0</v>
      </c>
      <c r="N166" s="399">
        <v>83.748999999999995</v>
      </c>
      <c r="O166" s="399">
        <v>83.748999999999995</v>
      </c>
      <c r="P166" s="399">
        <v>83.748999999999995</v>
      </c>
      <c r="Q166" s="399">
        <v>83.748999999999995</v>
      </c>
      <c r="R166" s="399"/>
      <c r="S166" s="399">
        <v>2740.31</v>
      </c>
      <c r="T166" s="399">
        <v>144.41999999999999</v>
      </c>
      <c r="U166" s="399"/>
      <c r="V166" s="399">
        <v>241593.25276999996</v>
      </c>
      <c r="W166" s="399">
        <v>241593.25276999996</v>
      </c>
      <c r="X166" s="399">
        <v>236709.84857999996</v>
      </c>
      <c r="Y166" s="399">
        <v>0</v>
      </c>
      <c r="Z166" s="399">
        <v>4473.7751537896111</v>
      </c>
      <c r="AA166" s="399">
        <v>0</v>
      </c>
      <c r="AB166" s="399">
        <v>0</v>
      </c>
      <c r="AC166" s="399">
        <v>0</v>
      </c>
      <c r="AD166" s="399">
        <v>63034.757946652811</v>
      </c>
      <c r="AE166" s="399">
        <v>160631.21564456465</v>
      </c>
      <c r="AF166" s="399">
        <v>12095.18330722957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794.17130318089687</v>
      </c>
      <c r="AM166" s="399"/>
      <c r="AN166" s="399">
        <v>41.680638103745942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522.47671200673244</v>
      </c>
      <c r="BH166" s="399">
        <v>0</v>
      </c>
      <c r="BI166" s="399">
        <v>0</v>
      </c>
      <c r="BJ166" s="399">
        <v>0</v>
      </c>
      <c r="BK166" s="399">
        <v>0</v>
      </c>
      <c r="BL166" s="399">
        <v>0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12617.660019236302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236712.67499999999</v>
      </c>
      <c r="CJ166" s="399">
        <v>-4880.6077700000023</v>
      </c>
      <c r="CK166" s="399"/>
      <c r="CL166" s="399"/>
      <c r="CM166" s="399"/>
      <c r="CN166" s="399"/>
      <c r="CO166" s="399">
        <v>-5372.4983500000071</v>
      </c>
      <c r="CP166" s="399">
        <v>489.09416000000027</v>
      </c>
      <c r="CQ166" s="399"/>
      <c r="CR166" s="399">
        <v>2351.4514056809276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2638.0898189811269</v>
      </c>
      <c r="DA166" s="399">
        <v>0</v>
      </c>
      <c r="DB166" s="399">
        <v>0</v>
      </c>
      <c r="DC166" s="399">
        <v>489.07677356857857</v>
      </c>
      <c r="DD166" s="399">
        <v>0</v>
      </c>
      <c r="DE166" s="399">
        <v>0</v>
      </c>
      <c r="DF166" s="399">
        <v>0</v>
      </c>
      <c r="DG166" s="399">
        <v>21.126693005156653</v>
      </c>
      <c r="DH166" s="399">
        <v>0</v>
      </c>
      <c r="DI166" s="399">
        <v>-687.31106539788743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-104.50068123360984</v>
      </c>
      <c r="DP166" s="399">
        <v>-5.0301332424242204</v>
      </c>
      <c r="DQ166" s="399">
        <v>0</v>
      </c>
      <c r="DR166" s="399">
        <v>0</v>
      </c>
      <c r="DS166" s="399"/>
      <c r="DT166" s="399"/>
      <c r="DU166" s="399"/>
      <c r="DV166" s="399">
        <v>160631.21564456465</v>
      </c>
      <c r="DW166" s="399">
        <v>0</v>
      </c>
      <c r="DX166" s="399">
        <v>0</v>
      </c>
      <c r="DY166" s="399">
        <v>-5372.4983500000089</v>
      </c>
      <c r="DZ166" s="399">
        <v>489.09416000000056</v>
      </c>
      <c r="EA166" s="399">
        <v>0</v>
      </c>
      <c r="EB166" s="399">
        <v>0</v>
      </c>
      <c r="EC166" s="399">
        <v>-7234.3850859855011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225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957</v>
      </c>
      <c r="C167" s="399" t="s">
        <v>2366</v>
      </c>
      <c r="D167" s="399" t="s">
        <v>534</v>
      </c>
      <c r="E167" s="399" t="s">
        <v>891</v>
      </c>
      <c r="F167" s="399" t="s">
        <v>1240</v>
      </c>
      <c r="G167" s="399" t="s">
        <v>1240</v>
      </c>
      <c r="H167" s="399" t="s">
        <v>1240</v>
      </c>
      <c r="I167" s="399" t="s">
        <v>2328</v>
      </c>
      <c r="J167" s="399" t="s">
        <v>2358</v>
      </c>
      <c r="K167" s="789">
        <v>44531</v>
      </c>
      <c r="L167" s="399">
        <v>0</v>
      </c>
      <c r="M167" s="399">
        <v>0</v>
      </c>
      <c r="N167" s="399">
        <v>5565.7330000000002</v>
      </c>
      <c r="O167" s="399">
        <v>5565.7330000000002</v>
      </c>
      <c r="P167" s="399">
        <v>5565.7330000000002</v>
      </c>
      <c r="Q167" s="399">
        <v>5565.7330000000002</v>
      </c>
      <c r="R167" s="399"/>
      <c r="S167" s="399">
        <v>69.64</v>
      </c>
      <c r="T167" s="399">
        <v>144.41999999999999</v>
      </c>
      <c r="U167" s="399"/>
      <c r="V167" s="399">
        <v>1191400.8059799999</v>
      </c>
      <c r="W167" s="399">
        <v>1191400.8059799999</v>
      </c>
      <c r="X167" s="399">
        <v>1172365.9991200001</v>
      </c>
      <c r="Y167" s="399">
        <v>0</v>
      </c>
      <c r="Z167" s="399">
        <v>297315.04863373796</v>
      </c>
      <c r="AA167" s="399">
        <v>0</v>
      </c>
      <c r="AB167" s="399">
        <v>0</v>
      </c>
      <c r="AC167" s="399">
        <v>0</v>
      </c>
      <c r="AD167" s="399">
        <v>0</v>
      </c>
      <c r="AE167" s="399">
        <v>0</v>
      </c>
      <c r="AF167" s="399">
        <v>803813.30970037566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52778.486068692437</v>
      </c>
      <c r="AM167" s="399"/>
      <c r="AN167" s="399">
        <v>2769.9829604541692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34722.395225583197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838535.70492595888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1172365.3671999997</v>
      </c>
      <c r="CJ167" s="399">
        <v>-19035.468780000228</v>
      </c>
      <c r="CK167" s="399"/>
      <c r="CL167" s="399"/>
      <c r="CM167" s="399"/>
      <c r="CN167" s="399"/>
      <c r="CO167" s="399">
        <v>-51538.687579999991</v>
      </c>
      <c r="CP167" s="399">
        <v>32503.880720000019</v>
      </c>
      <c r="CQ167" s="399"/>
      <c r="CR167" s="399">
        <v>-19049.21701718797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0</v>
      </c>
      <c r="DA167" s="399">
        <v>0</v>
      </c>
      <c r="DB167" s="399">
        <v>0</v>
      </c>
      <c r="DC167" s="399">
        <v>32502.725264590234</v>
      </c>
      <c r="DD167" s="399">
        <v>0</v>
      </c>
      <c r="DE167" s="399">
        <v>0</v>
      </c>
      <c r="DF167" s="399">
        <v>0</v>
      </c>
      <c r="DG167" s="399">
        <v>1404.0231219437774</v>
      </c>
      <c r="DH167" s="399">
        <v>0</v>
      </c>
      <c r="DI167" s="399">
        <v>-45676.842445285118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-6944.8338495311327</v>
      </c>
      <c r="DP167" s="399">
        <v>-334.28910890586712</v>
      </c>
      <c r="DQ167" s="399">
        <v>0</v>
      </c>
      <c r="DR167" s="399">
        <v>0</v>
      </c>
      <c r="DS167" s="399"/>
      <c r="DT167" s="399"/>
      <c r="DU167" s="399"/>
      <c r="DV167" s="399">
        <v>0</v>
      </c>
      <c r="DW167" s="399">
        <v>0</v>
      </c>
      <c r="DX167" s="399">
        <v>0</v>
      </c>
      <c r="DY167" s="399">
        <v>-51538.687579999969</v>
      </c>
      <c r="DZ167" s="399">
        <v>32503.880720000132</v>
      </c>
      <c r="EA167" s="399">
        <v>0</v>
      </c>
      <c r="EB167" s="399">
        <v>0</v>
      </c>
      <c r="EC167" s="399">
        <v>0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225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957</v>
      </c>
      <c r="C168" s="399" t="s">
        <v>2366</v>
      </c>
      <c r="D168" s="399" t="s">
        <v>534</v>
      </c>
      <c r="E168" s="399" t="s">
        <v>891</v>
      </c>
      <c r="F168" s="399" t="s">
        <v>1240</v>
      </c>
      <c r="G168" s="399" t="s">
        <v>1240</v>
      </c>
      <c r="H168" s="399" t="s">
        <v>1240</v>
      </c>
      <c r="I168" s="399" t="s">
        <v>1240</v>
      </c>
      <c r="J168" s="399" t="s">
        <v>2358</v>
      </c>
      <c r="K168" s="789">
        <v>44531</v>
      </c>
      <c r="L168" s="399">
        <v>21322</v>
      </c>
      <c r="M168" s="399">
        <v>21322</v>
      </c>
      <c r="N168" s="399">
        <v>0</v>
      </c>
      <c r="O168" s="399">
        <v>0</v>
      </c>
      <c r="P168" s="399">
        <v>0</v>
      </c>
      <c r="Q168" s="399">
        <v>0</v>
      </c>
      <c r="R168" s="399">
        <v>34.950000000000003</v>
      </c>
      <c r="S168" s="399"/>
      <c r="T168" s="399"/>
      <c r="U168" s="399">
        <v>745203.9</v>
      </c>
      <c r="V168" s="399"/>
      <c r="W168" s="399">
        <v>745203.9</v>
      </c>
      <c r="X168" s="399">
        <v>735182.55999999994</v>
      </c>
      <c r="Y168" s="399">
        <v>0</v>
      </c>
      <c r="Z168" s="399">
        <v>0</v>
      </c>
      <c r="AA168" s="399">
        <v>0</v>
      </c>
      <c r="AB168" s="399">
        <v>0</v>
      </c>
      <c r="AC168" s="399">
        <v>0</v>
      </c>
      <c r="AD168" s="399">
        <v>270145.03874285973</v>
      </c>
      <c r="AE168" s="399">
        <v>475156.67601807433</v>
      </c>
      <c r="AF168" s="399"/>
      <c r="AG168" s="399"/>
      <c r="AH168" s="399"/>
      <c r="AI168" s="399">
        <v>0</v>
      </c>
      <c r="AJ168" s="399">
        <v>0</v>
      </c>
      <c r="AK168" s="399">
        <v>0</v>
      </c>
      <c r="AL168" s="399">
        <v>0</v>
      </c>
      <c r="AM168" s="399"/>
      <c r="AN168" s="399">
        <v>0</v>
      </c>
      <c r="AO168" s="399">
        <v>0</v>
      </c>
      <c r="AP168" s="399">
        <v>0</v>
      </c>
      <c r="AQ168" s="399">
        <v>0</v>
      </c>
      <c r="AR168" s="399">
        <v>0</v>
      </c>
      <c r="AS168" s="399"/>
      <c r="AT168" s="399"/>
      <c r="AU168" s="399">
        <v>0</v>
      </c>
      <c r="AV168" s="399">
        <v>0</v>
      </c>
      <c r="AW168" s="399">
        <v>0</v>
      </c>
      <c r="AX168" s="399"/>
      <c r="AY168" s="399"/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/>
      <c r="BG168" s="399">
        <v>0</v>
      </c>
      <c r="BH168" s="399">
        <v>0</v>
      </c>
      <c r="BI168" s="399">
        <v>165.4</v>
      </c>
      <c r="BJ168" s="399">
        <v>763.44</v>
      </c>
      <c r="BK168" s="399">
        <v>919604.71</v>
      </c>
      <c r="BL168" s="399">
        <v>69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0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735182.55999999994</v>
      </c>
      <c r="CJ168" s="399">
        <v>-10021.370000000112</v>
      </c>
      <c r="CK168" s="399"/>
      <c r="CL168" s="399"/>
      <c r="CM168" s="399"/>
      <c r="CN168" s="399"/>
      <c r="CO168" s="399">
        <v>-10021.340000000127</v>
      </c>
      <c r="CP168" s="399">
        <v>0</v>
      </c>
      <c r="CQ168" s="399"/>
      <c r="CR168" s="399">
        <v>11305.935004286002</v>
      </c>
      <c r="CS168" s="399">
        <v>0</v>
      </c>
      <c r="CT168" s="399">
        <v>0</v>
      </c>
      <c r="CU168" s="399">
        <v>0</v>
      </c>
      <c r="CV168" s="399">
        <v>0</v>
      </c>
      <c r="CW168" s="399"/>
      <c r="CX168" s="399"/>
      <c r="CY168" s="399"/>
      <c r="CZ168" s="399">
        <v>11305.935004286002</v>
      </c>
      <c r="DA168" s="399">
        <v>0</v>
      </c>
      <c r="DB168" s="399">
        <v>0</v>
      </c>
      <c r="DC168" s="399"/>
      <c r="DD168" s="399"/>
      <c r="DE168" s="399">
        <v>0</v>
      </c>
      <c r="DF168" s="399">
        <v>0</v>
      </c>
      <c r="DG168" s="399">
        <v>0</v>
      </c>
      <c r="DH168" s="399">
        <v>0</v>
      </c>
      <c r="DI168" s="399">
        <v>0</v>
      </c>
      <c r="DJ168" s="399"/>
      <c r="DK168" s="399">
        <v>0</v>
      </c>
      <c r="DL168" s="399">
        <v>0</v>
      </c>
      <c r="DM168" s="399"/>
      <c r="DN168" s="399">
        <v>0</v>
      </c>
      <c r="DO168" s="399">
        <v>0</v>
      </c>
      <c r="DP168" s="399">
        <v>0</v>
      </c>
      <c r="DQ168" s="399">
        <v>0</v>
      </c>
      <c r="DR168" s="399">
        <v>0</v>
      </c>
      <c r="DS168" s="399"/>
      <c r="DT168" s="399"/>
      <c r="DU168" s="399">
        <v>475156.67601807433</v>
      </c>
      <c r="DV168" s="399"/>
      <c r="DW168" s="399">
        <v>0</v>
      </c>
      <c r="DX168" s="399">
        <v>0</v>
      </c>
      <c r="DY168" s="399">
        <v>-10021.340000000084</v>
      </c>
      <c r="DZ168" s="399"/>
      <c r="EA168" s="399">
        <v>0</v>
      </c>
      <c r="EB168" s="399"/>
      <c r="EC168" s="399">
        <v>-21399.740745892574</v>
      </c>
      <c r="ED168" s="399"/>
      <c r="EE168" s="399">
        <v>0</v>
      </c>
      <c r="EF168" s="399">
        <v>0</v>
      </c>
      <c r="EG168" s="399"/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/>
      <c r="EN168" s="399"/>
      <c r="EO168" s="399">
        <v>0</v>
      </c>
      <c r="EP168" s="399">
        <v>0</v>
      </c>
      <c r="EQ168" s="399"/>
      <c r="ER168" s="399">
        <v>0</v>
      </c>
      <c r="ES168" s="399"/>
      <c r="ET168" s="399">
        <v>0</v>
      </c>
      <c r="EU168" s="399"/>
      <c r="EV168" s="399">
        <v>225</v>
      </c>
      <c r="EW168" s="399"/>
      <c r="EX168" s="399"/>
      <c r="EY168" s="399"/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2360</v>
      </c>
      <c r="C169" s="399" t="s">
        <v>2366</v>
      </c>
      <c r="D169" s="399" t="s">
        <v>534</v>
      </c>
      <c r="E169" s="399" t="s">
        <v>891</v>
      </c>
      <c r="F169" s="399" t="s">
        <v>1240</v>
      </c>
      <c r="G169" s="399" t="s">
        <v>1240</v>
      </c>
      <c r="H169" s="399" t="s">
        <v>1240</v>
      </c>
      <c r="I169" s="399" t="s">
        <v>1240</v>
      </c>
      <c r="J169" s="399" t="s">
        <v>2358</v>
      </c>
      <c r="K169" s="789">
        <v>44531</v>
      </c>
      <c r="L169" s="399">
        <v>130</v>
      </c>
      <c r="M169" s="399">
        <v>130</v>
      </c>
      <c r="N169" s="399">
        <v>0</v>
      </c>
      <c r="O169" s="399">
        <v>0</v>
      </c>
      <c r="P169" s="399">
        <v>0</v>
      </c>
      <c r="Q169" s="399">
        <v>0</v>
      </c>
      <c r="R169" s="399">
        <v>34.950000000000003</v>
      </c>
      <c r="S169" s="399"/>
      <c r="T169" s="399"/>
      <c r="U169" s="399">
        <v>4543.5</v>
      </c>
      <c r="V169" s="399"/>
      <c r="W169" s="399">
        <v>4543.5</v>
      </c>
      <c r="X169" s="399">
        <v>4482.3999999999996</v>
      </c>
      <c r="Y169" s="399">
        <v>0</v>
      </c>
      <c r="Z169" s="399">
        <v>0</v>
      </c>
      <c r="AA169" s="399">
        <v>0</v>
      </c>
      <c r="AB169" s="399">
        <v>0</v>
      </c>
      <c r="AC169" s="399">
        <v>0</v>
      </c>
      <c r="AD169" s="399">
        <v>1647.07133648681</v>
      </c>
      <c r="AE169" s="399">
        <v>2897.0250390371293</v>
      </c>
      <c r="AF169" s="399"/>
      <c r="AG169" s="399"/>
      <c r="AH169" s="399"/>
      <c r="AI169" s="399">
        <v>0</v>
      </c>
      <c r="AJ169" s="399">
        <v>0</v>
      </c>
      <c r="AK169" s="399">
        <v>0</v>
      </c>
      <c r="AL169" s="399">
        <v>0</v>
      </c>
      <c r="AM169" s="399"/>
      <c r="AN169" s="399">
        <v>0</v>
      </c>
      <c r="AO169" s="399">
        <v>0</v>
      </c>
      <c r="AP169" s="399">
        <v>0</v>
      </c>
      <c r="AQ169" s="399">
        <v>0</v>
      </c>
      <c r="AR169" s="399">
        <v>0</v>
      </c>
      <c r="AS169" s="399"/>
      <c r="AT169" s="399"/>
      <c r="AU169" s="399">
        <v>0</v>
      </c>
      <c r="AV169" s="399">
        <v>0</v>
      </c>
      <c r="AW169" s="399">
        <v>0</v>
      </c>
      <c r="AX169" s="399"/>
      <c r="AY169" s="399"/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/>
      <c r="BG169" s="399">
        <v>0</v>
      </c>
      <c r="BH169" s="399">
        <v>0</v>
      </c>
      <c r="BI169" s="399">
        <v>0</v>
      </c>
      <c r="BJ169" s="399">
        <v>0</v>
      </c>
      <c r="BK169" s="399">
        <v>2197.96</v>
      </c>
      <c r="BL169" s="399">
        <v>1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0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4482.3999999999996</v>
      </c>
      <c r="CJ169" s="399">
        <v>-61.130000000001019</v>
      </c>
      <c r="CK169" s="399"/>
      <c r="CL169" s="399"/>
      <c r="CM169" s="399"/>
      <c r="CN169" s="399"/>
      <c r="CO169" s="399">
        <v>-61.100000000000776</v>
      </c>
      <c r="CP169" s="399">
        <v>0</v>
      </c>
      <c r="CQ169" s="399"/>
      <c r="CR169" s="399">
        <v>68.932161643240988</v>
      </c>
      <c r="CS169" s="399">
        <v>0</v>
      </c>
      <c r="CT169" s="399">
        <v>0</v>
      </c>
      <c r="CU169" s="399">
        <v>0</v>
      </c>
      <c r="CV169" s="399">
        <v>0</v>
      </c>
      <c r="CW169" s="399"/>
      <c r="CX169" s="399"/>
      <c r="CY169" s="399"/>
      <c r="CZ169" s="399">
        <v>68.932161643240988</v>
      </c>
      <c r="DA169" s="399">
        <v>0</v>
      </c>
      <c r="DB169" s="399">
        <v>0</v>
      </c>
      <c r="DC169" s="399"/>
      <c r="DD169" s="399"/>
      <c r="DE169" s="399">
        <v>0</v>
      </c>
      <c r="DF169" s="399">
        <v>0</v>
      </c>
      <c r="DG169" s="399">
        <v>0</v>
      </c>
      <c r="DH169" s="399">
        <v>0</v>
      </c>
      <c r="DI169" s="399">
        <v>0</v>
      </c>
      <c r="DJ169" s="399"/>
      <c r="DK169" s="399">
        <v>0</v>
      </c>
      <c r="DL169" s="399">
        <v>0</v>
      </c>
      <c r="DM169" s="399"/>
      <c r="DN169" s="399">
        <v>0</v>
      </c>
      <c r="DO169" s="399">
        <v>0</v>
      </c>
      <c r="DP169" s="399">
        <v>0</v>
      </c>
      <c r="DQ169" s="399">
        <v>0</v>
      </c>
      <c r="DR169" s="399">
        <v>0</v>
      </c>
      <c r="DS169" s="399"/>
      <c r="DT169" s="399"/>
      <c r="DU169" s="399">
        <v>2897.0250390371293</v>
      </c>
      <c r="DV169" s="399"/>
      <c r="DW169" s="399">
        <v>0</v>
      </c>
      <c r="DX169" s="399">
        <v>0</v>
      </c>
      <c r="DY169" s="399">
        <v>-61.100000000000364</v>
      </c>
      <c r="DZ169" s="399"/>
      <c r="EA169" s="399">
        <v>0</v>
      </c>
      <c r="EB169" s="399"/>
      <c r="EC169" s="399">
        <v>-130.47398447453543</v>
      </c>
      <c r="ED169" s="399"/>
      <c r="EE169" s="399">
        <v>0</v>
      </c>
      <c r="EF169" s="399">
        <v>0</v>
      </c>
      <c r="EG169" s="399"/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/>
      <c r="EN169" s="399"/>
      <c r="EO169" s="399">
        <v>0</v>
      </c>
      <c r="EP169" s="399">
        <v>0</v>
      </c>
      <c r="EQ169" s="399"/>
      <c r="ER169" s="399">
        <v>0</v>
      </c>
      <c r="ES169" s="399"/>
      <c r="ET169" s="399">
        <v>0</v>
      </c>
      <c r="EU169" s="399"/>
      <c r="EV169" s="399">
        <v>225</v>
      </c>
      <c r="EW169" s="399"/>
      <c r="EX169" s="399"/>
      <c r="EY169" s="399"/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957</v>
      </c>
      <c r="C170" s="399" t="s">
        <v>2357</v>
      </c>
      <c r="D170" s="399" t="s">
        <v>1826</v>
      </c>
      <c r="E170" s="399" t="s">
        <v>919</v>
      </c>
      <c r="F170" s="399" t="s">
        <v>1240</v>
      </c>
      <c r="G170" s="399" t="s">
        <v>1240</v>
      </c>
      <c r="H170" s="399" t="s">
        <v>1240</v>
      </c>
      <c r="I170" s="399" t="s">
        <v>1240</v>
      </c>
      <c r="J170" s="399" t="s">
        <v>2358</v>
      </c>
      <c r="K170" s="789">
        <v>44531</v>
      </c>
      <c r="L170" s="399">
        <v>0</v>
      </c>
      <c r="M170" s="399">
        <v>0</v>
      </c>
      <c r="N170" s="399">
        <v>792.92499999999995</v>
      </c>
      <c r="O170" s="399">
        <v>792.92499999999995</v>
      </c>
      <c r="P170" s="399">
        <v>792.92499999999995</v>
      </c>
      <c r="Q170" s="399">
        <v>792.92499999999995</v>
      </c>
      <c r="R170" s="399"/>
      <c r="S170" s="399">
        <v>522.37</v>
      </c>
      <c r="T170" s="399">
        <v>144.41999999999999</v>
      </c>
      <c r="U170" s="399"/>
      <c r="V170" s="399">
        <v>528714.46074999997</v>
      </c>
      <c r="W170" s="399">
        <v>528714.46074999997</v>
      </c>
      <c r="X170" s="399">
        <v>516780.93949999998</v>
      </c>
      <c r="Y170" s="399">
        <v>0</v>
      </c>
      <c r="Z170" s="399">
        <v>48686.368446857792</v>
      </c>
      <c r="AA170" s="399">
        <v>0</v>
      </c>
      <c r="AB170" s="399">
        <v>0</v>
      </c>
      <c r="AC170" s="399">
        <v>0</v>
      </c>
      <c r="AD170" s="399">
        <v>80849.529920295419</v>
      </c>
      <c r="AE170" s="399">
        <v>263177.53115120128</v>
      </c>
      <c r="AF170" s="399">
        <v>114515.6745022031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7519.1140261341943</v>
      </c>
      <c r="AM170" s="399"/>
      <c r="AN170" s="399">
        <v>1153.5910516968597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12812.339300582997</v>
      </c>
      <c r="BH170" s="399">
        <v>0</v>
      </c>
      <c r="BI170" s="399">
        <v>255.13</v>
      </c>
      <c r="BJ170" s="399">
        <v>1179.8399999999999</v>
      </c>
      <c r="BK170" s="399">
        <v>190683.67</v>
      </c>
      <c r="BL170" s="399">
        <v>1198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127328.0138027861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516784.19819999998</v>
      </c>
      <c r="CJ170" s="399">
        <v>-11930.292550000013</v>
      </c>
      <c r="CK170" s="399"/>
      <c r="CL170" s="399"/>
      <c r="CM170" s="399"/>
      <c r="CN170" s="399"/>
      <c r="CO170" s="399">
        <v>-16564.203249999988</v>
      </c>
      <c r="CP170" s="399">
        <v>4630.6820000000025</v>
      </c>
      <c r="CQ170" s="399"/>
      <c r="CR170" s="399">
        <v>-76.103954680031165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3383.6621048450324</v>
      </c>
      <c r="DA170" s="399">
        <v>0</v>
      </c>
      <c r="DB170" s="399">
        <v>0</v>
      </c>
      <c r="DC170" s="399">
        <v>4630.5173874537577</v>
      </c>
      <c r="DD170" s="399">
        <v>0</v>
      </c>
      <c r="DE170" s="399">
        <v>0</v>
      </c>
      <c r="DF170" s="399">
        <v>0</v>
      </c>
      <c r="DG170" s="399">
        <v>518.07545266791203</v>
      </c>
      <c r="DH170" s="399">
        <v>0</v>
      </c>
      <c r="DI170" s="399">
        <v>-7479.7410726416929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-989.39930825633746</v>
      </c>
      <c r="DP170" s="399">
        <v>-139.21851874868128</v>
      </c>
      <c r="DQ170" s="399">
        <v>0</v>
      </c>
      <c r="DR170" s="399">
        <v>0</v>
      </c>
      <c r="DS170" s="399"/>
      <c r="DT170" s="399"/>
      <c r="DU170" s="399"/>
      <c r="DV170" s="399">
        <v>263177.53115120128</v>
      </c>
      <c r="DW170" s="399">
        <v>0</v>
      </c>
      <c r="DX170" s="399">
        <v>0</v>
      </c>
      <c r="DY170" s="399">
        <v>-16564.20325000002</v>
      </c>
      <c r="DZ170" s="399">
        <v>4630.6820000000007</v>
      </c>
      <c r="EA170" s="399">
        <v>0</v>
      </c>
      <c r="EB170" s="399">
        <v>0</v>
      </c>
      <c r="EC170" s="399">
        <v>-11852.787135344319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225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2359</v>
      </c>
      <c r="C171" s="399" t="s">
        <v>2357</v>
      </c>
      <c r="D171" s="399" t="s">
        <v>1826</v>
      </c>
      <c r="E171" s="399" t="s">
        <v>919</v>
      </c>
      <c r="F171" s="399" t="s">
        <v>1240</v>
      </c>
      <c r="G171" s="399" t="s">
        <v>1240</v>
      </c>
      <c r="H171" s="399" t="s">
        <v>1240</v>
      </c>
      <c r="I171" s="399" t="s">
        <v>1240</v>
      </c>
      <c r="J171" s="399" t="s">
        <v>2358</v>
      </c>
      <c r="K171" s="789">
        <v>44531</v>
      </c>
      <c r="L171" s="399">
        <v>0</v>
      </c>
      <c r="M171" s="399">
        <v>0</v>
      </c>
      <c r="N171" s="399">
        <v>-10.298</v>
      </c>
      <c r="O171" s="399">
        <v>-10.298</v>
      </c>
      <c r="P171" s="399">
        <v>-10.298</v>
      </c>
      <c r="Q171" s="399">
        <v>-10.298</v>
      </c>
      <c r="R171" s="399"/>
      <c r="S171" s="399">
        <v>522.37</v>
      </c>
      <c r="T171" s="399">
        <v>144.41999999999999</v>
      </c>
      <c r="U171" s="399"/>
      <c r="V171" s="399">
        <v>-6866.6034199999995</v>
      </c>
      <c r="W171" s="399">
        <v>-6866.6034199999995</v>
      </c>
      <c r="X171" s="399">
        <v>-6711.61852</v>
      </c>
      <c r="Y171" s="399">
        <v>0</v>
      </c>
      <c r="Z171" s="399">
        <v>-632.30724503041472</v>
      </c>
      <c r="AA171" s="399">
        <v>0</v>
      </c>
      <c r="AB171" s="399">
        <v>0</v>
      </c>
      <c r="AC171" s="399">
        <v>0</v>
      </c>
      <c r="AD171" s="399">
        <v>-1050.0217033378974</v>
      </c>
      <c r="AE171" s="399">
        <v>-3417.9805351011391</v>
      </c>
      <c r="AF171" s="399">
        <v>-1487.2559397467446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-97.653417714323467</v>
      </c>
      <c r="AM171" s="399"/>
      <c r="AN171" s="399">
        <v>-14.982098748777327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-166.39842370640818</v>
      </c>
      <c r="BH171" s="399">
        <v>0</v>
      </c>
      <c r="BI171" s="399">
        <v>0</v>
      </c>
      <c r="BJ171" s="399">
        <v>0</v>
      </c>
      <c r="BK171" s="399">
        <v>-2484.65</v>
      </c>
      <c r="BL171" s="399">
        <v>0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-1653.6543634531529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-6712.9220000000005</v>
      </c>
      <c r="CJ171" s="399">
        <v>153.65141999999832</v>
      </c>
      <c r="CK171" s="399"/>
      <c r="CL171" s="399"/>
      <c r="CM171" s="399"/>
      <c r="CN171" s="399"/>
      <c r="CO171" s="399">
        <v>215.12521999999987</v>
      </c>
      <c r="CP171" s="399">
        <v>-60.140320000000038</v>
      </c>
      <c r="CQ171" s="399"/>
      <c r="CR171" s="399">
        <v>0.98838922381628436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-43.944827512935035</v>
      </c>
      <c r="DA171" s="399">
        <v>0</v>
      </c>
      <c r="DB171" s="399">
        <v>0</v>
      </c>
      <c r="DC171" s="399">
        <v>-60.13818211810576</v>
      </c>
      <c r="DD171" s="399">
        <v>0</v>
      </c>
      <c r="DE171" s="399">
        <v>0</v>
      </c>
      <c r="DF171" s="399">
        <v>0</v>
      </c>
      <c r="DG171" s="399">
        <v>-6.7284308245725128</v>
      </c>
      <c r="DH171" s="399">
        <v>0</v>
      </c>
      <c r="DI171" s="399">
        <v>97.142067113616349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12.849681970455919</v>
      </c>
      <c r="DP171" s="399">
        <v>1.8080805953575929</v>
      </c>
      <c r="DQ171" s="399">
        <v>0</v>
      </c>
      <c r="DR171" s="399">
        <v>0</v>
      </c>
      <c r="DS171" s="399"/>
      <c r="DT171" s="399"/>
      <c r="DU171" s="399"/>
      <c r="DV171" s="399">
        <v>-3417.9805351011391</v>
      </c>
      <c r="DW171" s="399">
        <v>0</v>
      </c>
      <c r="DX171" s="399">
        <v>0</v>
      </c>
      <c r="DY171" s="399">
        <v>215.1252199999999</v>
      </c>
      <c r="DZ171" s="399">
        <v>-60.140319999999974</v>
      </c>
      <c r="EA171" s="399">
        <v>0</v>
      </c>
      <c r="EB171" s="399">
        <v>0</v>
      </c>
      <c r="EC171" s="399">
        <v>153.93637723589973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225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2360</v>
      </c>
      <c r="C172" s="399" t="s">
        <v>2357</v>
      </c>
      <c r="D172" s="399" t="s">
        <v>1826</v>
      </c>
      <c r="E172" s="399" t="s">
        <v>919</v>
      </c>
      <c r="F172" s="399" t="s">
        <v>1240</v>
      </c>
      <c r="G172" s="399" t="s">
        <v>1240</v>
      </c>
      <c r="H172" s="399" t="s">
        <v>1240</v>
      </c>
      <c r="I172" s="399" t="s">
        <v>1240</v>
      </c>
      <c r="J172" s="399" t="s">
        <v>2358</v>
      </c>
      <c r="K172" s="789">
        <v>44531</v>
      </c>
      <c r="L172" s="399">
        <v>0</v>
      </c>
      <c r="M172" s="399">
        <v>0</v>
      </c>
      <c r="N172" s="399">
        <v>25.643999999999998</v>
      </c>
      <c r="O172" s="399">
        <v>25.643999999999998</v>
      </c>
      <c r="P172" s="399">
        <v>25.643999999999998</v>
      </c>
      <c r="Q172" s="399">
        <v>25.643999999999998</v>
      </c>
      <c r="R172" s="399"/>
      <c r="S172" s="399">
        <v>522.37</v>
      </c>
      <c r="T172" s="399">
        <v>144.41999999999999</v>
      </c>
      <c r="U172" s="399"/>
      <c r="V172" s="399">
        <v>17099.162759999999</v>
      </c>
      <c r="W172" s="399">
        <v>17099.162759999999</v>
      </c>
      <c r="X172" s="399">
        <v>16713.220560000002</v>
      </c>
      <c r="Y172" s="399">
        <v>0</v>
      </c>
      <c r="Z172" s="399">
        <v>1574.5666140570938</v>
      </c>
      <c r="AA172" s="399">
        <v>0</v>
      </c>
      <c r="AB172" s="399">
        <v>0</v>
      </c>
      <c r="AC172" s="399">
        <v>0</v>
      </c>
      <c r="AD172" s="399">
        <v>2614.7559293452164</v>
      </c>
      <c r="AE172" s="399">
        <v>8511.4287086942713</v>
      </c>
      <c r="AF172" s="399">
        <v>3703.5532451801823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243.17578596485831</v>
      </c>
      <c r="AM172" s="399"/>
      <c r="AN172" s="399">
        <v>37.308306497732161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414.36406851108285</v>
      </c>
      <c r="BH172" s="399">
        <v>0</v>
      </c>
      <c r="BI172" s="399">
        <v>0.48</v>
      </c>
      <c r="BJ172" s="399">
        <v>2.2599999999999998</v>
      </c>
      <c r="BK172" s="399">
        <v>12011.82</v>
      </c>
      <c r="BL172" s="399">
        <v>38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4117.917313691265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16710.613600000001</v>
      </c>
      <c r="CJ172" s="399">
        <v>-388.5791599999975</v>
      </c>
      <c r="CK172" s="399"/>
      <c r="CL172" s="399"/>
      <c r="CM172" s="399"/>
      <c r="CN172" s="399"/>
      <c r="CO172" s="399">
        <v>-535.70315999999957</v>
      </c>
      <c r="CP172" s="399">
        <v>149.76096000000007</v>
      </c>
      <c r="CQ172" s="399"/>
      <c r="CR172" s="399">
        <v>-2.461279205241226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109.43106979430058</v>
      </c>
      <c r="DA172" s="399">
        <v>0</v>
      </c>
      <c r="DB172" s="399">
        <v>0</v>
      </c>
      <c r="DC172" s="399">
        <v>149.75563626303165</v>
      </c>
      <c r="DD172" s="399">
        <v>0</v>
      </c>
      <c r="DE172" s="399">
        <v>0</v>
      </c>
      <c r="DF172" s="399">
        <v>0</v>
      </c>
      <c r="DG172" s="399">
        <v>16.75508643089313</v>
      </c>
      <c r="DH172" s="399">
        <v>0</v>
      </c>
      <c r="DI172" s="399">
        <v>-241.90242465154142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-31.998178719204873</v>
      </c>
      <c r="DP172" s="399">
        <v>-4.5024683227180233</v>
      </c>
      <c r="DQ172" s="399">
        <v>0</v>
      </c>
      <c r="DR172" s="399">
        <v>0</v>
      </c>
      <c r="DS172" s="399"/>
      <c r="DT172" s="399"/>
      <c r="DU172" s="399"/>
      <c r="DV172" s="399">
        <v>8511.4287086942713</v>
      </c>
      <c r="DW172" s="399">
        <v>0</v>
      </c>
      <c r="DX172" s="399">
        <v>0</v>
      </c>
      <c r="DY172" s="399">
        <v>-535.70315999999912</v>
      </c>
      <c r="DZ172" s="399">
        <v>149.76096000000007</v>
      </c>
      <c r="EA172" s="399">
        <v>0</v>
      </c>
      <c r="EB172" s="399">
        <v>0</v>
      </c>
      <c r="EC172" s="399">
        <v>-383.33117671755736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225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957</v>
      </c>
      <c r="C173" s="399" t="s">
        <v>2366</v>
      </c>
      <c r="D173" s="399" t="s">
        <v>534</v>
      </c>
      <c r="E173" s="399" t="s">
        <v>919</v>
      </c>
      <c r="F173" s="399" t="s">
        <v>1240</v>
      </c>
      <c r="G173" s="399" t="s">
        <v>1240</v>
      </c>
      <c r="H173" s="399" t="s">
        <v>1240</v>
      </c>
      <c r="I173" s="399" t="s">
        <v>894</v>
      </c>
      <c r="J173" s="399" t="s">
        <v>2358</v>
      </c>
      <c r="K173" s="789">
        <v>44531</v>
      </c>
      <c r="L173" s="399">
        <v>0</v>
      </c>
      <c r="M173" s="399">
        <v>0</v>
      </c>
      <c r="N173" s="399">
        <v>7.5380000000000003</v>
      </c>
      <c r="O173" s="399">
        <v>7.5380000000000003</v>
      </c>
      <c r="P173" s="399">
        <v>7.5380000000000003</v>
      </c>
      <c r="Q173" s="399">
        <v>7.5380000000000003</v>
      </c>
      <c r="R173" s="399"/>
      <c r="S173" s="399">
        <v>2740.31</v>
      </c>
      <c r="T173" s="399">
        <v>144.41999999999999</v>
      </c>
      <c r="U173" s="399"/>
      <c r="V173" s="399">
        <v>21745.09474</v>
      </c>
      <c r="W173" s="399">
        <v>21745.09474</v>
      </c>
      <c r="X173" s="399">
        <v>21305.553959999997</v>
      </c>
      <c r="Y173" s="399">
        <v>0</v>
      </c>
      <c r="Z173" s="399">
        <v>402.67128096175588</v>
      </c>
      <c r="AA173" s="399">
        <v>0</v>
      </c>
      <c r="AB173" s="399">
        <v>0</v>
      </c>
      <c r="AC173" s="399">
        <v>0</v>
      </c>
      <c r="AD173" s="399">
        <v>5673.5722862585699</v>
      </c>
      <c r="AE173" s="399">
        <v>14457.941032474759</v>
      </c>
      <c r="AF173" s="399">
        <v>1088.6517065266034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71.481012112115977</v>
      </c>
      <c r="AM173" s="399"/>
      <c r="AN173" s="399">
        <v>3.7515510636071707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47.026584856019177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1135.6782913826225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21311.2068</v>
      </c>
      <c r="CJ173" s="399">
        <v>-433.91793999999572</v>
      </c>
      <c r="CK173" s="399"/>
      <c r="CL173" s="399"/>
      <c r="CM173" s="399"/>
      <c r="CN173" s="399"/>
      <c r="CO173" s="399">
        <v>-483.56270000000069</v>
      </c>
      <c r="CP173" s="399">
        <v>44.02192000000003</v>
      </c>
      <c r="CQ173" s="399"/>
      <c r="CR173" s="399">
        <v>211.64719215779132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237.44666868236891</v>
      </c>
      <c r="DA173" s="399">
        <v>0</v>
      </c>
      <c r="DB173" s="399">
        <v>0</v>
      </c>
      <c r="DC173" s="399">
        <v>44.020355098687105</v>
      </c>
      <c r="DD173" s="399">
        <v>0</v>
      </c>
      <c r="DE173" s="399">
        <v>0</v>
      </c>
      <c r="DF173" s="399">
        <v>0</v>
      </c>
      <c r="DG173" s="399">
        <v>1.9015512050635834</v>
      </c>
      <c r="DH173" s="399">
        <v>0</v>
      </c>
      <c r="DI173" s="399">
        <v>-61.862837896205065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-9.4057975037188584</v>
      </c>
      <c r="DP173" s="399">
        <v>-0.45274742840384707</v>
      </c>
      <c r="DQ173" s="399">
        <v>0</v>
      </c>
      <c r="DR173" s="399">
        <v>0</v>
      </c>
      <c r="DS173" s="399"/>
      <c r="DT173" s="399"/>
      <c r="DU173" s="399"/>
      <c r="DV173" s="399">
        <v>14457.941032474759</v>
      </c>
      <c r="DW173" s="399">
        <v>0</v>
      </c>
      <c r="DX173" s="399">
        <v>0</v>
      </c>
      <c r="DY173" s="399">
        <v>-483.56270000000222</v>
      </c>
      <c r="DZ173" s="399">
        <v>44.021919999999909</v>
      </c>
      <c r="EA173" s="399">
        <v>0</v>
      </c>
      <c r="EB173" s="399">
        <v>0</v>
      </c>
      <c r="EC173" s="399">
        <v>-651.14562297052726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225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957</v>
      </c>
      <c r="C174" s="399" t="s">
        <v>2366</v>
      </c>
      <c r="D174" s="399" t="s">
        <v>534</v>
      </c>
      <c r="E174" s="399" t="s">
        <v>919</v>
      </c>
      <c r="F174" s="399" t="s">
        <v>1240</v>
      </c>
      <c r="G174" s="399" t="s">
        <v>1240</v>
      </c>
      <c r="H174" s="399" t="s">
        <v>1240</v>
      </c>
      <c r="I174" s="399" t="s">
        <v>2328</v>
      </c>
      <c r="J174" s="399" t="s">
        <v>2358</v>
      </c>
      <c r="K174" s="789">
        <v>44531</v>
      </c>
      <c r="L174" s="399">
        <v>0</v>
      </c>
      <c r="M174" s="399">
        <v>0</v>
      </c>
      <c r="N174" s="399">
        <v>416.24599999999998</v>
      </c>
      <c r="O174" s="399">
        <v>416.24599999999998</v>
      </c>
      <c r="P174" s="399">
        <v>416.24599999999998</v>
      </c>
      <c r="Q174" s="399">
        <v>416.24599999999998</v>
      </c>
      <c r="R174" s="399"/>
      <c r="S174" s="399">
        <v>69.64</v>
      </c>
      <c r="T174" s="399">
        <v>144.41999999999999</v>
      </c>
      <c r="U174" s="399"/>
      <c r="V174" s="399">
        <v>89101.618759999998</v>
      </c>
      <c r="W174" s="399">
        <v>89101.618759999998</v>
      </c>
      <c r="X174" s="399">
        <v>87678.05743999999</v>
      </c>
      <c r="Y174" s="399">
        <v>0</v>
      </c>
      <c r="Z174" s="399">
        <v>22235.382066225397</v>
      </c>
      <c r="AA174" s="399">
        <v>0</v>
      </c>
      <c r="AB174" s="399">
        <v>0</v>
      </c>
      <c r="AC174" s="399">
        <v>0</v>
      </c>
      <c r="AD174" s="399">
        <v>0</v>
      </c>
      <c r="AE174" s="399">
        <v>0</v>
      </c>
      <c r="AF174" s="399">
        <v>60115.006398895268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3947.1591095277026</v>
      </c>
      <c r="AM174" s="399"/>
      <c r="AN174" s="399">
        <v>207.15947519530781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2596.7932926477256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62711.79969154299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87678.9</v>
      </c>
      <c r="CJ174" s="399">
        <v>-1422.7487599999877</v>
      </c>
      <c r="CK174" s="399"/>
      <c r="CL174" s="399"/>
      <c r="CM174" s="399"/>
      <c r="CN174" s="399"/>
      <c r="CO174" s="399">
        <v>-3854.4379599999988</v>
      </c>
      <c r="CP174" s="399">
        <v>2430.8766400000013</v>
      </c>
      <c r="CQ174" s="399"/>
      <c r="CR174" s="399">
        <v>-1424.639016376881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0</v>
      </c>
      <c r="DA174" s="399">
        <v>0</v>
      </c>
      <c r="DB174" s="399">
        <v>0</v>
      </c>
      <c r="DC174" s="399">
        <v>2430.7902266394449</v>
      </c>
      <c r="DD174" s="399">
        <v>0</v>
      </c>
      <c r="DE174" s="399">
        <v>0</v>
      </c>
      <c r="DF174" s="399">
        <v>0</v>
      </c>
      <c r="DG174" s="399">
        <v>105.00306220521315</v>
      </c>
      <c r="DH174" s="399">
        <v>0</v>
      </c>
      <c r="DI174" s="399">
        <v>-3416.0465405868636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-519.385193384579</v>
      </c>
      <c r="DP174" s="399">
        <v>-25.000571250117758</v>
      </c>
      <c r="DQ174" s="399">
        <v>0</v>
      </c>
      <c r="DR174" s="399">
        <v>0</v>
      </c>
      <c r="DS174" s="399"/>
      <c r="DT174" s="399"/>
      <c r="DU174" s="399"/>
      <c r="DV174" s="399">
        <v>0</v>
      </c>
      <c r="DW174" s="399">
        <v>0</v>
      </c>
      <c r="DX174" s="399">
        <v>0</v>
      </c>
      <c r="DY174" s="399">
        <v>-3854.4379599999993</v>
      </c>
      <c r="DZ174" s="399">
        <v>2430.8766399999949</v>
      </c>
      <c r="EA174" s="399">
        <v>0</v>
      </c>
      <c r="EB174" s="399">
        <v>0</v>
      </c>
      <c r="EC174" s="399">
        <v>0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225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957</v>
      </c>
      <c r="C175" s="399" t="s">
        <v>2366</v>
      </c>
      <c r="D175" s="399" t="s">
        <v>534</v>
      </c>
      <c r="E175" s="399" t="s">
        <v>919</v>
      </c>
      <c r="F175" s="399" t="s">
        <v>1240</v>
      </c>
      <c r="G175" s="399" t="s">
        <v>1240</v>
      </c>
      <c r="H175" s="399" t="s">
        <v>1240</v>
      </c>
      <c r="I175" s="399" t="s">
        <v>1240</v>
      </c>
      <c r="J175" s="399" t="s">
        <v>2358</v>
      </c>
      <c r="K175" s="789">
        <v>44531</v>
      </c>
      <c r="L175" s="399">
        <v>1878</v>
      </c>
      <c r="M175" s="399">
        <v>1878</v>
      </c>
      <c r="N175" s="399">
        <v>0</v>
      </c>
      <c r="O175" s="399">
        <v>0</v>
      </c>
      <c r="P175" s="399">
        <v>0</v>
      </c>
      <c r="Q175" s="399">
        <v>0</v>
      </c>
      <c r="R175" s="399">
        <v>34.950000000000003</v>
      </c>
      <c r="S175" s="399"/>
      <c r="T175" s="399"/>
      <c r="U175" s="399">
        <v>65636.100000000006</v>
      </c>
      <c r="V175" s="399"/>
      <c r="W175" s="399">
        <v>65636.100000000006</v>
      </c>
      <c r="X175" s="399">
        <v>64753.439999999995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23793.845922478686</v>
      </c>
      <c r="AE175" s="399">
        <v>41850.869410090221</v>
      </c>
      <c r="AF175" s="399"/>
      <c r="AG175" s="399"/>
      <c r="AH175" s="399"/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0</v>
      </c>
      <c r="AO175" s="399">
        <v>0</v>
      </c>
      <c r="AP175" s="399">
        <v>0</v>
      </c>
      <c r="AQ175" s="399">
        <v>0</v>
      </c>
      <c r="AR175" s="399">
        <v>0</v>
      </c>
      <c r="AS175" s="399"/>
      <c r="AT175" s="399"/>
      <c r="AU175" s="399">
        <v>0</v>
      </c>
      <c r="AV175" s="399">
        <v>0</v>
      </c>
      <c r="AW175" s="399">
        <v>0</v>
      </c>
      <c r="AX175" s="399"/>
      <c r="AY175" s="399"/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/>
      <c r="BG175" s="399">
        <v>0</v>
      </c>
      <c r="BH175" s="399">
        <v>0</v>
      </c>
      <c r="BI175" s="399">
        <v>0</v>
      </c>
      <c r="BJ175" s="399">
        <v>0</v>
      </c>
      <c r="BK175" s="399">
        <v>72276.05</v>
      </c>
      <c r="BL175" s="399">
        <v>15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0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64753.439999999995</v>
      </c>
      <c r="CJ175" s="399">
        <v>-882.68999999999505</v>
      </c>
      <c r="CK175" s="399"/>
      <c r="CL175" s="399"/>
      <c r="CM175" s="399"/>
      <c r="CN175" s="399"/>
      <c r="CO175" s="399">
        <v>-882.66000000001122</v>
      </c>
      <c r="CP175" s="399">
        <v>0</v>
      </c>
      <c r="CQ175" s="399"/>
      <c r="CR175" s="399">
        <v>995.80461204620224</v>
      </c>
      <c r="CS175" s="399">
        <v>0</v>
      </c>
      <c r="CT175" s="399">
        <v>0</v>
      </c>
      <c r="CU175" s="399">
        <v>0</v>
      </c>
      <c r="CV175" s="399">
        <v>0</v>
      </c>
      <c r="CW175" s="399"/>
      <c r="CX175" s="399"/>
      <c r="CY175" s="399"/>
      <c r="CZ175" s="399">
        <v>995.80461204620224</v>
      </c>
      <c r="DA175" s="399">
        <v>0</v>
      </c>
      <c r="DB175" s="399">
        <v>0</v>
      </c>
      <c r="DC175" s="399"/>
      <c r="DD175" s="399"/>
      <c r="DE175" s="399">
        <v>0</v>
      </c>
      <c r="DF175" s="399">
        <v>0</v>
      </c>
      <c r="DG175" s="399">
        <v>0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/>
      <c r="DN175" s="399">
        <v>0</v>
      </c>
      <c r="DO175" s="399">
        <v>0</v>
      </c>
      <c r="DP175" s="399">
        <v>0</v>
      </c>
      <c r="DQ175" s="399">
        <v>0</v>
      </c>
      <c r="DR175" s="399">
        <v>0</v>
      </c>
      <c r="DS175" s="399"/>
      <c r="DT175" s="399"/>
      <c r="DU175" s="399">
        <v>41850.869410090221</v>
      </c>
      <c r="DV175" s="399"/>
      <c r="DW175" s="399">
        <v>0</v>
      </c>
      <c r="DX175" s="399">
        <v>0</v>
      </c>
      <c r="DY175" s="399">
        <v>-882.66000000001077</v>
      </c>
      <c r="DZ175" s="399"/>
      <c r="EA175" s="399">
        <v>0</v>
      </c>
      <c r="EB175" s="399"/>
      <c r="EC175" s="399">
        <v>-1884.8472526398255</v>
      </c>
      <c r="ED175" s="399"/>
      <c r="EE175" s="399">
        <v>0</v>
      </c>
      <c r="EF175" s="399">
        <v>0</v>
      </c>
      <c r="EG175" s="399"/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/>
      <c r="EN175" s="399"/>
      <c r="EO175" s="399">
        <v>0</v>
      </c>
      <c r="EP175" s="399">
        <v>0</v>
      </c>
      <c r="EQ175" s="399"/>
      <c r="ER175" s="399">
        <v>0</v>
      </c>
      <c r="ES175" s="399"/>
      <c r="ET175" s="399">
        <v>0</v>
      </c>
      <c r="EU175" s="399"/>
      <c r="EV175" s="399">
        <v>225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957</v>
      </c>
      <c r="C176" s="399" t="s">
        <v>2367</v>
      </c>
      <c r="D176" s="399" t="s">
        <v>1826</v>
      </c>
      <c r="E176" s="399" t="s">
        <v>919</v>
      </c>
      <c r="F176" s="399" t="s">
        <v>1240</v>
      </c>
      <c r="G176" s="399" t="s">
        <v>1240</v>
      </c>
      <c r="H176" s="399" t="s">
        <v>1240</v>
      </c>
      <c r="I176" s="399" t="s">
        <v>894</v>
      </c>
      <c r="J176" s="399" t="s">
        <v>2358</v>
      </c>
      <c r="K176" s="789">
        <v>44531</v>
      </c>
      <c r="L176" s="399">
        <v>0</v>
      </c>
      <c r="M176" s="399">
        <v>0</v>
      </c>
      <c r="N176" s="399">
        <v>0.108</v>
      </c>
      <c r="O176" s="399">
        <v>0.108</v>
      </c>
      <c r="P176" s="399">
        <v>0.108</v>
      </c>
      <c r="Q176" s="399">
        <v>0.108</v>
      </c>
      <c r="R176" s="399"/>
      <c r="S176" s="399">
        <v>1585.55</v>
      </c>
      <c r="T176" s="399">
        <v>144.41999999999999</v>
      </c>
      <c r="U176" s="399"/>
      <c r="V176" s="399">
        <v>186.83676</v>
      </c>
      <c r="W176" s="399">
        <v>186.83676</v>
      </c>
      <c r="X176" s="399">
        <v>182.38715999999999</v>
      </c>
      <c r="Y176" s="399">
        <v>0</v>
      </c>
      <c r="Z176" s="399">
        <v>6.6313053469882295</v>
      </c>
      <c r="AA176" s="399">
        <v>0</v>
      </c>
      <c r="AB176" s="399">
        <v>0</v>
      </c>
      <c r="AC176" s="399">
        <v>0</v>
      </c>
      <c r="AD176" s="399">
        <v>38.013431191816963</v>
      </c>
      <c r="AE176" s="399">
        <v>123.66854444367361</v>
      </c>
      <c r="AF176" s="399">
        <v>15.597556952092486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1.0241376105211628</v>
      </c>
      <c r="AM176" s="399"/>
      <c r="AN176" s="399">
        <v>0.15712436054262491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1.7450990250817715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17.342655977174257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185.7647</v>
      </c>
      <c r="CJ176" s="399">
        <v>-1.1020599999999661</v>
      </c>
      <c r="CK176" s="399"/>
      <c r="CL176" s="399"/>
      <c r="CM176" s="399"/>
      <c r="CN176" s="399"/>
      <c r="CO176" s="399">
        <v>-5.080319999999996</v>
      </c>
      <c r="CP176" s="399">
        <v>0.63072000000000039</v>
      </c>
      <c r="CQ176" s="399"/>
      <c r="CR176" s="399">
        <v>1.1196775643951185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1.5909134750155545</v>
      </c>
      <c r="DA176" s="399">
        <v>0</v>
      </c>
      <c r="DB176" s="399">
        <v>0</v>
      </c>
      <c r="DC176" s="399">
        <v>0.63069757902072254</v>
      </c>
      <c r="DD176" s="399">
        <v>0</v>
      </c>
      <c r="DE176" s="399">
        <v>0</v>
      </c>
      <c r="DF176" s="399">
        <v>0</v>
      </c>
      <c r="DG176" s="399">
        <v>7.0564238595244966E-2</v>
      </c>
      <c r="DH176" s="399">
        <v>0</v>
      </c>
      <c r="DI176" s="399">
        <v>-1.0187748347514622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-0.13476069652449407</v>
      </c>
      <c r="DP176" s="399">
        <v>-1.896219696044088E-2</v>
      </c>
      <c r="DQ176" s="399">
        <v>0</v>
      </c>
      <c r="DR176" s="399">
        <v>0</v>
      </c>
      <c r="DS176" s="399"/>
      <c r="DT176" s="399"/>
      <c r="DU176" s="399"/>
      <c r="DV176" s="399">
        <v>123.66854444367361</v>
      </c>
      <c r="DW176" s="399">
        <v>0</v>
      </c>
      <c r="DX176" s="399">
        <v>0</v>
      </c>
      <c r="DY176" s="399">
        <v>-5.0803200000000004</v>
      </c>
      <c r="DZ176" s="399">
        <v>0.63072000000000017</v>
      </c>
      <c r="EA176" s="399">
        <v>0</v>
      </c>
      <c r="EB176" s="399">
        <v>0</v>
      </c>
      <c r="EC176" s="399">
        <v>-5.5696887428688058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225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957</v>
      </c>
      <c r="C177" s="399" t="s">
        <v>2367</v>
      </c>
      <c r="D177" s="399" t="s">
        <v>1826</v>
      </c>
      <c r="E177" s="399" t="s">
        <v>919</v>
      </c>
      <c r="F177" s="399" t="s">
        <v>1240</v>
      </c>
      <c r="G177" s="399" t="s">
        <v>1240</v>
      </c>
      <c r="H177" s="399" t="s">
        <v>1240</v>
      </c>
      <c r="I177" s="399" t="s">
        <v>2328</v>
      </c>
      <c r="J177" s="399" t="s">
        <v>2358</v>
      </c>
      <c r="K177" s="789">
        <v>44531</v>
      </c>
      <c r="L177" s="399">
        <v>0</v>
      </c>
      <c r="M177" s="399">
        <v>0</v>
      </c>
      <c r="N177" s="399">
        <v>9.1059999999999999</v>
      </c>
      <c r="O177" s="399">
        <v>9.1059999999999999</v>
      </c>
      <c r="P177" s="399">
        <v>9.1059999999999999</v>
      </c>
      <c r="Q177" s="399">
        <v>9.1059999999999999</v>
      </c>
      <c r="R177" s="399"/>
      <c r="S177" s="399">
        <v>387.88</v>
      </c>
      <c r="T177" s="399">
        <v>144.41999999999999</v>
      </c>
      <c r="U177" s="399"/>
      <c r="V177" s="399">
        <v>4847.1237999999994</v>
      </c>
      <c r="W177" s="399">
        <v>4847.1237999999994</v>
      </c>
      <c r="X177" s="399">
        <v>4740.3104199999998</v>
      </c>
      <c r="Y177" s="399">
        <v>0</v>
      </c>
      <c r="Z177" s="399">
        <v>559.11728231180382</v>
      </c>
      <c r="AA177" s="399">
        <v>0</v>
      </c>
      <c r="AB177" s="399">
        <v>0</v>
      </c>
      <c r="AC177" s="399">
        <v>0</v>
      </c>
      <c r="AD177" s="399">
        <v>640.74364115436606</v>
      </c>
      <c r="AE177" s="399">
        <v>2085.4184527375955</v>
      </c>
      <c r="AF177" s="399">
        <v>1315.1051259792055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86.349972975978773</v>
      </c>
      <c r="AM177" s="399"/>
      <c r="AN177" s="399">
        <v>13.247911362047615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147.13770113328346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1462.2428271124888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4742.3926999999994</v>
      </c>
      <c r="CJ177" s="399">
        <v>-104.76110000000062</v>
      </c>
      <c r="CK177" s="399"/>
      <c r="CL177" s="399"/>
      <c r="CM177" s="399"/>
      <c r="CN177" s="399"/>
      <c r="CO177" s="399">
        <v>-159.99241999999992</v>
      </c>
      <c r="CP177" s="399">
        <v>53.179040000000029</v>
      </c>
      <c r="CQ177" s="399"/>
      <c r="CR177" s="399">
        <v>-12.916181115100699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26.815987422951821</v>
      </c>
      <c r="DA177" s="399">
        <v>0</v>
      </c>
      <c r="DB177" s="399">
        <v>0</v>
      </c>
      <c r="DC177" s="399">
        <v>53.177149579284105</v>
      </c>
      <c r="DD177" s="399">
        <v>0</v>
      </c>
      <c r="DE177" s="399">
        <v>0</v>
      </c>
      <c r="DF177" s="399">
        <v>0</v>
      </c>
      <c r="DG177" s="399">
        <v>5.9496107097064623</v>
      </c>
      <c r="DH177" s="399">
        <v>0</v>
      </c>
      <c r="DI177" s="399">
        <v>-85.897811530063052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-11.362323171778172</v>
      </c>
      <c r="DP177" s="399">
        <v>-1.5987941252016178</v>
      </c>
      <c r="DQ177" s="399">
        <v>0</v>
      </c>
      <c r="DR177" s="399">
        <v>0</v>
      </c>
      <c r="DS177" s="399"/>
      <c r="DT177" s="399"/>
      <c r="DU177" s="399"/>
      <c r="DV177" s="399">
        <v>2085.4184527375955</v>
      </c>
      <c r="DW177" s="399">
        <v>0</v>
      </c>
      <c r="DX177" s="399">
        <v>0</v>
      </c>
      <c r="DY177" s="399">
        <v>-159.99242000000004</v>
      </c>
      <c r="DZ177" s="399">
        <v>53.179040000000214</v>
      </c>
      <c r="EA177" s="399">
        <v>0</v>
      </c>
      <c r="EB177" s="399">
        <v>0</v>
      </c>
      <c r="EC177" s="399">
        <v>-93.921471564447984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225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957</v>
      </c>
      <c r="C178" s="399" t="s">
        <v>2367</v>
      </c>
      <c r="D178" s="399" t="s">
        <v>1826</v>
      </c>
      <c r="E178" s="399" t="s">
        <v>919</v>
      </c>
      <c r="F178" s="399" t="s">
        <v>1240</v>
      </c>
      <c r="G178" s="399" t="s">
        <v>1240</v>
      </c>
      <c r="H178" s="399" t="s">
        <v>1240</v>
      </c>
      <c r="I178" s="399" t="s">
        <v>1240</v>
      </c>
      <c r="J178" s="399" t="s">
        <v>2358</v>
      </c>
      <c r="K178" s="789">
        <v>44531</v>
      </c>
      <c r="L178" s="399">
        <v>0</v>
      </c>
      <c r="M178" s="399">
        <v>0</v>
      </c>
      <c r="N178" s="399">
        <v>0</v>
      </c>
      <c r="O178" s="399">
        <v>0</v>
      </c>
      <c r="P178" s="399">
        <v>0</v>
      </c>
      <c r="Q178" s="399">
        <v>0</v>
      </c>
      <c r="R178" s="399"/>
      <c r="S178" s="399"/>
      <c r="T178" s="399"/>
      <c r="U178" s="399"/>
      <c r="V178" s="399"/>
      <c r="W178" s="399"/>
      <c r="X178" s="399"/>
      <c r="Y178" s="399"/>
      <c r="Z178" s="399"/>
      <c r="AA178" s="399">
        <v>0</v>
      </c>
      <c r="AB178" s="399"/>
      <c r="AC178" s="399"/>
      <c r="AD178" s="399"/>
      <c r="AE178" s="399"/>
      <c r="AF178" s="399"/>
      <c r="AG178" s="399"/>
      <c r="AH178" s="399"/>
      <c r="AI178" s="399"/>
      <c r="AJ178" s="399"/>
      <c r="AK178" s="399"/>
      <c r="AL178" s="399"/>
      <c r="AM178" s="399"/>
      <c r="AN178" s="399"/>
      <c r="AO178" s="399"/>
      <c r="AP178" s="399"/>
      <c r="AQ178" s="399"/>
      <c r="AR178" s="399"/>
      <c r="AS178" s="399"/>
      <c r="AT178" s="399"/>
      <c r="AU178" s="399"/>
      <c r="AV178" s="399"/>
      <c r="AW178" s="399"/>
      <c r="AX178" s="399"/>
      <c r="AY178" s="399"/>
      <c r="AZ178" s="399">
        <v>0</v>
      </c>
      <c r="BA178" s="399"/>
      <c r="BB178" s="399"/>
      <c r="BC178" s="399"/>
      <c r="BD178" s="399"/>
      <c r="BE178" s="399"/>
      <c r="BF178" s="399"/>
      <c r="BG178" s="399"/>
      <c r="BH178" s="399"/>
      <c r="BI178" s="399">
        <v>0</v>
      </c>
      <c r="BJ178" s="399">
        <v>0</v>
      </c>
      <c r="BK178" s="399">
        <v>1993.02</v>
      </c>
      <c r="BL178" s="399">
        <v>4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/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/>
      <c r="CJ178" s="399">
        <v>-0.03</v>
      </c>
      <c r="CK178" s="399"/>
      <c r="CL178" s="399"/>
      <c r="CM178" s="399"/>
      <c r="CN178" s="399"/>
      <c r="CO178" s="399">
        <v>0</v>
      </c>
      <c r="CP178" s="399">
        <v>0</v>
      </c>
      <c r="CQ178" s="399"/>
      <c r="CR178" s="399"/>
      <c r="CS178" s="399"/>
      <c r="CT178" s="399"/>
      <c r="CU178" s="399"/>
      <c r="CV178" s="399"/>
      <c r="CW178" s="399"/>
      <c r="CX178" s="399"/>
      <c r="CY178" s="399"/>
      <c r="CZ178" s="399"/>
      <c r="DA178" s="399"/>
      <c r="DB178" s="399"/>
      <c r="DC178" s="399"/>
      <c r="DD178" s="399"/>
      <c r="DE178" s="399"/>
      <c r="DF178" s="399"/>
      <c r="DG178" s="399"/>
      <c r="DH178" s="399"/>
      <c r="DI178" s="399"/>
      <c r="DJ178" s="399"/>
      <c r="DK178" s="399">
        <v>0</v>
      </c>
      <c r="DL178" s="399"/>
      <c r="DM178" s="399"/>
      <c r="DN178" s="399"/>
      <c r="DO178" s="399"/>
      <c r="DP178" s="399"/>
      <c r="DQ178" s="399"/>
      <c r="DR178" s="399"/>
      <c r="DS178" s="399"/>
      <c r="DT178" s="399"/>
      <c r="DU178" s="399"/>
      <c r="DV178" s="399"/>
      <c r="DW178" s="399"/>
      <c r="DX178" s="399"/>
      <c r="DY178" s="399"/>
      <c r="DZ178" s="399"/>
      <c r="EA178" s="399"/>
      <c r="EB178" s="399"/>
      <c r="EC178" s="399"/>
      <c r="ED178" s="399"/>
      <c r="EE178" s="399"/>
      <c r="EF178" s="399"/>
      <c r="EG178" s="399"/>
      <c r="EH178" s="399"/>
      <c r="EI178" s="399"/>
      <c r="EJ178" s="399"/>
      <c r="EK178" s="399"/>
      <c r="EL178" s="399"/>
      <c r="EM178" s="399"/>
      <c r="EN178" s="399"/>
      <c r="EO178" s="399"/>
      <c r="EP178" s="399"/>
      <c r="EQ178" s="399"/>
      <c r="ER178" s="399"/>
      <c r="ES178" s="399"/>
      <c r="ET178" s="399"/>
      <c r="EU178" s="399"/>
      <c r="EV178" s="399">
        <v>225</v>
      </c>
      <c r="EW178" s="399"/>
      <c r="EX178" s="399"/>
      <c r="EY178" s="399"/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957</v>
      </c>
      <c r="C179" s="399" t="s">
        <v>2367</v>
      </c>
      <c r="D179" s="399" t="s">
        <v>1826</v>
      </c>
      <c r="E179" s="399" t="s">
        <v>919</v>
      </c>
      <c r="F179" s="399" t="s">
        <v>1240</v>
      </c>
      <c r="G179" s="399" t="s">
        <v>1240</v>
      </c>
      <c r="H179" s="399" t="s">
        <v>1240</v>
      </c>
      <c r="I179" s="399" t="s">
        <v>2368</v>
      </c>
      <c r="J179" s="399" t="s">
        <v>2358</v>
      </c>
      <c r="K179" s="789">
        <v>44531</v>
      </c>
      <c r="L179" s="399">
        <v>0</v>
      </c>
      <c r="M179" s="399">
        <v>0</v>
      </c>
      <c r="N179" s="399">
        <v>0.26700000000000002</v>
      </c>
      <c r="O179" s="399">
        <v>0.26700000000000002</v>
      </c>
      <c r="P179" s="399">
        <v>0.26700000000000002</v>
      </c>
      <c r="Q179" s="399">
        <v>0.26700000000000002</v>
      </c>
      <c r="R179" s="399"/>
      <c r="S179" s="399">
        <v>986.74</v>
      </c>
      <c r="T179" s="399">
        <v>144.41999999999999</v>
      </c>
      <c r="U179" s="399"/>
      <c r="V179" s="399">
        <v>302.01972000000001</v>
      </c>
      <c r="W179" s="399">
        <v>302.01972000000001</v>
      </c>
      <c r="X179" s="399">
        <v>294.95222999999999</v>
      </c>
      <c r="Y179" s="399">
        <v>0</v>
      </c>
      <c r="Z179" s="399">
        <v>16.394060441165347</v>
      </c>
      <c r="AA179" s="399">
        <v>0</v>
      </c>
      <c r="AB179" s="399">
        <v>0</v>
      </c>
      <c r="AC179" s="399">
        <v>0</v>
      </c>
      <c r="AD179" s="399">
        <v>56.389281700956424</v>
      </c>
      <c r="AE179" s="399">
        <v>183.44170663769125</v>
      </c>
      <c r="AF179" s="399">
        <v>38.56062690933976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2.5318957593439859</v>
      </c>
      <c r="AM179" s="399"/>
      <c r="AN179" s="399">
        <v>0.38844633578593385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4.3142725897854914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42.874899499125249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298.2663</v>
      </c>
      <c r="CJ179" s="399">
        <v>-3.7834199999999782</v>
      </c>
      <c r="CK179" s="399"/>
      <c r="CL179" s="399"/>
      <c r="CM179" s="399"/>
      <c r="CN179" s="399"/>
      <c r="CO179" s="399">
        <v>-8.6267700000000165</v>
      </c>
      <c r="CP179" s="399">
        <v>1.5592800000000011</v>
      </c>
      <c r="CQ179" s="399"/>
      <c r="CR179" s="399">
        <v>1.1949677658084283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2.3599676559533762</v>
      </c>
      <c r="DA179" s="399">
        <v>0</v>
      </c>
      <c r="DB179" s="399">
        <v>0</v>
      </c>
      <c r="DC179" s="399">
        <v>1.5592245703567897</v>
      </c>
      <c r="DD179" s="399">
        <v>0</v>
      </c>
      <c r="DE179" s="399">
        <v>0</v>
      </c>
      <c r="DF179" s="399">
        <v>0</v>
      </c>
      <c r="DG179" s="399">
        <v>0.17445047874935504</v>
      </c>
      <c r="DH179" s="399">
        <v>0</v>
      </c>
      <c r="DI179" s="399">
        <v>-2.5186377859133398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-0.33315838862999936</v>
      </c>
      <c r="DP179" s="399">
        <v>-4.6878764707756648E-2</v>
      </c>
      <c r="DQ179" s="399">
        <v>0</v>
      </c>
      <c r="DR179" s="399">
        <v>0</v>
      </c>
      <c r="DS179" s="399"/>
      <c r="DT179" s="399"/>
      <c r="DU179" s="399"/>
      <c r="DV179" s="399">
        <v>183.44170663769125</v>
      </c>
      <c r="DW179" s="399">
        <v>0</v>
      </c>
      <c r="DX179" s="399">
        <v>0</v>
      </c>
      <c r="DY179" s="399">
        <v>-8.6267700000000218</v>
      </c>
      <c r="DZ179" s="399">
        <v>1.5592800000000011</v>
      </c>
      <c r="EA179" s="399">
        <v>0</v>
      </c>
      <c r="EB179" s="399">
        <v>0</v>
      </c>
      <c r="EC179" s="399">
        <v>-8.2617064268748948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225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957</v>
      </c>
      <c r="C180" s="399" t="s">
        <v>2357</v>
      </c>
      <c r="D180" s="399" t="s">
        <v>2369</v>
      </c>
      <c r="E180" s="399" t="s">
        <v>895</v>
      </c>
      <c r="F180" s="399" t="s">
        <v>1240</v>
      </c>
      <c r="G180" s="399" t="s">
        <v>1240</v>
      </c>
      <c r="H180" s="399" t="s">
        <v>1240</v>
      </c>
      <c r="I180" s="399" t="s">
        <v>1240</v>
      </c>
      <c r="J180" s="399" t="s">
        <v>2358</v>
      </c>
      <c r="K180" s="789">
        <v>44531</v>
      </c>
      <c r="L180" s="399">
        <v>0</v>
      </c>
      <c r="M180" s="399">
        <v>0</v>
      </c>
      <c r="N180" s="399">
        <v>319.11</v>
      </c>
      <c r="O180" s="399">
        <v>319.11</v>
      </c>
      <c r="P180" s="399">
        <v>319.11</v>
      </c>
      <c r="Q180" s="399">
        <v>319.11</v>
      </c>
      <c r="R180" s="399"/>
      <c r="S180" s="399">
        <v>522.37</v>
      </c>
      <c r="T180" s="399">
        <v>144.41999999999999</v>
      </c>
      <c r="U180" s="399"/>
      <c r="V180" s="399">
        <v>212779.35689999998</v>
      </c>
      <c r="W180" s="399">
        <v>212779.35689999998</v>
      </c>
      <c r="X180" s="399">
        <v>207976.75140000001</v>
      </c>
      <c r="Y180" s="399">
        <v>0</v>
      </c>
      <c r="Z180" s="399">
        <v>19593.665271087168</v>
      </c>
      <c r="AA180" s="399">
        <v>0</v>
      </c>
      <c r="AB180" s="399">
        <v>0</v>
      </c>
      <c r="AC180" s="399">
        <v>0</v>
      </c>
      <c r="AD180" s="399">
        <v>32537.621455831853</v>
      </c>
      <c r="AE180" s="399">
        <v>105914.9124641799</v>
      </c>
      <c r="AF180" s="399">
        <v>46086.448138724387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3026.0421564204471</v>
      </c>
      <c r="AM180" s="399"/>
      <c r="AN180" s="399">
        <v>464.25883974775036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5156.2828693874462</v>
      </c>
      <c r="BH180" s="399">
        <v>0</v>
      </c>
      <c r="BI180" s="399">
        <v>5.35</v>
      </c>
      <c r="BJ180" s="399">
        <v>24.9</v>
      </c>
      <c r="BK180" s="399">
        <v>48414.01</v>
      </c>
      <c r="BL180" s="399">
        <v>762</v>
      </c>
      <c r="BM180" s="399"/>
      <c r="BN180" s="399"/>
      <c r="BO180" s="399"/>
      <c r="BP180" s="399"/>
      <c r="BQ180" s="399"/>
      <c r="BR180" s="399">
        <v>24954.402000000006</v>
      </c>
      <c r="BS180" s="399"/>
      <c r="BT180" s="399"/>
      <c r="BU180" s="399"/>
      <c r="BV180" s="399">
        <v>51242.731008111834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183022.34940000001</v>
      </c>
      <c r="CJ180" s="399">
        <v>-4221.8553000000247</v>
      </c>
      <c r="CK180" s="399"/>
      <c r="CL180" s="399"/>
      <c r="CM180" s="399"/>
      <c r="CN180" s="399"/>
      <c r="CO180" s="399">
        <v>-6666.2078999999958</v>
      </c>
      <c r="CP180" s="399">
        <v>1863.6024000000011</v>
      </c>
      <c r="CQ180" s="399"/>
      <c r="CR180" s="399">
        <v>-30.627780657610856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1361.7434363616994</v>
      </c>
      <c r="DA180" s="399">
        <v>0</v>
      </c>
      <c r="DB180" s="399">
        <v>0</v>
      </c>
      <c r="DC180" s="399">
        <v>1863.5361522342864</v>
      </c>
      <c r="DD180" s="399">
        <v>0</v>
      </c>
      <c r="DE180" s="399">
        <v>0</v>
      </c>
      <c r="DF180" s="399">
        <v>0</v>
      </c>
      <c r="DG180" s="399">
        <v>208.49772387156008</v>
      </c>
      <c r="DH180" s="399">
        <v>0</v>
      </c>
      <c r="DI180" s="399">
        <v>-3010.1966436809198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-398.18042470306773</v>
      </c>
      <c r="DP180" s="399">
        <v>-56.028024741169361</v>
      </c>
      <c r="DQ180" s="399">
        <v>0</v>
      </c>
      <c r="DR180" s="399">
        <v>0</v>
      </c>
      <c r="DS180" s="399"/>
      <c r="DT180" s="399"/>
      <c r="DU180" s="399"/>
      <c r="DV180" s="399">
        <v>105914.9124641799</v>
      </c>
      <c r="DW180" s="399">
        <v>0</v>
      </c>
      <c r="DX180" s="399">
        <v>0</v>
      </c>
      <c r="DY180" s="399">
        <v>-6666.2078999999794</v>
      </c>
      <c r="DZ180" s="399">
        <v>1863.6024000000034</v>
      </c>
      <c r="EA180" s="399">
        <v>0</v>
      </c>
      <c r="EB180" s="399">
        <v>0</v>
      </c>
      <c r="EC180" s="399">
        <v>-4770.1143270293251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225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2359</v>
      </c>
      <c r="C181" s="399" t="s">
        <v>2357</v>
      </c>
      <c r="D181" s="399" t="s">
        <v>2369</v>
      </c>
      <c r="E181" s="399" t="s">
        <v>895</v>
      </c>
      <c r="F181" s="399" t="s">
        <v>1240</v>
      </c>
      <c r="G181" s="399" t="s">
        <v>1240</v>
      </c>
      <c r="H181" s="399" t="s">
        <v>1240</v>
      </c>
      <c r="I181" s="399" t="s">
        <v>1240</v>
      </c>
      <c r="J181" s="399" t="s">
        <v>2358</v>
      </c>
      <c r="K181" s="789">
        <v>44531</v>
      </c>
      <c r="L181" s="399">
        <v>0</v>
      </c>
      <c r="M181" s="399">
        <v>0</v>
      </c>
      <c r="N181" s="399">
        <v>-0.13400000000000001</v>
      </c>
      <c r="O181" s="399">
        <v>-0.13400000000000001</v>
      </c>
      <c r="P181" s="399">
        <v>-0.13400000000000001</v>
      </c>
      <c r="Q181" s="399">
        <v>-0.13400000000000001</v>
      </c>
      <c r="R181" s="399"/>
      <c r="S181" s="399">
        <v>522.37</v>
      </c>
      <c r="T181" s="399">
        <v>144.41999999999999</v>
      </c>
      <c r="U181" s="399"/>
      <c r="V181" s="399">
        <v>-89.349860000000007</v>
      </c>
      <c r="W181" s="399">
        <v>-89.349860000000007</v>
      </c>
      <c r="X181" s="399">
        <v>-87.333160000000007</v>
      </c>
      <c r="Y181" s="399">
        <v>0</v>
      </c>
      <c r="Z181" s="399">
        <v>-8.2277307083002107</v>
      </c>
      <c r="AA181" s="399">
        <v>0</v>
      </c>
      <c r="AB181" s="399">
        <v>0</v>
      </c>
      <c r="AC181" s="399">
        <v>0</v>
      </c>
      <c r="AD181" s="399">
        <v>-13.66312956372871</v>
      </c>
      <c r="AE181" s="399">
        <v>-44.475567265833433</v>
      </c>
      <c r="AF181" s="399">
        <v>-19.352524366485124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-1.2706892574984798</v>
      </c>
      <c r="AM181" s="399"/>
      <c r="AN181" s="399">
        <v>-0.19495059548807167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-2.1652154570459019</v>
      </c>
      <c r="BH181" s="399">
        <v>0</v>
      </c>
      <c r="BI181" s="399">
        <v>0</v>
      </c>
      <c r="BJ181" s="399">
        <v>0</v>
      </c>
      <c r="BK181" s="399">
        <v>-13.22</v>
      </c>
      <c r="BL181" s="399">
        <v>0</v>
      </c>
      <c r="BM181" s="399"/>
      <c r="BN181" s="399"/>
      <c r="BO181" s="399"/>
      <c r="BP181" s="399"/>
      <c r="BQ181" s="399"/>
      <c r="BR181" s="399">
        <v>-10.478800000000003</v>
      </c>
      <c r="BS181" s="399"/>
      <c r="BT181" s="399"/>
      <c r="BU181" s="399"/>
      <c r="BV181" s="399">
        <v>-21.517739823531027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-74.560199999999995</v>
      </c>
      <c r="CJ181" s="399">
        <v>4.036980000000014</v>
      </c>
      <c r="CK181" s="399"/>
      <c r="CL181" s="399"/>
      <c r="CM181" s="399"/>
      <c r="CN181" s="399"/>
      <c r="CO181" s="399">
        <v>2.7992599999999985</v>
      </c>
      <c r="CP181" s="399">
        <v>-0.78256000000000048</v>
      </c>
      <c r="CQ181" s="399"/>
      <c r="CR181" s="399">
        <v>1.2861153232812228E-2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-0.57182043957402584</v>
      </c>
      <c r="DA181" s="399">
        <v>0</v>
      </c>
      <c r="DB181" s="399">
        <v>0</v>
      </c>
      <c r="DC181" s="399">
        <v>-0.78253218137756164</v>
      </c>
      <c r="DD181" s="399">
        <v>0</v>
      </c>
      <c r="DE181" s="399">
        <v>0</v>
      </c>
      <c r="DF181" s="399">
        <v>0</v>
      </c>
      <c r="DG181" s="399">
        <v>-8.7551925664470343E-2</v>
      </c>
      <c r="DH181" s="399">
        <v>0</v>
      </c>
      <c r="DI181" s="399">
        <v>1.2640354431175549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0.16720308642853898</v>
      </c>
      <c r="DP181" s="399">
        <v>2.352717030276924E-2</v>
      </c>
      <c r="DQ181" s="399">
        <v>0</v>
      </c>
      <c r="DR181" s="399">
        <v>0</v>
      </c>
      <c r="DS181" s="399"/>
      <c r="DT181" s="399"/>
      <c r="DU181" s="399"/>
      <c r="DV181" s="399">
        <v>-44.475567265833433</v>
      </c>
      <c r="DW181" s="399">
        <v>0</v>
      </c>
      <c r="DX181" s="399">
        <v>0</v>
      </c>
      <c r="DY181" s="399">
        <v>2.7992599999999896</v>
      </c>
      <c r="DZ181" s="399">
        <v>-0.78256000000000014</v>
      </c>
      <c r="EA181" s="399">
        <v>0</v>
      </c>
      <c r="EB181" s="399">
        <v>0</v>
      </c>
      <c r="EC181" s="399">
        <v>2.003056374986464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225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2360</v>
      </c>
      <c r="C182" s="399" t="s">
        <v>2357</v>
      </c>
      <c r="D182" s="399" t="s">
        <v>2369</v>
      </c>
      <c r="E182" s="399" t="s">
        <v>895</v>
      </c>
      <c r="F182" s="399" t="s">
        <v>1240</v>
      </c>
      <c r="G182" s="399" t="s">
        <v>1240</v>
      </c>
      <c r="H182" s="399" t="s">
        <v>1240</v>
      </c>
      <c r="I182" s="399" t="s">
        <v>1240</v>
      </c>
      <c r="J182" s="399" t="s">
        <v>2358</v>
      </c>
      <c r="K182" s="789">
        <v>44531</v>
      </c>
      <c r="L182" s="399">
        <v>0</v>
      </c>
      <c r="M182" s="399">
        <v>0</v>
      </c>
      <c r="N182" s="399">
        <v>2.0459999999999998</v>
      </c>
      <c r="O182" s="399">
        <v>2.0459999999999998</v>
      </c>
      <c r="P182" s="399">
        <v>2.0459999999999998</v>
      </c>
      <c r="Q182" s="399">
        <v>2.0459999999999998</v>
      </c>
      <c r="R182" s="399"/>
      <c r="S182" s="399">
        <v>522.37</v>
      </c>
      <c r="T182" s="399">
        <v>144.41999999999999</v>
      </c>
      <c r="U182" s="399"/>
      <c r="V182" s="399">
        <v>1364.25234</v>
      </c>
      <c r="W182" s="399">
        <v>1364.25234</v>
      </c>
      <c r="X182" s="399">
        <v>1333.4600399999999</v>
      </c>
      <c r="Y182" s="399">
        <v>0</v>
      </c>
      <c r="Z182" s="399">
        <v>125.62639574016589</v>
      </c>
      <c r="AA182" s="399">
        <v>0</v>
      </c>
      <c r="AB182" s="399">
        <v>0</v>
      </c>
      <c r="AC182" s="399">
        <v>0</v>
      </c>
      <c r="AD182" s="399">
        <v>208.61763498051442</v>
      </c>
      <c r="AE182" s="399">
        <v>679.08216884996409</v>
      </c>
      <c r="AF182" s="399">
        <v>295.48705114797428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19.401718065984248</v>
      </c>
      <c r="AM182" s="399"/>
      <c r="AN182" s="399">
        <v>2.9766337191686163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33.05993153071578</v>
      </c>
      <c r="BH182" s="399">
        <v>0</v>
      </c>
      <c r="BI182" s="399">
        <v>0</v>
      </c>
      <c r="BJ182" s="399">
        <v>0</v>
      </c>
      <c r="BK182" s="399">
        <v>652.1</v>
      </c>
      <c r="BL182" s="399">
        <v>8</v>
      </c>
      <c r="BM182" s="399"/>
      <c r="BN182" s="399"/>
      <c r="BO182" s="399"/>
      <c r="BP182" s="399"/>
      <c r="BQ182" s="399"/>
      <c r="BR182" s="399">
        <v>159.99720000000002</v>
      </c>
      <c r="BS182" s="399"/>
      <c r="BT182" s="399"/>
      <c r="BU182" s="399"/>
      <c r="BV182" s="399">
        <v>328.54698267869009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1175.7569999999998</v>
      </c>
      <c r="CJ182" s="399">
        <v>-24.804420000000164</v>
      </c>
      <c r="CK182" s="399"/>
      <c r="CL182" s="399"/>
      <c r="CM182" s="399"/>
      <c r="CN182" s="399"/>
      <c r="CO182" s="399">
        <v>-42.740939999999966</v>
      </c>
      <c r="CP182" s="399">
        <v>11.948640000000006</v>
      </c>
      <c r="CQ182" s="399"/>
      <c r="CR182" s="399">
        <v>-0.19637253368898655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8.7309299952869992</v>
      </c>
      <c r="DA182" s="399">
        <v>0</v>
      </c>
      <c r="DB182" s="399">
        <v>0</v>
      </c>
      <c r="DC182" s="399">
        <v>11.948215247003702</v>
      </c>
      <c r="DD182" s="399">
        <v>0</v>
      </c>
      <c r="DE182" s="399">
        <v>0</v>
      </c>
      <c r="DF182" s="399">
        <v>0</v>
      </c>
      <c r="DG182" s="399">
        <v>1.3368002978321414</v>
      </c>
      <c r="DH182" s="399">
        <v>0</v>
      </c>
      <c r="DI182" s="399">
        <v>-19.300123258347142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-2.5529665286029157</v>
      </c>
      <c r="DP182" s="399">
        <v>-0.35922828686168584</v>
      </c>
      <c r="DQ182" s="399">
        <v>0</v>
      </c>
      <c r="DR182" s="399">
        <v>0</v>
      </c>
      <c r="DS182" s="399"/>
      <c r="DT182" s="399"/>
      <c r="DU182" s="399"/>
      <c r="DV182" s="399">
        <v>679.08216884996409</v>
      </c>
      <c r="DW182" s="399">
        <v>0</v>
      </c>
      <c r="DX182" s="399">
        <v>0</v>
      </c>
      <c r="DY182" s="399">
        <v>-42.74093999999991</v>
      </c>
      <c r="DZ182" s="399">
        <v>11.948640000000012</v>
      </c>
      <c r="EA182" s="399">
        <v>0</v>
      </c>
      <c r="EB182" s="399">
        <v>0</v>
      </c>
      <c r="EC182" s="399">
        <v>-30.583980173300688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225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957</v>
      </c>
      <c r="C183" s="399" t="s">
        <v>2366</v>
      </c>
      <c r="D183" s="399" t="s">
        <v>534</v>
      </c>
      <c r="E183" s="399" t="s">
        <v>895</v>
      </c>
      <c r="F183" s="399" t="s">
        <v>1240</v>
      </c>
      <c r="G183" s="399" t="s">
        <v>1240</v>
      </c>
      <c r="H183" s="399" t="s">
        <v>1240</v>
      </c>
      <c r="I183" s="399" t="s">
        <v>894</v>
      </c>
      <c r="J183" s="399" t="s">
        <v>2358</v>
      </c>
      <c r="K183" s="789">
        <v>44531</v>
      </c>
      <c r="L183" s="399">
        <v>0</v>
      </c>
      <c r="M183" s="399">
        <v>0</v>
      </c>
      <c r="N183" s="399">
        <v>1.33</v>
      </c>
      <c r="O183" s="399">
        <v>1.2767999999999999</v>
      </c>
      <c r="P183" s="399">
        <v>1.33</v>
      </c>
      <c r="Q183" s="399">
        <v>1.2767999999999999</v>
      </c>
      <c r="R183" s="399"/>
      <c r="S183" s="399">
        <v>2740.31</v>
      </c>
      <c r="T183" s="399">
        <v>144.41999999999999</v>
      </c>
      <c r="U183" s="399"/>
      <c r="V183" s="399">
        <v>3836.6909000000001</v>
      </c>
      <c r="W183" s="399">
        <v>3836.6909000000001</v>
      </c>
      <c r="X183" s="399">
        <v>3759.1386000000002</v>
      </c>
      <c r="Y183" s="399">
        <v>0</v>
      </c>
      <c r="Z183" s="399">
        <v>71.047068675926681</v>
      </c>
      <c r="AA183" s="399">
        <v>0</v>
      </c>
      <c r="AB183" s="399">
        <v>0</v>
      </c>
      <c r="AC183" s="399">
        <v>0</v>
      </c>
      <c r="AD183" s="399">
        <v>1001.0415416189835</v>
      </c>
      <c r="AE183" s="399">
        <v>2550.9500627741349</v>
      </c>
      <c r="AF183" s="399">
        <v>192.08102542854638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12.612065018455061</v>
      </c>
      <c r="AM183" s="399"/>
      <c r="AN183" s="399">
        <v>0.66192132058868891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8.2973411857927175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/>
      <c r="BR183" s="399">
        <v>150.36554400000037</v>
      </c>
      <c r="BS183" s="399"/>
      <c r="BT183" s="399"/>
      <c r="BU183" s="399"/>
      <c r="BV183" s="399">
        <v>200.37836661433909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3617.8175999999999</v>
      </c>
      <c r="CJ183" s="399">
        <v>-65.435664000000088</v>
      </c>
      <c r="CK183" s="399"/>
      <c r="CL183" s="399"/>
      <c r="CM183" s="399"/>
      <c r="CN183" s="399"/>
      <c r="CO183" s="399">
        <v>-85.319500000000119</v>
      </c>
      <c r="CP183" s="399">
        <v>7.7672000000000052</v>
      </c>
      <c r="CQ183" s="399"/>
      <c r="CR183" s="399">
        <v>37.342898059148638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41.894941542524521</v>
      </c>
      <c r="DA183" s="399">
        <v>0</v>
      </c>
      <c r="DB183" s="399">
        <v>0</v>
      </c>
      <c r="DC183" s="399">
        <v>7.7669238897922241</v>
      </c>
      <c r="DD183" s="399">
        <v>0</v>
      </c>
      <c r="DE183" s="399">
        <v>0</v>
      </c>
      <c r="DF183" s="399">
        <v>0</v>
      </c>
      <c r="DG183" s="399">
        <v>0.33550850394462373</v>
      </c>
      <c r="DH183" s="399">
        <v>0</v>
      </c>
      <c r="DI183" s="399">
        <v>-10.915040382323255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-1.6595530220146024</v>
      </c>
      <c r="DP183" s="399">
        <v>-7.9882472774889357E-2</v>
      </c>
      <c r="DQ183" s="399">
        <v>0</v>
      </c>
      <c r="DR183" s="399">
        <v>0</v>
      </c>
      <c r="DS183" s="399"/>
      <c r="DT183" s="399"/>
      <c r="DU183" s="399"/>
      <c r="DV183" s="399">
        <v>2550.9500627741349</v>
      </c>
      <c r="DW183" s="399">
        <v>0</v>
      </c>
      <c r="DX183" s="399">
        <v>0</v>
      </c>
      <c r="DY183" s="399">
        <v>-85.319500000000062</v>
      </c>
      <c r="DZ183" s="399">
        <v>7.7672000000000025</v>
      </c>
      <c r="EA183" s="399">
        <v>0</v>
      </c>
      <c r="EB183" s="399">
        <v>0</v>
      </c>
      <c r="EC183" s="399">
        <v>-114.88772599506547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225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957</v>
      </c>
      <c r="C184" s="399" t="s">
        <v>2366</v>
      </c>
      <c r="D184" s="399" t="s">
        <v>534</v>
      </c>
      <c r="E184" s="399" t="s">
        <v>895</v>
      </c>
      <c r="F184" s="399" t="s">
        <v>1240</v>
      </c>
      <c r="G184" s="399" t="s">
        <v>1240</v>
      </c>
      <c r="H184" s="399" t="s">
        <v>1240</v>
      </c>
      <c r="I184" s="399" t="s">
        <v>2328</v>
      </c>
      <c r="J184" s="399" t="s">
        <v>2358</v>
      </c>
      <c r="K184" s="789">
        <v>44531</v>
      </c>
      <c r="L184" s="399">
        <v>0</v>
      </c>
      <c r="M184" s="399">
        <v>0</v>
      </c>
      <c r="N184" s="399">
        <v>39.991</v>
      </c>
      <c r="O184" s="399">
        <v>38.391359999999999</v>
      </c>
      <c r="P184" s="399">
        <v>39.991</v>
      </c>
      <c r="Q184" s="399">
        <v>38.391359999999999</v>
      </c>
      <c r="R184" s="399"/>
      <c r="S184" s="399">
        <v>69.64</v>
      </c>
      <c r="T184" s="399">
        <v>144.41999999999999</v>
      </c>
      <c r="U184" s="399"/>
      <c r="V184" s="399">
        <v>8560.4734599999992</v>
      </c>
      <c r="W184" s="399">
        <v>8560.4734599999992</v>
      </c>
      <c r="X184" s="399">
        <v>8423.7042399999991</v>
      </c>
      <c r="Y184" s="399">
        <v>0</v>
      </c>
      <c r="Z184" s="399">
        <v>2136.2731755029954</v>
      </c>
      <c r="AA184" s="399">
        <v>0</v>
      </c>
      <c r="AB184" s="399">
        <v>0</v>
      </c>
      <c r="AC184" s="399">
        <v>0</v>
      </c>
      <c r="AD184" s="399">
        <v>0</v>
      </c>
      <c r="AE184" s="399">
        <v>0</v>
      </c>
      <c r="AF184" s="399">
        <v>5775.5731488067649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379.22488131807239</v>
      </c>
      <c r="AM184" s="399"/>
      <c r="AN184" s="399">
        <v>19.902928971174628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249.48794839175679</v>
      </c>
      <c r="BH184" s="399">
        <v>0</v>
      </c>
      <c r="BI184" s="399">
        <v>0</v>
      </c>
      <c r="BJ184" s="399">
        <v>0</v>
      </c>
      <c r="BK184" s="399">
        <v>0</v>
      </c>
      <c r="BL184" s="399">
        <v>0</v>
      </c>
      <c r="BM184" s="399"/>
      <c r="BN184" s="399"/>
      <c r="BO184" s="399"/>
      <c r="BP184" s="399"/>
      <c r="BQ184" s="399"/>
      <c r="BR184" s="399">
        <v>336.9481696000002</v>
      </c>
      <c r="BS184" s="399"/>
      <c r="BT184" s="399"/>
      <c r="BU184" s="399"/>
      <c r="BV184" s="399">
        <v>6025.0610971985216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8086.4696000000004</v>
      </c>
      <c r="CJ184" s="399">
        <v>-131.61492159999943</v>
      </c>
      <c r="CK184" s="399"/>
      <c r="CL184" s="399"/>
      <c r="CM184" s="399"/>
      <c r="CN184" s="399"/>
      <c r="CO184" s="399">
        <v>-370.3166599999999</v>
      </c>
      <c r="CP184" s="399">
        <v>233.54744000000014</v>
      </c>
      <c r="CQ184" s="399"/>
      <c r="CR184" s="399">
        <v>-136.87276010803362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0</v>
      </c>
      <c r="DA184" s="399">
        <v>0</v>
      </c>
      <c r="DB184" s="399">
        <v>0</v>
      </c>
      <c r="DC184" s="399">
        <v>233.53913780201583</v>
      </c>
      <c r="DD184" s="399">
        <v>0</v>
      </c>
      <c r="DE184" s="399">
        <v>0</v>
      </c>
      <c r="DF184" s="399">
        <v>0</v>
      </c>
      <c r="DG184" s="399">
        <v>10.088210963345432</v>
      </c>
      <c r="DH184" s="399">
        <v>0</v>
      </c>
      <c r="DI184" s="399">
        <v>-328.19803002217259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-49.900139025102192</v>
      </c>
      <c r="DP184" s="399">
        <v>-2.4019398261207527</v>
      </c>
      <c r="DQ184" s="399">
        <v>0</v>
      </c>
      <c r="DR184" s="399">
        <v>0</v>
      </c>
      <c r="DS184" s="399"/>
      <c r="DT184" s="399"/>
      <c r="DU184" s="399"/>
      <c r="DV184" s="399">
        <v>0</v>
      </c>
      <c r="DW184" s="399">
        <v>0</v>
      </c>
      <c r="DX184" s="399">
        <v>0</v>
      </c>
      <c r="DY184" s="399">
        <v>-370.3166599999995</v>
      </c>
      <c r="DZ184" s="399">
        <v>233.54743999999937</v>
      </c>
      <c r="EA184" s="399">
        <v>0</v>
      </c>
      <c r="EB184" s="399">
        <v>0</v>
      </c>
      <c r="EC184" s="399">
        <v>0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225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957</v>
      </c>
      <c r="C185" s="399" t="s">
        <v>2366</v>
      </c>
      <c r="D185" s="399" t="s">
        <v>534</v>
      </c>
      <c r="E185" s="399" t="s">
        <v>895</v>
      </c>
      <c r="F185" s="399" t="s">
        <v>1240</v>
      </c>
      <c r="G185" s="399" t="s">
        <v>1240</v>
      </c>
      <c r="H185" s="399" t="s">
        <v>1240</v>
      </c>
      <c r="I185" s="399" t="s">
        <v>1240</v>
      </c>
      <c r="J185" s="399" t="s">
        <v>2358</v>
      </c>
      <c r="K185" s="789">
        <v>44531</v>
      </c>
      <c r="L185" s="399">
        <v>150</v>
      </c>
      <c r="M185" s="399">
        <v>144</v>
      </c>
      <c r="N185" s="399">
        <v>0</v>
      </c>
      <c r="O185" s="399">
        <v>0</v>
      </c>
      <c r="P185" s="399">
        <v>0</v>
      </c>
      <c r="Q185" s="399">
        <v>0</v>
      </c>
      <c r="R185" s="399">
        <v>34.950000000000003</v>
      </c>
      <c r="S185" s="399"/>
      <c r="T185" s="399"/>
      <c r="U185" s="399">
        <v>5242.5</v>
      </c>
      <c r="V185" s="399"/>
      <c r="W185" s="399">
        <v>5242.5</v>
      </c>
      <c r="X185" s="399">
        <v>5171.9999999999991</v>
      </c>
      <c r="Y185" s="399">
        <v>0</v>
      </c>
      <c r="Z185" s="399">
        <v>0</v>
      </c>
      <c r="AA185" s="399">
        <v>0</v>
      </c>
      <c r="AB185" s="399">
        <v>0</v>
      </c>
      <c r="AC185" s="399">
        <v>0</v>
      </c>
      <c r="AD185" s="399">
        <v>1900.46692671555</v>
      </c>
      <c r="AE185" s="399">
        <v>3342.7211988889949</v>
      </c>
      <c r="AF185" s="399"/>
      <c r="AG185" s="399"/>
      <c r="AH185" s="399"/>
      <c r="AI185" s="399">
        <v>0</v>
      </c>
      <c r="AJ185" s="399">
        <v>0</v>
      </c>
      <c r="AK185" s="399">
        <v>0</v>
      </c>
      <c r="AL185" s="399">
        <v>0</v>
      </c>
      <c r="AM185" s="399"/>
      <c r="AN185" s="399">
        <v>0</v>
      </c>
      <c r="AO185" s="399">
        <v>0</v>
      </c>
      <c r="AP185" s="399">
        <v>0</v>
      </c>
      <c r="AQ185" s="399">
        <v>0</v>
      </c>
      <c r="AR185" s="399">
        <v>0</v>
      </c>
      <c r="AS185" s="399"/>
      <c r="AT185" s="399"/>
      <c r="AU185" s="399">
        <v>0</v>
      </c>
      <c r="AV185" s="399">
        <v>0</v>
      </c>
      <c r="AW185" s="399">
        <v>0</v>
      </c>
      <c r="AX185" s="399"/>
      <c r="AY185" s="399"/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/>
      <c r="BG185" s="399">
        <v>0</v>
      </c>
      <c r="BH185" s="399">
        <v>0</v>
      </c>
      <c r="BI185" s="399">
        <v>0</v>
      </c>
      <c r="BJ185" s="399">
        <v>0</v>
      </c>
      <c r="BK185" s="399">
        <v>7952.01</v>
      </c>
      <c r="BL185" s="399">
        <v>1</v>
      </c>
      <c r="BM185" s="399"/>
      <c r="BN185" s="399"/>
      <c r="BO185" s="399"/>
      <c r="BP185" s="399"/>
      <c r="BQ185" s="399"/>
      <c r="BR185" s="399">
        <v>206.88</v>
      </c>
      <c r="BS185" s="399"/>
      <c r="BT185" s="399"/>
      <c r="BU185" s="399"/>
      <c r="BV185" s="399">
        <v>0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4965.12</v>
      </c>
      <c r="CJ185" s="399">
        <v>-67.710000000000946</v>
      </c>
      <c r="CK185" s="399"/>
      <c r="CL185" s="399"/>
      <c r="CM185" s="399"/>
      <c r="CN185" s="399"/>
      <c r="CO185" s="399">
        <v>-70.500000000000895</v>
      </c>
      <c r="CP185" s="399">
        <v>0</v>
      </c>
      <c r="CQ185" s="399"/>
      <c r="CR185" s="399">
        <v>79.537109588354951</v>
      </c>
      <c r="CS185" s="399">
        <v>0</v>
      </c>
      <c r="CT185" s="399">
        <v>0</v>
      </c>
      <c r="CU185" s="399">
        <v>0</v>
      </c>
      <c r="CV185" s="399">
        <v>0</v>
      </c>
      <c r="CW185" s="399"/>
      <c r="CX185" s="399"/>
      <c r="CY185" s="399"/>
      <c r="CZ185" s="399">
        <v>79.537109588354951</v>
      </c>
      <c r="DA185" s="399">
        <v>0</v>
      </c>
      <c r="DB185" s="399">
        <v>0</v>
      </c>
      <c r="DC185" s="399"/>
      <c r="DD185" s="399"/>
      <c r="DE185" s="399">
        <v>0</v>
      </c>
      <c r="DF185" s="399">
        <v>0</v>
      </c>
      <c r="DG185" s="399">
        <v>0</v>
      </c>
      <c r="DH185" s="399">
        <v>0</v>
      </c>
      <c r="DI185" s="399">
        <v>0</v>
      </c>
      <c r="DJ185" s="399"/>
      <c r="DK185" s="399">
        <v>0</v>
      </c>
      <c r="DL185" s="399">
        <v>0</v>
      </c>
      <c r="DM185" s="399"/>
      <c r="DN185" s="399">
        <v>0</v>
      </c>
      <c r="DO185" s="399">
        <v>0</v>
      </c>
      <c r="DP185" s="399">
        <v>0</v>
      </c>
      <c r="DQ185" s="399">
        <v>0</v>
      </c>
      <c r="DR185" s="399">
        <v>0</v>
      </c>
      <c r="DS185" s="399"/>
      <c r="DT185" s="399"/>
      <c r="DU185" s="399">
        <v>3342.7211988889949</v>
      </c>
      <c r="DV185" s="399"/>
      <c r="DW185" s="399">
        <v>0</v>
      </c>
      <c r="DX185" s="399">
        <v>0</v>
      </c>
      <c r="DY185" s="399">
        <v>-70.500000000000909</v>
      </c>
      <c r="DZ185" s="399"/>
      <c r="EA185" s="399">
        <v>0</v>
      </c>
      <c r="EB185" s="399"/>
      <c r="EC185" s="399">
        <v>-150.54690516292476</v>
      </c>
      <c r="ED185" s="399"/>
      <c r="EE185" s="399">
        <v>0</v>
      </c>
      <c r="EF185" s="399">
        <v>0</v>
      </c>
      <c r="EG185" s="399"/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/>
      <c r="EN185" s="399"/>
      <c r="EO185" s="399">
        <v>0</v>
      </c>
      <c r="EP185" s="399">
        <v>0</v>
      </c>
      <c r="EQ185" s="399"/>
      <c r="ER185" s="399">
        <v>0</v>
      </c>
      <c r="ES185" s="399"/>
      <c r="ET185" s="399">
        <v>0</v>
      </c>
      <c r="EU185" s="399"/>
      <c r="EV185" s="399">
        <v>225</v>
      </c>
      <c r="EW185" s="399"/>
      <c r="EX185" s="399"/>
      <c r="EY185" s="399"/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957</v>
      </c>
      <c r="C186" s="399" t="s">
        <v>2357</v>
      </c>
      <c r="D186" s="399" t="s">
        <v>1826</v>
      </c>
      <c r="E186" s="399" t="s">
        <v>2370</v>
      </c>
      <c r="F186" s="399" t="s">
        <v>1240</v>
      </c>
      <c r="G186" s="399" t="s">
        <v>1240</v>
      </c>
      <c r="H186" s="399" t="s">
        <v>1240</v>
      </c>
      <c r="I186" s="399" t="s">
        <v>1240</v>
      </c>
      <c r="J186" s="399" t="s">
        <v>2358</v>
      </c>
      <c r="K186" s="789">
        <v>44531</v>
      </c>
      <c r="L186" s="399">
        <v>0</v>
      </c>
      <c r="M186" s="399">
        <v>0</v>
      </c>
      <c r="N186" s="399">
        <v>82.063000000000002</v>
      </c>
      <c r="O186" s="399">
        <v>82.063000000000002</v>
      </c>
      <c r="P186" s="399">
        <v>82.063000000000002</v>
      </c>
      <c r="Q186" s="399">
        <v>82.063000000000002</v>
      </c>
      <c r="R186" s="399"/>
      <c r="S186" s="399">
        <v>522.37</v>
      </c>
      <c r="T186" s="399">
        <v>144.41999999999999</v>
      </c>
      <c r="U186" s="399"/>
      <c r="V186" s="399">
        <v>54718.787769999995</v>
      </c>
      <c r="W186" s="399">
        <v>54718.787769999995</v>
      </c>
      <c r="X186" s="399">
        <v>53483.73962</v>
      </c>
      <c r="Y186" s="399">
        <v>0</v>
      </c>
      <c r="Z186" s="399">
        <v>5038.7482471286585</v>
      </c>
      <c r="AA186" s="399">
        <v>0</v>
      </c>
      <c r="AB186" s="399">
        <v>0</v>
      </c>
      <c r="AC186" s="399">
        <v>0</v>
      </c>
      <c r="AD186" s="399">
        <v>8367.4432939423059</v>
      </c>
      <c r="AE186" s="399">
        <v>27237.302063702155</v>
      </c>
      <c r="AF186" s="399">
        <v>11851.688112588572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778.18337714998313</v>
      </c>
      <c r="AM186" s="399"/>
      <c r="AN186" s="399">
        <v>119.38978147416138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1326.0005675489392</v>
      </c>
      <c r="BH186" s="399">
        <v>0</v>
      </c>
      <c r="BI186" s="399">
        <v>400.02</v>
      </c>
      <c r="BJ186" s="399">
        <v>1849.59</v>
      </c>
      <c r="BK186" s="399">
        <v>16550</v>
      </c>
      <c r="BL186" s="399">
        <v>126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13177.688680137511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53481.784400000004</v>
      </c>
      <c r="CJ186" s="399">
        <v>-1237.0333699999974</v>
      </c>
      <c r="CK186" s="399"/>
      <c r="CL186" s="399"/>
      <c r="CM186" s="399"/>
      <c r="CN186" s="399"/>
      <c r="CO186" s="399">
        <v>-1714.296069999999</v>
      </c>
      <c r="CP186" s="399">
        <v>479.24792000000031</v>
      </c>
      <c r="CQ186" s="399"/>
      <c r="CR186" s="399">
        <v>-7.8763046100284555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350.18881143853287</v>
      </c>
      <c r="DA186" s="399">
        <v>0</v>
      </c>
      <c r="DB186" s="399">
        <v>0</v>
      </c>
      <c r="DC186" s="399">
        <v>479.23088358497807</v>
      </c>
      <c r="DD186" s="399">
        <v>0</v>
      </c>
      <c r="DE186" s="399">
        <v>0</v>
      </c>
      <c r="DF186" s="399">
        <v>0</v>
      </c>
      <c r="DG186" s="399">
        <v>53.617713998532963</v>
      </c>
      <c r="DH186" s="399">
        <v>0</v>
      </c>
      <c r="DI186" s="399">
        <v>-774.10851170564183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-102.39691702675509</v>
      </c>
      <c r="DP186" s="399">
        <v>-14.408284899672779</v>
      </c>
      <c r="DQ186" s="399">
        <v>0</v>
      </c>
      <c r="DR186" s="399">
        <v>0</v>
      </c>
      <c r="DS186" s="399"/>
      <c r="DT186" s="399"/>
      <c r="DU186" s="399"/>
      <c r="DV186" s="399">
        <v>27237.302063702155</v>
      </c>
      <c r="DW186" s="399">
        <v>0</v>
      </c>
      <c r="DX186" s="399">
        <v>0</v>
      </c>
      <c r="DY186" s="399">
        <v>-1714.2960699999967</v>
      </c>
      <c r="DZ186" s="399">
        <v>479.24791999999979</v>
      </c>
      <c r="EA186" s="399">
        <v>0</v>
      </c>
      <c r="EB186" s="399">
        <v>0</v>
      </c>
      <c r="EC186" s="399">
        <v>-1226.6926514963707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225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2360</v>
      </c>
      <c r="C187" s="399" t="s">
        <v>2357</v>
      </c>
      <c r="D187" s="399" t="s">
        <v>1826</v>
      </c>
      <c r="E187" s="399" t="s">
        <v>2370</v>
      </c>
      <c r="F187" s="399" t="s">
        <v>1240</v>
      </c>
      <c r="G187" s="399" t="s">
        <v>1240</v>
      </c>
      <c r="H187" s="399" t="s">
        <v>1240</v>
      </c>
      <c r="I187" s="399" t="s">
        <v>1240</v>
      </c>
      <c r="J187" s="399" t="s">
        <v>2358</v>
      </c>
      <c r="K187" s="789">
        <v>44531</v>
      </c>
      <c r="L187" s="399">
        <v>0</v>
      </c>
      <c r="M187" s="399">
        <v>0</v>
      </c>
      <c r="N187" s="399">
        <v>1.9530000000000001</v>
      </c>
      <c r="O187" s="399">
        <v>1.9530000000000001</v>
      </c>
      <c r="P187" s="399">
        <v>1.9530000000000001</v>
      </c>
      <c r="Q187" s="399">
        <v>1.9530000000000001</v>
      </c>
      <c r="R187" s="399"/>
      <c r="S187" s="399">
        <v>522.37</v>
      </c>
      <c r="T187" s="399">
        <v>144.41999999999999</v>
      </c>
      <c r="U187" s="399"/>
      <c r="V187" s="399">
        <v>1302.2408700000001</v>
      </c>
      <c r="W187" s="399">
        <v>1302.2408700000001</v>
      </c>
      <c r="X187" s="399">
        <v>1272.8482200000001</v>
      </c>
      <c r="Y187" s="399">
        <v>0</v>
      </c>
      <c r="Z187" s="399">
        <v>119.91610502470382</v>
      </c>
      <c r="AA187" s="399">
        <v>0</v>
      </c>
      <c r="AB187" s="399">
        <v>0</v>
      </c>
      <c r="AC187" s="399">
        <v>0</v>
      </c>
      <c r="AD187" s="399">
        <v>199.13501520867288</v>
      </c>
      <c r="AE187" s="399">
        <v>648.21479753860217</v>
      </c>
      <c r="AF187" s="399">
        <v>282.05582155033915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18.519821790257694</v>
      </c>
      <c r="AM187" s="399"/>
      <c r="AN187" s="399">
        <v>2.8413321864791339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31.557207370228703</v>
      </c>
      <c r="BH187" s="399">
        <v>0</v>
      </c>
      <c r="BI187" s="399">
        <v>8.69</v>
      </c>
      <c r="BJ187" s="399">
        <v>40.14</v>
      </c>
      <c r="BK187" s="399">
        <v>530.91</v>
      </c>
      <c r="BL187" s="399">
        <v>2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313.61302892056784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1270.893</v>
      </c>
      <c r="CJ187" s="399">
        <v>-31.37787000000003</v>
      </c>
      <c r="CK187" s="399"/>
      <c r="CL187" s="399"/>
      <c r="CM187" s="399"/>
      <c r="CN187" s="399"/>
      <c r="CO187" s="399">
        <v>-40.798169999999978</v>
      </c>
      <c r="CP187" s="399">
        <v>11.405520000000006</v>
      </c>
      <c r="CQ187" s="399"/>
      <c r="CR187" s="399">
        <v>-0.18744650943028773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8.3340695409557668</v>
      </c>
      <c r="DA187" s="399">
        <v>0</v>
      </c>
      <c r="DB187" s="399">
        <v>0</v>
      </c>
      <c r="DC187" s="399">
        <v>11.405114553958072</v>
      </c>
      <c r="DD187" s="399">
        <v>0</v>
      </c>
      <c r="DE187" s="399">
        <v>0</v>
      </c>
      <c r="DF187" s="399">
        <v>0</v>
      </c>
      <c r="DG187" s="399">
        <v>1.2760366479306811</v>
      </c>
      <c r="DH187" s="399">
        <v>0</v>
      </c>
      <c r="DI187" s="399">
        <v>-18.422844928422279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-2.4369225954845994</v>
      </c>
      <c r="DP187" s="399">
        <v>-0.34289972836797267</v>
      </c>
      <c r="DQ187" s="399">
        <v>0</v>
      </c>
      <c r="DR187" s="399">
        <v>0</v>
      </c>
      <c r="DS187" s="399"/>
      <c r="DT187" s="399"/>
      <c r="DU187" s="399"/>
      <c r="DV187" s="399">
        <v>648.21479753860217</v>
      </c>
      <c r="DW187" s="399">
        <v>0</v>
      </c>
      <c r="DX187" s="399">
        <v>0</v>
      </c>
      <c r="DY187" s="399">
        <v>-40.798169999999914</v>
      </c>
      <c r="DZ187" s="399">
        <v>11.405520000000024</v>
      </c>
      <c r="EA187" s="399">
        <v>0</v>
      </c>
      <c r="EB187" s="399">
        <v>0</v>
      </c>
      <c r="EC187" s="399">
        <v>-29.193799256332454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225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957</v>
      </c>
      <c r="C188" s="399" t="s">
        <v>2366</v>
      </c>
      <c r="D188" s="399" t="s">
        <v>534</v>
      </c>
      <c r="E188" s="399" t="s">
        <v>2370</v>
      </c>
      <c r="F188" s="399" t="s">
        <v>1240</v>
      </c>
      <c r="G188" s="399" t="s">
        <v>1240</v>
      </c>
      <c r="H188" s="399" t="s">
        <v>1240</v>
      </c>
      <c r="I188" s="399" t="s">
        <v>894</v>
      </c>
      <c r="J188" s="399" t="s">
        <v>2358</v>
      </c>
      <c r="K188" s="789">
        <v>44531</v>
      </c>
      <c r="L188" s="399">
        <v>0</v>
      </c>
      <c r="M188" s="399">
        <v>0</v>
      </c>
      <c r="N188" s="399">
        <v>9.7000000000000003E-2</v>
      </c>
      <c r="O188" s="399">
        <v>9.7000000000000003E-2</v>
      </c>
      <c r="P188" s="399">
        <v>9.7000000000000003E-2</v>
      </c>
      <c r="Q188" s="399">
        <v>9.7000000000000003E-2</v>
      </c>
      <c r="R188" s="399"/>
      <c r="S188" s="399">
        <v>2740.31</v>
      </c>
      <c r="T188" s="399">
        <v>144.41999999999999</v>
      </c>
      <c r="U188" s="399"/>
      <c r="V188" s="399">
        <v>279.81880999999998</v>
      </c>
      <c r="W188" s="399">
        <v>279.81880999999998</v>
      </c>
      <c r="X188" s="399">
        <v>274.16273999999999</v>
      </c>
      <c r="Y188" s="399">
        <v>0</v>
      </c>
      <c r="Z188" s="399">
        <v>5.1816283169660817</v>
      </c>
      <c r="AA188" s="399">
        <v>0</v>
      </c>
      <c r="AB188" s="399">
        <v>0</v>
      </c>
      <c r="AC188" s="399">
        <v>0</v>
      </c>
      <c r="AD188" s="399">
        <v>73.008292884993537</v>
      </c>
      <c r="AE188" s="399">
        <v>186.04673390157225</v>
      </c>
      <c r="AF188" s="399">
        <v>14.008916892157142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0.91982729833845178</v>
      </c>
      <c r="AM188" s="399"/>
      <c r="AN188" s="399">
        <v>4.8275464734663778E-2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0.60514443234728843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14.61406132450443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282.642</v>
      </c>
      <c r="CJ188" s="399">
        <v>2.7931900000000383</v>
      </c>
      <c r="CK188" s="399"/>
      <c r="CL188" s="399"/>
      <c r="CM188" s="399"/>
      <c r="CN188" s="399"/>
      <c r="CO188" s="399">
        <v>-6.2225500000000089</v>
      </c>
      <c r="CP188" s="399">
        <v>0.56648000000000032</v>
      </c>
      <c r="CQ188" s="399"/>
      <c r="CR188" s="399">
        <v>2.7235045952913168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3.0554957365600615</v>
      </c>
      <c r="DA188" s="399">
        <v>0</v>
      </c>
      <c r="DB188" s="399">
        <v>0</v>
      </c>
      <c r="DC188" s="399">
        <v>0.56645986263898074</v>
      </c>
      <c r="DD188" s="399">
        <v>0</v>
      </c>
      <c r="DE188" s="399">
        <v>0</v>
      </c>
      <c r="DF188" s="399">
        <v>0</v>
      </c>
      <c r="DG188" s="399">
        <v>2.4469417204983746E-2</v>
      </c>
      <c r="DH188" s="399">
        <v>0</v>
      </c>
      <c r="DI188" s="399">
        <v>-0.7960593361544035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-0.12103507002662894</v>
      </c>
      <c r="DP188" s="399">
        <v>-5.8260149317024626E-3</v>
      </c>
      <c r="DQ188" s="399">
        <v>0</v>
      </c>
      <c r="DR188" s="399">
        <v>0</v>
      </c>
      <c r="DS188" s="399"/>
      <c r="DT188" s="399"/>
      <c r="DU188" s="399"/>
      <c r="DV188" s="399">
        <v>186.04673390157225</v>
      </c>
      <c r="DW188" s="399">
        <v>0</v>
      </c>
      <c r="DX188" s="399">
        <v>0</v>
      </c>
      <c r="DY188" s="399">
        <v>-6.2225500000000125</v>
      </c>
      <c r="DZ188" s="399">
        <v>0.56648000000000032</v>
      </c>
      <c r="EA188" s="399">
        <v>0</v>
      </c>
      <c r="EB188" s="399">
        <v>0</v>
      </c>
      <c r="EC188" s="399">
        <v>-8.3790296402416118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225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957</v>
      </c>
      <c r="C189" s="399" t="s">
        <v>2366</v>
      </c>
      <c r="D189" s="399" t="s">
        <v>534</v>
      </c>
      <c r="E189" s="399" t="s">
        <v>2370</v>
      </c>
      <c r="F189" s="399" t="s">
        <v>1240</v>
      </c>
      <c r="G189" s="399" t="s">
        <v>1240</v>
      </c>
      <c r="H189" s="399" t="s">
        <v>1240</v>
      </c>
      <c r="I189" s="399" t="s">
        <v>2328</v>
      </c>
      <c r="J189" s="399" t="s">
        <v>2358</v>
      </c>
      <c r="K189" s="789">
        <v>44531</v>
      </c>
      <c r="L189" s="399">
        <v>0</v>
      </c>
      <c r="M189" s="399">
        <v>0</v>
      </c>
      <c r="N189" s="399">
        <v>2.8079999999999998</v>
      </c>
      <c r="O189" s="399">
        <v>2.8079999999999998</v>
      </c>
      <c r="P189" s="399">
        <v>2.8079999999999998</v>
      </c>
      <c r="Q189" s="399">
        <v>2.8079999999999998</v>
      </c>
      <c r="R189" s="399"/>
      <c r="S189" s="399">
        <v>69.64</v>
      </c>
      <c r="T189" s="399">
        <v>144.41999999999999</v>
      </c>
      <c r="U189" s="399"/>
      <c r="V189" s="399">
        <v>601.08047999999997</v>
      </c>
      <c r="W189" s="399">
        <v>601.08047999999997</v>
      </c>
      <c r="X189" s="399">
        <v>591.47712000000001</v>
      </c>
      <c r="Y189" s="399">
        <v>0</v>
      </c>
      <c r="Z189" s="399">
        <v>150.00012694887377</v>
      </c>
      <c r="AA189" s="399">
        <v>0</v>
      </c>
      <c r="AB189" s="399">
        <v>0</v>
      </c>
      <c r="AC189" s="399">
        <v>0</v>
      </c>
      <c r="AD189" s="399">
        <v>0</v>
      </c>
      <c r="AE189" s="399">
        <v>0</v>
      </c>
      <c r="AF189" s="399">
        <v>405.53648075440464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26.62757787355023</v>
      </c>
      <c r="AM189" s="399"/>
      <c r="AN189" s="399">
        <v>1.3975000512879987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17.517995526094698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423.05447628049933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591.89840000000004</v>
      </c>
      <c r="CJ189" s="399">
        <v>-9.2120799999999008</v>
      </c>
      <c r="CK189" s="399"/>
      <c r="CL189" s="399"/>
      <c r="CM189" s="399"/>
      <c r="CN189" s="399"/>
      <c r="CO189" s="399">
        <v>-26.002079999999992</v>
      </c>
      <c r="CP189" s="399">
        <v>16.398720000000008</v>
      </c>
      <c r="CQ189" s="399"/>
      <c r="CR189" s="399">
        <v>-9.6106301513680137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0</v>
      </c>
      <c r="DA189" s="399">
        <v>0</v>
      </c>
      <c r="DB189" s="399">
        <v>0</v>
      </c>
      <c r="DC189" s="399">
        <v>16.398137054538779</v>
      </c>
      <c r="DD189" s="399">
        <v>0</v>
      </c>
      <c r="DE189" s="399">
        <v>0</v>
      </c>
      <c r="DF189" s="399">
        <v>0</v>
      </c>
      <c r="DG189" s="399">
        <v>0.70835178877932492</v>
      </c>
      <c r="DH189" s="399">
        <v>0</v>
      </c>
      <c r="DI189" s="399">
        <v>-23.044686762077987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-3.5037781096368441</v>
      </c>
      <c r="DP189" s="399">
        <v>-0.16865412297134541</v>
      </c>
      <c r="DQ189" s="399">
        <v>0</v>
      </c>
      <c r="DR189" s="399">
        <v>0</v>
      </c>
      <c r="DS189" s="399"/>
      <c r="DT189" s="399"/>
      <c r="DU189" s="399"/>
      <c r="DV189" s="399">
        <v>0</v>
      </c>
      <c r="DW189" s="399">
        <v>0</v>
      </c>
      <c r="DX189" s="399">
        <v>0</v>
      </c>
      <c r="DY189" s="399">
        <v>-26.002079999999978</v>
      </c>
      <c r="DZ189" s="399">
        <v>16.398720000000026</v>
      </c>
      <c r="EA189" s="399">
        <v>0</v>
      </c>
      <c r="EB189" s="399">
        <v>0</v>
      </c>
      <c r="EC189" s="399">
        <v>0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225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957</v>
      </c>
      <c r="C190" s="399" t="s">
        <v>2366</v>
      </c>
      <c r="D190" s="399" t="s">
        <v>534</v>
      </c>
      <c r="E190" s="399" t="s">
        <v>2370</v>
      </c>
      <c r="F190" s="399" t="s">
        <v>1240</v>
      </c>
      <c r="G190" s="399" t="s">
        <v>1240</v>
      </c>
      <c r="H190" s="399" t="s">
        <v>1240</v>
      </c>
      <c r="I190" s="399" t="s">
        <v>1240</v>
      </c>
      <c r="J190" s="399" t="s">
        <v>2358</v>
      </c>
      <c r="K190" s="789">
        <v>44531</v>
      </c>
      <c r="L190" s="399">
        <v>75</v>
      </c>
      <c r="M190" s="399">
        <v>75</v>
      </c>
      <c r="N190" s="399">
        <v>0</v>
      </c>
      <c r="O190" s="399">
        <v>0</v>
      </c>
      <c r="P190" s="399">
        <v>0</v>
      </c>
      <c r="Q190" s="399">
        <v>0</v>
      </c>
      <c r="R190" s="399">
        <v>34.950000000000003</v>
      </c>
      <c r="S190" s="399"/>
      <c r="T190" s="399"/>
      <c r="U190" s="399">
        <v>2621.25</v>
      </c>
      <c r="V190" s="399"/>
      <c r="W190" s="399">
        <v>2621.25</v>
      </c>
      <c r="X190" s="399">
        <v>2585.9999999999995</v>
      </c>
      <c r="Y190" s="399">
        <v>0</v>
      </c>
      <c r="Z190" s="399">
        <v>0</v>
      </c>
      <c r="AA190" s="399">
        <v>0</v>
      </c>
      <c r="AB190" s="399">
        <v>0</v>
      </c>
      <c r="AC190" s="399">
        <v>0</v>
      </c>
      <c r="AD190" s="399">
        <v>950.23346335777501</v>
      </c>
      <c r="AE190" s="399">
        <v>1671.3605994444974</v>
      </c>
      <c r="AF190" s="399"/>
      <c r="AG190" s="399"/>
      <c r="AH190" s="399"/>
      <c r="AI190" s="399">
        <v>0</v>
      </c>
      <c r="AJ190" s="399">
        <v>0</v>
      </c>
      <c r="AK190" s="399">
        <v>0</v>
      </c>
      <c r="AL190" s="399">
        <v>0</v>
      </c>
      <c r="AM190" s="399"/>
      <c r="AN190" s="399">
        <v>0</v>
      </c>
      <c r="AO190" s="399">
        <v>0</v>
      </c>
      <c r="AP190" s="399">
        <v>0</v>
      </c>
      <c r="AQ190" s="399">
        <v>0</v>
      </c>
      <c r="AR190" s="399">
        <v>0</v>
      </c>
      <c r="AS190" s="399"/>
      <c r="AT190" s="399"/>
      <c r="AU190" s="399">
        <v>0</v>
      </c>
      <c r="AV190" s="399">
        <v>0</v>
      </c>
      <c r="AW190" s="399">
        <v>0</v>
      </c>
      <c r="AX190" s="399"/>
      <c r="AY190" s="399"/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/>
      <c r="BG190" s="399">
        <v>0</v>
      </c>
      <c r="BH190" s="399">
        <v>0</v>
      </c>
      <c r="BI190" s="399">
        <v>24.43</v>
      </c>
      <c r="BJ190" s="399">
        <v>112.77</v>
      </c>
      <c r="BK190" s="399">
        <v>798.73</v>
      </c>
      <c r="BL190" s="399">
        <v>1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0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2585.9999999999995</v>
      </c>
      <c r="CJ190" s="399">
        <v>-35.28000000000111</v>
      </c>
      <c r="CK190" s="399"/>
      <c r="CL190" s="399"/>
      <c r="CM190" s="399"/>
      <c r="CN190" s="399"/>
      <c r="CO190" s="399">
        <v>-35.250000000000448</v>
      </c>
      <c r="CP190" s="399">
        <v>0</v>
      </c>
      <c r="CQ190" s="399"/>
      <c r="CR190" s="399">
        <v>39.768554794177476</v>
      </c>
      <c r="CS190" s="399">
        <v>0</v>
      </c>
      <c r="CT190" s="399">
        <v>0</v>
      </c>
      <c r="CU190" s="399">
        <v>0</v>
      </c>
      <c r="CV190" s="399">
        <v>0</v>
      </c>
      <c r="CW190" s="399"/>
      <c r="CX190" s="399"/>
      <c r="CY190" s="399"/>
      <c r="CZ190" s="399">
        <v>39.768554794177476</v>
      </c>
      <c r="DA190" s="399">
        <v>0</v>
      </c>
      <c r="DB190" s="399">
        <v>0</v>
      </c>
      <c r="DC190" s="399"/>
      <c r="DD190" s="399"/>
      <c r="DE190" s="399">
        <v>0</v>
      </c>
      <c r="DF190" s="399">
        <v>0</v>
      </c>
      <c r="DG190" s="399">
        <v>0</v>
      </c>
      <c r="DH190" s="399">
        <v>0</v>
      </c>
      <c r="DI190" s="399">
        <v>0</v>
      </c>
      <c r="DJ190" s="399"/>
      <c r="DK190" s="399">
        <v>0</v>
      </c>
      <c r="DL190" s="399">
        <v>0</v>
      </c>
      <c r="DM190" s="399"/>
      <c r="DN190" s="399">
        <v>0</v>
      </c>
      <c r="DO190" s="399">
        <v>0</v>
      </c>
      <c r="DP190" s="399">
        <v>0</v>
      </c>
      <c r="DQ190" s="399">
        <v>0</v>
      </c>
      <c r="DR190" s="399">
        <v>0</v>
      </c>
      <c r="DS190" s="399"/>
      <c r="DT190" s="399"/>
      <c r="DU190" s="399">
        <v>1671.3605994444974</v>
      </c>
      <c r="DV190" s="399"/>
      <c r="DW190" s="399">
        <v>0</v>
      </c>
      <c r="DX190" s="399">
        <v>0</v>
      </c>
      <c r="DY190" s="399">
        <v>-35.250000000000455</v>
      </c>
      <c r="DZ190" s="399"/>
      <c r="EA190" s="399">
        <v>0</v>
      </c>
      <c r="EB190" s="399"/>
      <c r="EC190" s="399">
        <v>-75.273452581462379</v>
      </c>
      <c r="ED190" s="399"/>
      <c r="EE190" s="399">
        <v>0</v>
      </c>
      <c r="EF190" s="399">
        <v>0</v>
      </c>
      <c r="EG190" s="399"/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/>
      <c r="EN190" s="399"/>
      <c r="EO190" s="399">
        <v>0</v>
      </c>
      <c r="EP190" s="399">
        <v>0</v>
      </c>
      <c r="EQ190" s="399"/>
      <c r="ER190" s="399">
        <v>0</v>
      </c>
      <c r="ES190" s="399"/>
      <c r="ET190" s="399">
        <v>0</v>
      </c>
      <c r="EU190" s="399"/>
      <c r="EV190" s="399">
        <v>225</v>
      </c>
      <c r="EW190" s="399"/>
      <c r="EX190" s="399"/>
      <c r="EY190" s="399"/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957</v>
      </c>
      <c r="C191" s="399" t="s">
        <v>2357</v>
      </c>
      <c r="D191" s="399" t="s">
        <v>2371</v>
      </c>
      <c r="E191" s="399" t="s">
        <v>2372</v>
      </c>
      <c r="F191" s="399" t="s">
        <v>2373</v>
      </c>
      <c r="G191" s="399" t="s">
        <v>1240</v>
      </c>
      <c r="H191" s="399" t="s">
        <v>1240</v>
      </c>
      <c r="I191" s="399" t="s">
        <v>1240</v>
      </c>
      <c r="J191" s="399" t="s">
        <v>2358</v>
      </c>
      <c r="K191" s="789">
        <v>44531</v>
      </c>
      <c r="L191" s="399">
        <v>0</v>
      </c>
      <c r="M191" s="399">
        <v>0</v>
      </c>
      <c r="N191" s="399">
        <v>359.423</v>
      </c>
      <c r="O191" s="399">
        <v>359.423</v>
      </c>
      <c r="P191" s="399">
        <v>359.423</v>
      </c>
      <c r="Q191" s="399">
        <v>359.423</v>
      </c>
      <c r="R191" s="399"/>
      <c r="S191" s="399">
        <v>287.3</v>
      </c>
      <c r="T191" s="399">
        <v>79.430000000000007</v>
      </c>
      <c r="U191" s="399"/>
      <c r="V191" s="399">
        <v>131811.19679000002</v>
      </c>
      <c r="W191" s="399">
        <v>131811.19679000002</v>
      </c>
      <c r="X191" s="399">
        <v>128838.76857999999</v>
      </c>
      <c r="Y191" s="399">
        <v>0</v>
      </c>
      <c r="Z191" s="399">
        <v>12137.907536590763</v>
      </c>
      <c r="AA191" s="399">
        <v>0</v>
      </c>
      <c r="AB191" s="399">
        <v>0</v>
      </c>
      <c r="AC191" s="399">
        <v>0</v>
      </c>
      <c r="AD191" s="399">
        <v>20156.445219785335</v>
      </c>
      <c r="AE191" s="399">
        <v>65612.298487785083</v>
      </c>
      <c r="AF191" s="399">
        <v>28549.688813107165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1874.5762667823267</v>
      </c>
      <c r="AM191" s="399"/>
      <c r="AN191" s="399">
        <v>287.59962936686696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3194.2203684313117</v>
      </c>
      <c r="BH191" s="399">
        <v>0</v>
      </c>
      <c r="BI191" s="399">
        <v>1148.17</v>
      </c>
      <c r="BJ191" s="399">
        <v>5299.34</v>
      </c>
      <c r="BK191" s="399">
        <v>58881.64</v>
      </c>
      <c r="BL191" s="399">
        <v>6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31743.909181538475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128837.69320000001</v>
      </c>
      <c r="CJ191" s="399">
        <v>-2973.5335899999773</v>
      </c>
      <c r="CK191" s="399"/>
      <c r="CL191" s="399"/>
      <c r="CM191" s="399"/>
      <c r="CN191" s="399"/>
      <c r="CO191" s="399">
        <v>-4126.1760400000067</v>
      </c>
      <c r="CP191" s="399">
        <v>1153.7478299999977</v>
      </c>
      <c r="CQ191" s="399"/>
      <c r="CR191" s="399">
        <v>-18.973334724985762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843.57447626228532</v>
      </c>
      <c r="DA191" s="399">
        <v>0</v>
      </c>
      <c r="DB191" s="399">
        <v>0</v>
      </c>
      <c r="DC191" s="399">
        <v>1154.4256367535636</v>
      </c>
      <c r="DD191" s="399">
        <v>0</v>
      </c>
      <c r="DE191" s="399">
        <v>0</v>
      </c>
      <c r="DF191" s="399">
        <v>0</v>
      </c>
      <c r="DG191" s="399">
        <v>129.16042296981732</v>
      </c>
      <c r="DH191" s="399">
        <v>0</v>
      </c>
      <c r="DI191" s="399">
        <v>-1864.760269323886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-246.66529263710663</v>
      </c>
      <c r="DP191" s="399">
        <v>-34.708308749648324</v>
      </c>
      <c r="DQ191" s="399">
        <v>0</v>
      </c>
      <c r="DR191" s="399">
        <v>0</v>
      </c>
      <c r="DS191" s="399"/>
      <c r="DT191" s="399"/>
      <c r="DU191" s="399"/>
      <c r="DV191" s="399">
        <v>65612.298487785083</v>
      </c>
      <c r="DW191" s="399">
        <v>0</v>
      </c>
      <c r="DX191" s="399">
        <v>0</v>
      </c>
      <c r="DY191" s="399">
        <v>-4126.1760400000057</v>
      </c>
      <c r="DZ191" s="399">
        <v>1153.7478299999966</v>
      </c>
      <c r="EA191" s="399">
        <v>0</v>
      </c>
      <c r="EB191" s="399">
        <v>0</v>
      </c>
      <c r="EC191" s="399">
        <v>-2954.9962112440771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225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957</v>
      </c>
      <c r="C192" s="399" t="s">
        <v>2357</v>
      </c>
      <c r="D192" s="399" t="s">
        <v>1826</v>
      </c>
      <c r="E192" s="399" t="s">
        <v>922</v>
      </c>
      <c r="F192" s="399" t="s">
        <v>2374</v>
      </c>
      <c r="G192" s="399" t="s">
        <v>1240</v>
      </c>
      <c r="H192" s="399" t="s">
        <v>1240</v>
      </c>
      <c r="I192" s="399" t="s">
        <v>1240</v>
      </c>
      <c r="J192" s="399" t="s">
        <v>2358</v>
      </c>
      <c r="K192" s="789">
        <v>44531</v>
      </c>
      <c r="L192" s="399">
        <v>0</v>
      </c>
      <c r="M192" s="399">
        <v>0</v>
      </c>
      <c r="N192" s="399">
        <v>18.302</v>
      </c>
      <c r="O192" s="399">
        <v>17.203880000000002</v>
      </c>
      <c r="P192" s="399">
        <v>18.302</v>
      </c>
      <c r="Q192" s="399">
        <v>17.203880000000002</v>
      </c>
      <c r="R192" s="399"/>
      <c r="S192" s="399">
        <v>522.37</v>
      </c>
      <c r="T192" s="399">
        <v>144.41999999999999</v>
      </c>
      <c r="U192" s="399"/>
      <c r="V192" s="399">
        <v>12203.59058</v>
      </c>
      <c r="W192" s="399">
        <v>12203.59058</v>
      </c>
      <c r="X192" s="399">
        <v>11928.145479999999</v>
      </c>
      <c r="Y192" s="399">
        <v>0</v>
      </c>
      <c r="Z192" s="399">
        <v>1123.7606524127646</v>
      </c>
      <c r="AA192" s="399">
        <v>0</v>
      </c>
      <c r="AB192" s="399">
        <v>0</v>
      </c>
      <c r="AC192" s="399">
        <v>0</v>
      </c>
      <c r="AD192" s="399">
        <v>1866.1387856370359</v>
      </c>
      <c r="AE192" s="399">
        <v>6074.5659111886816</v>
      </c>
      <c r="AF192" s="399">
        <v>2643.2082160851546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173.5533939607252</v>
      </c>
      <c r="AM192" s="399"/>
      <c r="AN192" s="399">
        <v>26.626759691214083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295.72965145413502</v>
      </c>
      <c r="BH192" s="399">
        <v>0</v>
      </c>
      <c r="BI192" s="399">
        <v>84.82</v>
      </c>
      <c r="BJ192" s="399">
        <v>392.65</v>
      </c>
      <c r="BK192" s="399">
        <v>4582.7</v>
      </c>
      <c r="BL192" s="399">
        <v>35</v>
      </c>
      <c r="BM192" s="399"/>
      <c r="BN192" s="399"/>
      <c r="BO192" s="399"/>
      <c r="BP192" s="399"/>
      <c r="BQ192" s="399">
        <v>715.68872879999867</v>
      </c>
      <c r="BR192" s="399"/>
      <c r="BS192" s="399"/>
      <c r="BT192" s="399"/>
      <c r="BU192" s="399"/>
      <c r="BV192" s="399">
        <v>2938.9378675392895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11209.928</v>
      </c>
      <c r="CJ192" s="399">
        <v>-261.47714520000227</v>
      </c>
      <c r="CK192" s="399"/>
      <c r="CL192" s="399"/>
      <c r="CM192" s="399"/>
      <c r="CN192" s="399"/>
      <c r="CO192" s="399">
        <v>-382.32877999999977</v>
      </c>
      <c r="CP192" s="399">
        <v>106.88368000000006</v>
      </c>
      <c r="CQ192" s="399"/>
      <c r="CR192" s="399">
        <v>-1.7566031825872415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78.100430485700144</v>
      </c>
      <c r="DA192" s="399">
        <v>0</v>
      </c>
      <c r="DB192" s="399">
        <v>0</v>
      </c>
      <c r="DC192" s="399">
        <v>106.87988047441877</v>
      </c>
      <c r="DD192" s="399">
        <v>0</v>
      </c>
      <c r="DE192" s="399">
        <v>0</v>
      </c>
      <c r="DF192" s="399">
        <v>0</v>
      </c>
      <c r="DG192" s="399">
        <v>11.95802495157568</v>
      </c>
      <c r="DH192" s="399">
        <v>0</v>
      </c>
      <c r="DI192" s="399">
        <v>-172.64460208908577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-22.836946923993423</v>
      </c>
      <c r="DP192" s="399">
        <v>-3.2133900812035989</v>
      </c>
      <c r="DQ192" s="399">
        <v>0</v>
      </c>
      <c r="DR192" s="399">
        <v>0</v>
      </c>
      <c r="DS192" s="399"/>
      <c r="DT192" s="399"/>
      <c r="DU192" s="399"/>
      <c r="DV192" s="399">
        <v>6074.5659111886816</v>
      </c>
      <c r="DW192" s="399">
        <v>0</v>
      </c>
      <c r="DX192" s="399">
        <v>0</v>
      </c>
      <c r="DY192" s="399">
        <v>-382.32877999999982</v>
      </c>
      <c r="DZ192" s="399">
        <v>106.88367999999991</v>
      </c>
      <c r="EA192" s="399">
        <v>0</v>
      </c>
      <c r="EB192" s="399">
        <v>0</v>
      </c>
      <c r="EC192" s="399">
        <v>-273.58162518658264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225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957</v>
      </c>
      <c r="C193" s="399" t="s">
        <v>2366</v>
      </c>
      <c r="D193" s="399" t="s">
        <v>534</v>
      </c>
      <c r="E193" s="399" t="s">
        <v>922</v>
      </c>
      <c r="F193" s="399" t="s">
        <v>2374</v>
      </c>
      <c r="G193" s="399" t="s">
        <v>1240</v>
      </c>
      <c r="H193" s="399" t="s">
        <v>1240</v>
      </c>
      <c r="I193" s="399" t="s">
        <v>894</v>
      </c>
      <c r="J193" s="399" t="s">
        <v>2358</v>
      </c>
      <c r="K193" s="789">
        <v>44531</v>
      </c>
      <c r="L193" s="399">
        <v>0</v>
      </c>
      <c r="M193" s="399">
        <v>0</v>
      </c>
      <c r="N193" s="399">
        <v>0.40400000000000003</v>
      </c>
      <c r="O193" s="399">
        <v>0.37975999999999999</v>
      </c>
      <c r="P193" s="399">
        <v>0.40400000000000003</v>
      </c>
      <c r="Q193" s="399">
        <v>0.37975999999999999</v>
      </c>
      <c r="R193" s="399"/>
      <c r="S193" s="399">
        <v>2740.31</v>
      </c>
      <c r="T193" s="399">
        <v>144.41999999999999</v>
      </c>
      <c r="U193" s="399"/>
      <c r="V193" s="399">
        <v>1165.43092</v>
      </c>
      <c r="W193" s="399">
        <v>1165.43092</v>
      </c>
      <c r="X193" s="399">
        <v>1141.8736800000001</v>
      </c>
      <c r="Y193" s="399">
        <v>0</v>
      </c>
      <c r="Z193" s="399">
        <v>21.581214845920588</v>
      </c>
      <c r="AA193" s="399">
        <v>0</v>
      </c>
      <c r="AB193" s="399">
        <v>0</v>
      </c>
      <c r="AC193" s="399">
        <v>0</v>
      </c>
      <c r="AD193" s="399">
        <v>304.07577655193182</v>
      </c>
      <c r="AE193" s="399">
        <v>774.87505666221841</v>
      </c>
      <c r="AF193" s="399">
        <v>58.346416746716343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3.831033283801387</v>
      </c>
      <c r="AM193" s="399"/>
      <c r="AN193" s="399">
        <v>0.20106482219385738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2.5203953677144795</v>
      </c>
      <c r="BH193" s="399">
        <v>0</v>
      </c>
      <c r="BI193" s="399">
        <v>0</v>
      </c>
      <c r="BJ193" s="399">
        <v>0</v>
      </c>
      <c r="BK193" s="399">
        <v>0</v>
      </c>
      <c r="BL193" s="399">
        <v>0</v>
      </c>
      <c r="BM193" s="399"/>
      <c r="BN193" s="399"/>
      <c r="BO193" s="399"/>
      <c r="BP193" s="399"/>
      <c r="BQ193" s="399">
        <v>68.5124208000001</v>
      </c>
      <c r="BR193" s="399"/>
      <c r="BS193" s="399"/>
      <c r="BT193" s="399"/>
      <c r="BU193" s="399"/>
      <c r="BV193" s="399">
        <v>60.866812114430822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1074.0396000000001</v>
      </c>
      <c r="CJ193" s="399">
        <v>-21.495464799999809</v>
      </c>
      <c r="CK193" s="399"/>
      <c r="CL193" s="399"/>
      <c r="CM193" s="399"/>
      <c r="CN193" s="399"/>
      <c r="CO193" s="399">
        <v>-25.916600000000038</v>
      </c>
      <c r="CP193" s="399">
        <v>2.3593600000000015</v>
      </c>
      <c r="CQ193" s="399"/>
      <c r="CR193" s="399">
        <v>11.343256252553488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12.725982242992472</v>
      </c>
      <c r="DA193" s="399">
        <v>0</v>
      </c>
      <c r="DB193" s="399">
        <v>0</v>
      </c>
      <c r="DC193" s="399">
        <v>2.3592761289293662</v>
      </c>
      <c r="DD193" s="399">
        <v>0</v>
      </c>
      <c r="DE193" s="399">
        <v>0</v>
      </c>
      <c r="DF193" s="399">
        <v>0</v>
      </c>
      <c r="DG193" s="399">
        <v>0.10191386134859259</v>
      </c>
      <c r="DH193" s="399">
        <v>0</v>
      </c>
      <c r="DI193" s="399">
        <v>-3.3155461010966896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-0.50410482773977394</v>
      </c>
      <c r="DP193" s="399">
        <v>-2.4265051880492716E-2</v>
      </c>
      <c r="DQ193" s="399">
        <v>0</v>
      </c>
      <c r="DR193" s="399">
        <v>0</v>
      </c>
      <c r="DS193" s="399"/>
      <c r="DT193" s="399"/>
      <c r="DU193" s="399"/>
      <c r="DV193" s="399">
        <v>774.87505666221841</v>
      </c>
      <c r="DW193" s="399">
        <v>0</v>
      </c>
      <c r="DX193" s="399">
        <v>0</v>
      </c>
      <c r="DY193" s="399">
        <v>-25.916600000000017</v>
      </c>
      <c r="DZ193" s="399">
        <v>2.3593599999999952</v>
      </c>
      <c r="EA193" s="399">
        <v>0</v>
      </c>
      <c r="EB193" s="399">
        <v>0</v>
      </c>
      <c r="EC193" s="399">
        <v>-34.898226542861948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225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957</v>
      </c>
      <c r="C194" s="399" t="s">
        <v>2366</v>
      </c>
      <c r="D194" s="399" t="s">
        <v>534</v>
      </c>
      <c r="E194" s="399" t="s">
        <v>922</v>
      </c>
      <c r="F194" s="399" t="s">
        <v>2374</v>
      </c>
      <c r="G194" s="399" t="s">
        <v>1240</v>
      </c>
      <c r="H194" s="399" t="s">
        <v>1240</v>
      </c>
      <c r="I194" s="399" t="s">
        <v>2328</v>
      </c>
      <c r="J194" s="399" t="s">
        <v>2358</v>
      </c>
      <c r="K194" s="789">
        <v>44531</v>
      </c>
      <c r="L194" s="399">
        <v>0</v>
      </c>
      <c r="M194" s="399">
        <v>0</v>
      </c>
      <c r="N194" s="399">
        <v>2.33</v>
      </c>
      <c r="O194" s="399">
        <v>2.1901999999999999</v>
      </c>
      <c r="P194" s="399">
        <v>2.33</v>
      </c>
      <c r="Q194" s="399">
        <v>2.1901999999999999</v>
      </c>
      <c r="R194" s="399"/>
      <c r="S194" s="399">
        <v>69.64</v>
      </c>
      <c r="T194" s="399">
        <v>144.41999999999999</v>
      </c>
      <c r="U194" s="399"/>
      <c r="V194" s="399">
        <v>498.75979999999993</v>
      </c>
      <c r="W194" s="399">
        <v>498.75979999999993</v>
      </c>
      <c r="X194" s="399">
        <v>490.7912</v>
      </c>
      <c r="Y194" s="399">
        <v>0</v>
      </c>
      <c r="Z194" s="399">
        <v>124.46591730444298</v>
      </c>
      <c r="AA194" s="399">
        <v>0</v>
      </c>
      <c r="AB194" s="399">
        <v>0</v>
      </c>
      <c r="AC194" s="399">
        <v>0</v>
      </c>
      <c r="AD194" s="399">
        <v>0</v>
      </c>
      <c r="AE194" s="399">
        <v>0</v>
      </c>
      <c r="AF194" s="399">
        <v>336.50284905903237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22.094820671428788</v>
      </c>
      <c r="AM194" s="399"/>
      <c r="AN194" s="399">
        <v>1.1596065240388309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14.535943581125586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>
        <v>29.44747200000003</v>
      </c>
      <c r="BR194" s="399"/>
      <c r="BS194" s="399"/>
      <c r="BT194" s="399"/>
      <c r="BU194" s="399"/>
      <c r="BV194" s="399">
        <v>351.03879264015796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461.30160000000001</v>
      </c>
      <c r="CJ194" s="399">
        <v>-7.5626119999999446</v>
      </c>
      <c r="CK194" s="399"/>
      <c r="CL194" s="399"/>
      <c r="CM194" s="399"/>
      <c r="CN194" s="399"/>
      <c r="CO194" s="399">
        <v>-21.575799999999997</v>
      </c>
      <c r="CP194" s="399">
        <v>13.607200000000008</v>
      </c>
      <c r="CQ194" s="399"/>
      <c r="CR194" s="399">
        <v>-7.9746325686210184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0</v>
      </c>
      <c r="DA194" s="399">
        <v>0</v>
      </c>
      <c r="DB194" s="399">
        <v>0</v>
      </c>
      <c r="DC194" s="399">
        <v>13.606716288132247</v>
      </c>
      <c r="DD194" s="399">
        <v>0</v>
      </c>
      <c r="DE194" s="399">
        <v>0</v>
      </c>
      <c r="DF194" s="399">
        <v>0</v>
      </c>
      <c r="DG194" s="399">
        <v>0.58777053698569404</v>
      </c>
      <c r="DH194" s="399">
        <v>0</v>
      </c>
      <c r="DI194" s="399">
        <v>-19.121837662265563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-2.9073372490932492</v>
      </c>
      <c r="DP194" s="399">
        <v>-0.13994448238006929</v>
      </c>
      <c r="DQ194" s="399">
        <v>0</v>
      </c>
      <c r="DR194" s="399">
        <v>0</v>
      </c>
      <c r="DS194" s="399"/>
      <c r="DT194" s="399"/>
      <c r="DU194" s="399"/>
      <c r="DV194" s="399">
        <v>0</v>
      </c>
      <c r="DW194" s="399">
        <v>0</v>
      </c>
      <c r="DX194" s="399">
        <v>0</v>
      </c>
      <c r="DY194" s="399">
        <v>-21.575799999999987</v>
      </c>
      <c r="DZ194" s="399">
        <v>13.607200000000034</v>
      </c>
      <c r="EA194" s="399">
        <v>0</v>
      </c>
      <c r="EB194" s="399">
        <v>0</v>
      </c>
      <c r="EC194" s="399">
        <v>0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225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957</v>
      </c>
      <c r="C195" s="399" t="s">
        <v>2366</v>
      </c>
      <c r="D195" s="399" t="s">
        <v>534</v>
      </c>
      <c r="E195" s="399" t="s">
        <v>922</v>
      </c>
      <c r="F195" s="399" t="s">
        <v>2374</v>
      </c>
      <c r="G195" s="399" t="s">
        <v>1240</v>
      </c>
      <c r="H195" s="399" t="s">
        <v>1240</v>
      </c>
      <c r="I195" s="399" t="s">
        <v>1240</v>
      </c>
      <c r="J195" s="399" t="s">
        <v>2358</v>
      </c>
      <c r="K195" s="789">
        <v>44531</v>
      </c>
      <c r="L195" s="399">
        <v>30</v>
      </c>
      <c r="M195" s="399">
        <v>28.2</v>
      </c>
      <c r="N195" s="399">
        <v>0</v>
      </c>
      <c r="O195" s="399">
        <v>0</v>
      </c>
      <c r="P195" s="399">
        <v>0</v>
      </c>
      <c r="Q195" s="399">
        <v>0</v>
      </c>
      <c r="R195" s="399">
        <v>34.950000000000003</v>
      </c>
      <c r="S195" s="399"/>
      <c r="T195" s="399"/>
      <c r="U195" s="399">
        <v>1048.5</v>
      </c>
      <c r="V195" s="399"/>
      <c r="W195" s="399">
        <v>1048.5</v>
      </c>
      <c r="X195" s="399">
        <v>1034.3999999999999</v>
      </c>
      <c r="Y195" s="399">
        <v>0</v>
      </c>
      <c r="Z195" s="399">
        <v>0</v>
      </c>
      <c r="AA195" s="399">
        <v>0</v>
      </c>
      <c r="AB195" s="399">
        <v>0</v>
      </c>
      <c r="AC195" s="399">
        <v>0</v>
      </c>
      <c r="AD195" s="399">
        <v>380.09338534310996</v>
      </c>
      <c r="AE195" s="399">
        <v>668.54423977779902</v>
      </c>
      <c r="AF195" s="399"/>
      <c r="AG195" s="399"/>
      <c r="AH195" s="399"/>
      <c r="AI195" s="399">
        <v>0</v>
      </c>
      <c r="AJ195" s="399">
        <v>0</v>
      </c>
      <c r="AK195" s="399">
        <v>0</v>
      </c>
      <c r="AL195" s="399">
        <v>0</v>
      </c>
      <c r="AM195" s="399"/>
      <c r="AN195" s="399">
        <v>0</v>
      </c>
      <c r="AO195" s="399">
        <v>0</v>
      </c>
      <c r="AP195" s="399">
        <v>0</v>
      </c>
      <c r="AQ195" s="399">
        <v>0</v>
      </c>
      <c r="AR195" s="399">
        <v>0</v>
      </c>
      <c r="AS195" s="399"/>
      <c r="AT195" s="399"/>
      <c r="AU195" s="399">
        <v>0</v>
      </c>
      <c r="AV195" s="399">
        <v>0</v>
      </c>
      <c r="AW195" s="399">
        <v>0</v>
      </c>
      <c r="AX195" s="399"/>
      <c r="AY195" s="399"/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/>
      <c r="BG195" s="399">
        <v>0</v>
      </c>
      <c r="BH195" s="399">
        <v>0</v>
      </c>
      <c r="BI195" s="399">
        <v>18.37</v>
      </c>
      <c r="BJ195" s="399">
        <v>84.81</v>
      </c>
      <c r="BK195" s="399">
        <v>750.12</v>
      </c>
      <c r="BL195" s="399">
        <v>1</v>
      </c>
      <c r="BM195" s="399"/>
      <c r="BN195" s="399"/>
      <c r="BO195" s="399"/>
      <c r="BP195" s="399"/>
      <c r="BQ195" s="399">
        <v>62.064000000000021</v>
      </c>
      <c r="BR195" s="399"/>
      <c r="BS195" s="399"/>
      <c r="BT195" s="399"/>
      <c r="BU195" s="399"/>
      <c r="BV195" s="399">
        <v>0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972.3359999999999</v>
      </c>
      <c r="CJ195" s="399">
        <v>-13.284000000000106</v>
      </c>
      <c r="CK195" s="399"/>
      <c r="CL195" s="399"/>
      <c r="CM195" s="399"/>
      <c r="CN195" s="399"/>
      <c r="CO195" s="399">
        <v>-14.100000000000179</v>
      </c>
      <c r="CP195" s="399">
        <v>0</v>
      </c>
      <c r="CQ195" s="399"/>
      <c r="CR195" s="399">
        <v>15.907421917671002</v>
      </c>
      <c r="CS195" s="399">
        <v>0</v>
      </c>
      <c r="CT195" s="399">
        <v>0</v>
      </c>
      <c r="CU195" s="399">
        <v>0</v>
      </c>
      <c r="CV195" s="399">
        <v>0</v>
      </c>
      <c r="CW195" s="399"/>
      <c r="CX195" s="399"/>
      <c r="CY195" s="399"/>
      <c r="CZ195" s="399">
        <v>15.907421917671002</v>
      </c>
      <c r="DA195" s="399">
        <v>0</v>
      </c>
      <c r="DB195" s="399">
        <v>0</v>
      </c>
      <c r="DC195" s="399"/>
      <c r="DD195" s="399"/>
      <c r="DE195" s="399">
        <v>0</v>
      </c>
      <c r="DF195" s="399">
        <v>0</v>
      </c>
      <c r="DG195" s="399">
        <v>0</v>
      </c>
      <c r="DH195" s="399">
        <v>0</v>
      </c>
      <c r="DI195" s="399">
        <v>0</v>
      </c>
      <c r="DJ195" s="399"/>
      <c r="DK195" s="399">
        <v>0</v>
      </c>
      <c r="DL195" s="399">
        <v>0</v>
      </c>
      <c r="DM195" s="399"/>
      <c r="DN195" s="399">
        <v>0</v>
      </c>
      <c r="DO195" s="399">
        <v>0</v>
      </c>
      <c r="DP195" s="399">
        <v>0</v>
      </c>
      <c r="DQ195" s="399">
        <v>0</v>
      </c>
      <c r="DR195" s="399">
        <v>0</v>
      </c>
      <c r="DS195" s="399"/>
      <c r="DT195" s="399"/>
      <c r="DU195" s="399">
        <v>668.54423977779902</v>
      </c>
      <c r="DV195" s="399"/>
      <c r="DW195" s="399">
        <v>0</v>
      </c>
      <c r="DX195" s="399">
        <v>0</v>
      </c>
      <c r="DY195" s="399">
        <v>-14.100000000000136</v>
      </c>
      <c r="DZ195" s="399"/>
      <c r="EA195" s="399">
        <v>0</v>
      </c>
      <c r="EB195" s="399"/>
      <c r="EC195" s="399">
        <v>-30.10938103258502</v>
      </c>
      <c r="ED195" s="399"/>
      <c r="EE195" s="399">
        <v>0</v>
      </c>
      <c r="EF195" s="399">
        <v>0</v>
      </c>
      <c r="EG195" s="399"/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/>
      <c r="EN195" s="399"/>
      <c r="EO195" s="399">
        <v>0</v>
      </c>
      <c r="EP195" s="399">
        <v>0</v>
      </c>
      <c r="EQ195" s="399"/>
      <c r="ER195" s="399">
        <v>0</v>
      </c>
      <c r="ES195" s="399"/>
      <c r="ET195" s="399">
        <v>0</v>
      </c>
      <c r="EU195" s="399"/>
      <c r="EV195" s="399">
        <v>225</v>
      </c>
      <c r="EW195" s="399"/>
      <c r="EX195" s="399"/>
      <c r="EY195" s="399"/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957</v>
      </c>
      <c r="C196" s="399" t="s">
        <v>2357</v>
      </c>
      <c r="D196" s="399" t="s">
        <v>1826</v>
      </c>
      <c r="E196" s="399" t="s">
        <v>2375</v>
      </c>
      <c r="F196" s="399" t="s">
        <v>1240</v>
      </c>
      <c r="G196" s="399" t="s">
        <v>1240</v>
      </c>
      <c r="H196" s="399" t="s">
        <v>1240</v>
      </c>
      <c r="I196" s="399" t="s">
        <v>1240</v>
      </c>
      <c r="J196" s="399" t="s">
        <v>2358</v>
      </c>
      <c r="K196" s="789">
        <v>44531</v>
      </c>
      <c r="L196" s="399">
        <v>0</v>
      </c>
      <c r="M196" s="399">
        <v>0</v>
      </c>
      <c r="N196" s="399">
        <v>8.6780000000000008</v>
      </c>
      <c r="O196" s="399">
        <v>8.6780000000000008</v>
      </c>
      <c r="P196" s="399">
        <v>8.6780000000000008</v>
      </c>
      <c r="Q196" s="399">
        <v>8.6780000000000008</v>
      </c>
      <c r="R196" s="399"/>
      <c r="S196" s="399">
        <v>522.37</v>
      </c>
      <c r="T196" s="399">
        <v>144.41999999999999</v>
      </c>
      <c r="U196" s="399"/>
      <c r="V196" s="399">
        <v>5786.40362</v>
      </c>
      <c r="W196" s="399">
        <v>5786.40362</v>
      </c>
      <c r="X196" s="399">
        <v>5655.7997200000009</v>
      </c>
      <c r="Y196" s="399">
        <v>0</v>
      </c>
      <c r="Z196" s="399">
        <v>532.83766482559133</v>
      </c>
      <c r="AA196" s="399">
        <v>0</v>
      </c>
      <c r="AB196" s="399">
        <v>0</v>
      </c>
      <c r="AC196" s="399">
        <v>0</v>
      </c>
      <c r="AD196" s="399">
        <v>884.84058473162497</v>
      </c>
      <c r="AE196" s="399">
        <v>2880.2908412903175</v>
      </c>
      <c r="AF196" s="399">
        <v>1253.2925854653574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82.291353556506024</v>
      </c>
      <c r="AM196" s="399"/>
      <c r="AN196" s="399">
        <v>12.625233340637955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140.22193833018162</v>
      </c>
      <c r="BH196" s="399">
        <v>0</v>
      </c>
      <c r="BI196" s="399">
        <v>0</v>
      </c>
      <c r="BJ196" s="399">
        <v>0</v>
      </c>
      <c r="BK196" s="399">
        <v>0</v>
      </c>
      <c r="BL196" s="399">
        <v>3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1393.5145237955389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5657.1032000000005</v>
      </c>
      <c r="CJ196" s="399">
        <v>-129.33042000000023</v>
      </c>
      <c r="CK196" s="399"/>
      <c r="CL196" s="399"/>
      <c r="CM196" s="399"/>
      <c r="CN196" s="399"/>
      <c r="CO196" s="399">
        <v>-181.28341999999989</v>
      </c>
      <c r="CP196" s="399">
        <v>50.679520000000032</v>
      </c>
      <c r="CQ196" s="399"/>
      <c r="CR196" s="399">
        <v>-0.83290363995729422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37.031774437488025</v>
      </c>
      <c r="DA196" s="399">
        <v>0</v>
      </c>
      <c r="DB196" s="399">
        <v>0</v>
      </c>
      <c r="DC196" s="399">
        <v>50.677718432794791</v>
      </c>
      <c r="DD196" s="399">
        <v>0</v>
      </c>
      <c r="DE196" s="399">
        <v>0</v>
      </c>
      <c r="DF196" s="399">
        <v>0</v>
      </c>
      <c r="DG196" s="399">
        <v>5.6699672456438464</v>
      </c>
      <c r="DH196" s="399">
        <v>0</v>
      </c>
      <c r="DI196" s="399">
        <v>-81.860444592344379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-10.828271522588508</v>
      </c>
      <c r="DP196" s="399">
        <v>-1.5236476409509816</v>
      </c>
      <c r="DQ196" s="399">
        <v>0</v>
      </c>
      <c r="DR196" s="399">
        <v>0</v>
      </c>
      <c r="DS196" s="399"/>
      <c r="DT196" s="399"/>
      <c r="DU196" s="399"/>
      <c r="DV196" s="399">
        <v>2880.2908412903175</v>
      </c>
      <c r="DW196" s="399">
        <v>0</v>
      </c>
      <c r="DX196" s="399">
        <v>0</v>
      </c>
      <c r="DY196" s="399">
        <v>-181.28341999999975</v>
      </c>
      <c r="DZ196" s="399">
        <v>50.679520000000139</v>
      </c>
      <c r="EA196" s="399">
        <v>0</v>
      </c>
      <c r="EB196" s="399">
        <v>0</v>
      </c>
      <c r="EC196" s="399">
        <v>-129.72032255322756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225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957</v>
      </c>
      <c r="C197" s="399" t="s">
        <v>2357</v>
      </c>
      <c r="D197" s="399" t="s">
        <v>2369</v>
      </c>
      <c r="E197" s="399" t="s">
        <v>895</v>
      </c>
      <c r="F197" s="399" t="s">
        <v>2376</v>
      </c>
      <c r="G197" s="399" t="s">
        <v>2377</v>
      </c>
      <c r="H197" s="399" t="s">
        <v>1240</v>
      </c>
      <c r="I197" s="399" t="s">
        <v>1240</v>
      </c>
      <c r="J197" s="399" t="s">
        <v>2358</v>
      </c>
      <c r="K197" s="789">
        <v>44531</v>
      </c>
      <c r="L197" s="399">
        <v>0</v>
      </c>
      <c r="M197" s="399">
        <v>0</v>
      </c>
      <c r="N197" s="399">
        <v>0</v>
      </c>
      <c r="O197" s="399">
        <v>0</v>
      </c>
      <c r="P197" s="399">
        <v>0</v>
      </c>
      <c r="Q197" s="399">
        <v>0</v>
      </c>
      <c r="R197" s="399"/>
      <c r="S197" s="399"/>
      <c r="T197" s="399"/>
      <c r="U197" s="399"/>
      <c r="V197" s="399"/>
      <c r="W197" s="399"/>
      <c r="X197" s="399"/>
      <c r="Y197" s="399"/>
      <c r="Z197" s="399"/>
      <c r="AA197" s="399">
        <v>0</v>
      </c>
      <c r="AB197" s="399"/>
      <c r="AC197" s="399"/>
      <c r="AD197" s="399"/>
      <c r="AE197" s="399"/>
      <c r="AF197" s="399"/>
      <c r="AG197" s="399"/>
      <c r="AH197" s="399"/>
      <c r="AI197" s="399"/>
      <c r="AJ197" s="399"/>
      <c r="AK197" s="399"/>
      <c r="AL197" s="399"/>
      <c r="AM197" s="399"/>
      <c r="AN197" s="399"/>
      <c r="AO197" s="399"/>
      <c r="AP197" s="399"/>
      <c r="AQ197" s="399"/>
      <c r="AR197" s="399"/>
      <c r="AS197" s="399"/>
      <c r="AT197" s="399"/>
      <c r="AU197" s="399"/>
      <c r="AV197" s="399"/>
      <c r="AW197" s="399"/>
      <c r="AX197" s="399"/>
      <c r="AY197" s="399"/>
      <c r="AZ197" s="399">
        <v>0</v>
      </c>
      <c r="BA197" s="399"/>
      <c r="BB197" s="399"/>
      <c r="BC197" s="399"/>
      <c r="BD197" s="399"/>
      <c r="BE197" s="399"/>
      <c r="BF197" s="399"/>
      <c r="BG197" s="399"/>
      <c r="BH197" s="399"/>
      <c r="BI197" s="399">
        <v>0</v>
      </c>
      <c r="BJ197" s="399">
        <v>0</v>
      </c>
      <c r="BK197" s="399">
        <v>1209.27</v>
      </c>
      <c r="BL197" s="399">
        <v>2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/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/>
      <c r="CJ197" s="399">
        <v>-0.03</v>
      </c>
      <c r="CK197" s="399"/>
      <c r="CL197" s="399"/>
      <c r="CM197" s="399"/>
      <c r="CN197" s="399"/>
      <c r="CO197" s="399">
        <v>0</v>
      </c>
      <c r="CP197" s="399">
        <v>0</v>
      </c>
      <c r="CQ197" s="399"/>
      <c r="CR197" s="399"/>
      <c r="CS197" s="399"/>
      <c r="CT197" s="399"/>
      <c r="CU197" s="399"/>
      <c r="CV197" s="399"/>
      <c r="CW197" s="399"/>
      <c r="CX197" s="399"/>
      <c r="CY197" s="399"/>
      <c r="CZ197" s="399"/>
      <c r="DA197" s="399"/>
      <c r="DB197" s="399"/>
      <c r="DC197" s="399"/>
      <c r="DD197" s="399"/>
      <c r="DE197" s="399"/>
      <c r="DF197" s="399"/>
      <c r="DG197" s="399"/>
      <c r="DH197" s="399"/>
      <c r="DI197" s="399"/>
      <c r="DJ197" s="399"/>
      <c r="DK197" s="399">
        <v>0</v>
      </c>
      <c r="DL197" s="399"/>
      <c r="DM197" s="399"/>
      <c r="DN197" s="399"/>
      <c r="DO197" s="399"/>
      <c r="DP197" s="399"/>
      <c r="DQ197" s="399"/>
      <c r="DR197" s="399"/>
      <c r="DS197" s="399"/>
      <c r="DT197" s="399"/>
      <c r="DU197" s="399"/>
      <c r="DV197" s="399"/>
      <c r="DW197" s="399"/>
      <c r="DX197" s="399"/>
      <c r="DY197" s="399"/>
      <c r="DZ197" s="399"/>
      <c r="EA197" s="399"/>
      <c r="EB197" s="399"/>
      <c r="EC197" s="399"/>
      <c r="ED197" s="399"/>
      <c r="EE197" s="399"/>
      <c r="EF197" s="399"/>
      <c r="EG197" s="399"/>
      <c r="EH197" s="399"/>
      <c r="EI197" s="399"/>
      <c r="EJ197" s="399"/>
      <c r="EK197" s="399"/>
      <c r="EL197" s="399"/>
      <c r="EM197" s="399"/>
      <c r="EN197" s="399"/>
      <c r="EO197" s="399"/>
      <c r="EP197" s="399"/>
      <c r="EQ197" s="399"/>
      <c r="ER197" s="399"/>
      <c r="ES197" s="399"/>
      <c r="ET197" s="399"/>
      <c r="EU197" s="399"/>
      <c r="EV197" s="399">
        <v>225</v>
      </c>
      <c r="EW197" s="399"/>
      <c r="EX197" s="399"/>
      <c r="EY197" s="399"/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957</v>
      </c>
      <c r="C198" s="399" t="s">
        <v>2357</v>
      </c>
      <c r="D198" s="399" t="s">
        <v>2369</v>
      </c>
      <c r="E198" s="399" t="s">
        <v>895</v>
      </c>
      <c r="F198" s="399" t="s">
        <v>2376</v>
      </c>
      <c r="G198" s="399" t="s">
        <v>2377</v>
      </c>
      <c r="H198" s="399" t="s">
        <v>1240</v>
      </c>
      <c r="I198" s="399" t="s">
        <v>1240</v>
      </c>
      <c r="J198" s="399" t="s">
        <v>2358</v>
      </c>
      <c r="K198" s="789">
        <v>44531</v>
      </c>
      <c r="L198" s="399">
        <v>0</v>
      </c>
      <c r="M198" s="399">
        <v>0</v>
      </c>
      <c r="N198" s="399">
        <v>3.3730000000000002</v>
      </c>
      <c r="O198" s="399">
        <v>3.3730000000000002</v>
      </c>
      <c r="P198" s="399">
        <v>3.3730000000000002</v>
      </c>
      <c r="Q198" s="399">
        <v>3.3730000000000002</v>
      </c>
      <c r="R198" s="399"/>
      <c r="S198" s="399">
        <v>522.37</v>
      </c>
      <c r="T198" s="399">
        <v>144.41999999999999</v>
      </c>
      <c r="U198" s="399"/>
      <c r="V198" s="399">
        <v>2249.0826700000002</v>
      </c>
      <c r="W198" s="399">
        <v>2249.0826700000002</v>
      </c>
      <c r="X198" s="399">
        <v>2198.3190199999999</v>
      </c>
      <c r="Y198" s="399">
        <v>0</v>
      </c>
      <c r="Z198" s="399">
        <v>207.10549014251202</v>
      </c>
      <c r="AA198" s="399">
        <v>0</v>
      </c>
      <c r="AB198" s="399">
        <v>0</v>
      </c>
      <c r="AC198" s="399">
        <v>0</v>
      </c>
      <c r="AD198" s="399">
        <v>343.92340312281294</v>
      </c>
      <c r="AE198" s="399">
        <v>1119.5230476690758</v>
      </c>
      <c r="AF198" s="399">
        <v>487.1348111056293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31.985334817480393</v>
      </c>
      <c r="AM198" s="399"/>
      <c r="AN198" s="399">
        <v>4.9072265565766102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54.502027885192739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>
        <v>263.76860000000011</v>
      </c>
      <c r="BS198" s="399"/>
      <c r="BT198" s="399"/>
      <c r="BU198" s="399"/>
      <c r="BV198" s="399">
        <v>541.63683899082207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1932.8298</v>
      </c>
      <c r="CJ198" s="399">
        <v>-46.375410000000329</v>
      </c>
      <c r="CK198" s="399"/>
      <c r="CL198" s="399"/>
      <c r="CM198" s="399"/>
      <c r="CN198" s="399"/>
      <c r="CO198" s="399">
        <v>-70.461969999999965</v>
      </c>
      <c r="CP198" s="399">
        <v>19.698320000000013</v>
      </c>
      <c r="CQ198" s="399"/>
      <c r="CR198" s="399">
        <v>-0.32373634219607084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14.393659273755134</v>
      </c>
      <c r="DA198" s="399">
        <v>0</v>
      </c>
      <c r="DB198" s="399">
        <v>0</v>
      </c>
      <c r="DC198" s="399">
        <v>19.697619759600855</v>
      </c>
      <c r="DD198" s="399">
        <v>0</v>
      </c>
      <c r="DE198" s="399">
        <v>0</v>
      </c>
      <c r="DF198" s="399">
        <v>0</v>
      </c>
      <c r="DG198" s="399">
        <v>2.2038257109422332</v>
      </c>
      <c r="DH198" s="399">
        <v>0</v>
      </c>
      <c r="DI198" s="399">
        <v>-31.817847385339633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-4.2087761979362845</v>
      </c>
      <c r="DP198" s="399">
        <v>-0.59221750321821442</v>
      </c>
      <c r="DQ198" s="399">
        <v>0</v>
      </c>
      <c r="DR198" s="399">
        <v>0</v>
      </c>
      <c r="DS198" s="399"/>
      <c r="DT198" s="399"/>
      <c r="DU198" s="399"/>
      <c r="DV198" s="399">
        <v>1119.5230476690758</v>
      </c>
      <c r="DW198" s="399">
        <v>0</v>
      </c>
      <c r="DX198" s="399">
        <v>0</v>
      </c>
      <c r="DY198" s="399">
        <v>-70.461970000000065</v>
      </c>
      <c r="DZ198" s="399">
        <v>19.698320000000024</v>
      </c>
      <c r="EA198" s="399">
        <v>0</v>
      </c>
      <c r="EB198" s="399">
        <v>0</v>
      </c>
      <c r="EC198" s="399">
        <v>-50.420217558427794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225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957</v>
      </c>
      <c r="C199" s="399" t="s">
        <v>2357</v>
      </c>
      <c r="D199" s="399" t="s">
        <v>2369</v>
      </c>
      <c r="E199" s="399" t="s">
        <v>895</v>
      </c>
      <c r="F199" s="399" t="s">
        <v>2376</v>
      </c>
      <c r="G199" s="399" t="s">
        <v>2378</v>
      </c>
      <c r="H199" s="399" t="s">
        <v>1240</v>
      </c>
      <c r="I199" s="399" t="s">
        <v>1240</v>
      </c>
      <c r="J199" s="399" t="s">
        <v>2358</v>
      </c>
      <c r="K199" s="789">
        <v>44531</v>
      </c>
      <c r="L199" s="399">
        <v>0</v>
      </c>
      <c r="M199" s="399">
        <v>0</v>
      </c>
      <c r="N199" s="399">
        <v>2.23</v>
      </c>
      <c r="O199" s="399">
        <v>0.89200000000000002</v>
      </c>
      <c r="P199" s="399">
        <v>2.23</v>
      </c>
      <c r="Q199" s="399">
        <v>0.89200000000000002</v>
      </c>
      <c r="R199" s="399"/>
      <c r="S199" s="399">
        <v>522.37</v>
      </c>
      <c r="T199" s="399">
        <v>144.41999999999999</v>
      </c>
      <c r="U199" s="399"/>
      <c r="V199" s="399">
        <v>1486.9416999999999</v>
      </c>
      <c r="W199" s="399">
        <v>1486.9416999999999</v>
      </c>
      <c r="X199" s="399">
        <v>1453.3802000000001</v>
      </c>
      <c r="Y199" s="399">
        <v>0</v>
      </c>
      <c r="Z199" s="399">
        <v>136.92417522021992</v>
      </c>
      <c r="AA199" s="399">
        <v>0</v>
      </c>
      <c r="AB199" s="399">
        <v>0</v>
      </c>
      <c r="AC199" s="399">
        <v>0</v>
      </c>
      <c r="AD199" s="399">
        <v>227.37894721727625</v>
      </c>
      <c r="AE199" s="399">
        <v>740.15309703588468</v>
      </c>
      <c r="AF199" s="399">
        <v>322.06066669598374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21.146545106131416</v>
      </c>
      <c r="AM199" s="399"/>
      <c r="AN199" s="399">
        <v>3.2443270741671624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36.033063203077319</v>
      </c>
      <c r="BH199" s="399">
        <v>0</v>
      </c>
      <c r="BI199" s="399">
        <v>0</v>
      </c>
      <c r="BJ199" s="399">
        <v>0</v>
      </c>
      <c r="BK199" s="399">
        <v>0</v>
      </c>
      <c r="BL199" s="399">
        <v>0</v>
      </c>
      <c r="BM199" s="399"/>
      <c r="BN199" s="399"/>
      <c r="BO199" s="399"/>
      <c r="BP199" s="399"/>
      <c r="BQ199" s="399"/>
      <c r="BR199" s="399"/>
      <c r="BS199" s="399">
        <v>941.78252000000009</v>
      </c>
      <c r="BT199" s="399"/>
      <c r="BU199" s="399"/>
      <c r="BV199" s="399">
        <v>358.09372989906103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510.45060000000001</v>
      </c>
      <c r="CJ199" s="399">
        <v>-12.978240000000028</v>
      </c>
      <c r="CK199" s="399"/>
      <c r="CL199" s="399"/>
      <c r="CM199" s="399"/>
      <c r="CN199" s="399"/>
      <c r="CO199" s="399">
        <v>-46.58469999999997</v>
      </c>
      <c r="CP199" s="399">
        <v>13.023200000000008</v>
      </c>
      <c r="CQ199" s="399"/>
      <c r="CR199" s="399">
        <v>-0.21403262469493711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9.5161162705229856</v>
      </c>
      <c r="DA199" s="399">
        <v>0</v>
      </c>
      <c r="DB199" s="399">
        <v>0</v>
      </c>
      <c r="DC199" s="399">
        <v>13.022737048298268</v>
      </c>
      <c r="DD199" s="399">
        <v>0</v>
      </c>
      <c r="DE199" s="399">
        <v>0</v>
      </c>
      <c r="DF199" s="399">
        <v>0</v>
      </c>
      <c r="DG199" s="399">
        <v>1.4570208524758925</v>
      </c>
      <c r="DH199" s="399">
        <v>0</v>
      </c>
      <c r="DI199" s="399">
        <v>-21.035813717553339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-2.7825588263853867</v>
      </c>
      <c r="DP199" s="399">
        <v>-0.39153425205354742</v>
      </c>
      <c r="DQ199" s="399">
        <v>0</v>
      </c>
      <c r="DR199" s="399">
        <v>0</v>
      </c>
      <c r="DS199" s="399"/>
      <c r="DT199" s="399"/>
      <c r="DU199" s="399"/>
      <c r="DV199" s="399">
        <v>740.15309703588468</v>
      </c>
      <c r="DW199" s="399">
        <v>0</v>
      </c>
      <c r="DX199" s="399">
        <v>0</v>
      </c>
      <c r="DY199" s="399">
        <v>-46.584699999999884</v>
      </c>
      <c r="DZ199" s="399">
        <v>13.023200000000031</v>
      </c>
      <c r="EA199" s="399">
        <v>0</v>
      </c>
      <c r="EB199" s="399">
        <v>0</v>
      </c>
      <c r="EC199" s="399">
        <v>-33.334445643431422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225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957</v>
      </c>
      <c r="C200" s="399" t="s">
        <v>2357</v>
      </c>
      <c r="D200" s="399" t="s">
        <v>1823</v>
      </c>
      <c r="E200" s="399" t="s">
        <v>890</v>
      </c>
      <c r="F200" s="399" t="s">
        <v>890</v>
      </c>
      <c r="G200" s="399" t="s">
        <v>1240</v>
      </c>
      <c r="H200" s="399" t="s">
        <v>1240</v>
      </c>
      <c r="I200" s="399" t="s">
        <v>1240</v>
      </c>
      <c r="J200" s="399" t="s">
        <v>2358</v>
      </c>
      <c r="K200" s="789">
        <v>44562</v>
      </c>
      <c r="L200" s="399">
        <v>0</v>
      </c>
      <c r="M200" s="399">
        <v>0</v>
      </c>
      <c r="N200" s="399">
        <v>2980.8110000000001</v>
      </c>
      <c r="O200" s="399">
        <v>2980.8110000000001</v>
      </c>
      <c r="P200" s="399">
        <v>2980.8110000000001</v>
      </c>
      <c r="Q200" s="399">
        <v>2980.8110000000001</v>
      </c>
      <c r="R200" s="399"/>
      <c r="S200" s="399">
        <v>522.37</v>
      </c>
      <c r="T200" s="399">
        <v>144.41999999999999</v>
      </c>
      <c r="U200" s="399"/>
      <c r="V200" s="399">
        <v>1987574.9666900001</v>
      </c>
      <c r="W200" s="399">
        <v>1987574.9666900001</v>
      </c>
      <c r="X200" s="399">
        <v>1942713.7611400001</v>
      </c>
      <c r="Y200" s="399">
        <v>0</v>
      </c>
      <c r="Z200" s="399">
        <v>183024.70298760492</v>
      </c>
      <c r="AA200" s="399">
        <v>0</v>
      </c>
      <c r="AB200" s="399">
        <v>0</v>
      </c>
      <c r="AC200" s="399">
        <v>0</v>
      </c>
      <c r="AD200" s="399">
        <v>303934.37983572937</v>
      </c>
      <c r="AE200" s="399">
        <v>989352.68759131501</v>
      </c>
      <c r="AF200" s="399">
        <v>430494.16051781259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28266.302360696278</v>
      </c>
      <c r="AM200" s="399"/>
      <c r="AN200" s="399">
        <v>4336.6483543835402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48164.910833824266</v>
      </c>
      <c r="BH200" s="399">
        <v>0</v>
      </c>
      <c r="BI200" s="399">
        <v>580.51</v>
      </c>
      <c r="BJ200" s="399">
        <v>2695.06</v>
      </c>
      <c r="BK200" s="399">
        <v>414036.01</v>
      </c>
      <c r="BL200" s="399">
        <v>11989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478659.07135163684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1942713.1094</v>
      </c>
      <c r="CJ200" s="399">
        <v>-44861.887290000217</v>
      </c>
      <c r="CK200" s="399"/>
      <c r="CL200" s="399"/>
      <c r="CM200" s="399"/>
      <c r="CN200" s="399"/>
      <c r="CO200" s="399">
        <v>-62269.141789999965</v>
      </c>
      <c r="CP200" s="399">
        <v>17407.93624000001</v>
      </c>
      <c r="CQ200" s="399">
        <v>31</v>
      </c>
      <c r="CR200" s="399">
        <v>-286.09453006740659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12720.064599306672</v>
      </c>
      <c r="DA200" s="399">
        <v>0</v>
      </c>
      <c r="DB200" s="399">
        <v>0</v>
      </c>
      <c r="DC200" s="399">
        <v>17407.317418688326</v>
      </c>
      <c r="DD200" s="399">
        <v>0</v>
      </c>
      <c r="DE200" s="399">
        <v>0</v>
      </c>
      <c r="DF200" s="399">
        <v>0</v>
      </c>
      <c r="DG200" s="399">
        <v>1947.5801723271361</v>
      </c>
      <c r="DH200" s="399">
        <v>0</v>
      </c>
      <c r="DI200" s="399">
        <v>-28118.289203243883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-3719.4089497025343</v>
      </c>
      <c r="DP200" s="399">
        <v>-523.35856744304419</v>
      </c>
      <c r="DQ200" s="399">
        <v>0</v>
      </c>
      <c r="DR200" s="399">
        <v>0</v>
      </c>
      <c r="DS200" s="399"/>
      <c r="DT200" s="399"/>
      <c r="DU200" s="399"/>
      <c r="DV200" s="399">
        <v>989352.68759131501</v>
      </c>
      <c r="DW200" s="399">
        <v>0</v>
      </c>
      <c r="DX200" s="399">
        <v>0</v>
      </c>
      <c r="DY200" s="399">
        <v>-62269.141790000023</v>
      </c>
      <c r="DZ200" s="399">
        <v>17407.93624000001</v>
      </c>
      <c r="EA200" s="399">
        <v>0</v>
      </c>
      <c r="EB200" s="399">
        <v>0</v>
      </c>
      <c r="EC200" s="399">
        <v>-44557.705046117655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225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2359</v>
      </c>
      <c r="C201" s="399" t="s">
        <v>2357</v>
      </c>
      <c r="D201" s="399" t="s">
        <v>1823</v>
      </c>
      <c r="E201" s="399" t="s">
        <v>890</v>
      </c>
      <c r="F201" s="399" t="s">
        <v>890</v>
      </c>
      <c r="G201" s="399" t="s">
        <v>1240</v>
      </c>
      <c r="H201" s="399" t="s">
        <v>1240</v>
      </c>
      <c r="I201" s="399" t="s">
        <v>1240</v>
      </c>
      <c r="J201" s="399" t="s">
        <v>2358</v>
      </c>
      <c r="K201" s="789">
        <v>44562</v>
      </c>
      <c r="L201" s="399">
        <v>0</v>
      </c>
      <c r="M201" s="399">
        <v>0</v>
      </c>
      <c r="N201" s="399">
        <v>-3.6970000000000001</v>
      </c>
      <c r="O201" s="399">
        <v>-3.6970000000000001</v>
      </c>
      <c r="P201" s="399">
        <v>-3.6970000000000001</v>
      </c>
      <c r="Q201" s="399">
        <v>-3.6970000000000001</v>
      </c>
      <c r="R201" s="399"/>
      <c r="S201" s="399">
        <v>522.37</v>
      </c>
      <c r="T201" s="399">
        <v>144.41999999999999</v>
      </c>
      <c r="U201" s="399"/>
      <c r="V201" s="399">
        <v>-2465.1226299999998</v>
      </c>
      <c r="W201" s="399">
        <v>-2465.1226299999998</v>
      </c>
      <c r="X201" s="399">
        <v>-2409.4827800000003</v>
      </c>
      <c r="Y201" s="399">
        <v>0</v>
      </c>
      <c r="Z201" s="399">
        <v>-226.99940618347671</v>
      </c>
      <c r="AA201" s="399">
        <v>0</v>
      </c>
      <c r="AB201" s="399">
        <v>0</v>
      </c>
      <c r="AC201" s="399">
        <v>0</v>
      </c>
      <c r="AD201" s="399">
        <v>-376.95962684406743</v>
      </c>
      <c r="AE201" s="399">
        <v>-1227.0609864312403</v>
      </c>
      <c r="AF201" s="399">
        <v>-533.92748196190666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-35.057747649043876</v>
      </c>
      <c r="AM201" s="399"/>
      <c r="AN201" s="399">
        <v>-5.3785996382044843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-59.737324960438052</v>
      </c>
      <c r="BH201" s="399">
        <v>0</v>
      </c>
      <c r="BI201" s="399">
        <v>0</v>
      </c>
      <c r="BJ201" s="399">
        <v>0</v>
      </c>
      <c r="BK201" s="399">
        <v>-579.08000000000004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-593.66480692234472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-2411.4380000000001</v>
      </c>
      <c r="CJ201" s="399">
        <v>53.654629999999543</v>
      </c>
      <c r="CK201" s="399"/>
      <c r="CL201" s="399"/>
      <c r="CM201" s="399"/>
      <c r="CN201" s="399"/>
      <c r="CO201" s="399">
        <v>77.230329999999952</v>
      </c>
      <c r="CP201" s="399">
        <v>-21.590480000000014</v>
      </c>
      <c r="CQ201" s="399">
        <v>31</v>
      </c>
      <c r="CR201" s="399">
        <v>0.35483345896750507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-15.776269888844581</v>
      </c>
      <c r="DA201" s="399">
        <v>0</v>
      </c>
      <c r="DB201" s="399">
        <v>0</v>
      </c>
      <c r="DC201" s="399">
        <v>-21.589712496663083</v>
      </c>
      <c r="DD201" s="399">
        <v>0</v>
      </c>
      <c r="DE201" s="399">
        <v>0</v>
      </c>
      <c r="DF201" s="399">
        <v>0</v>
      </c>
      <c r="DG201" s="399">
        <v>-2.4155184267279637</v>
      </c>
      <c r="DH201" s="399">
        <v>0</v>
      </c>
      <c r="DI201" s="399">
        <v>34.874171889594038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4.6130582875097623</v>
      </c>
      <c r="DP201" s="399">
        <v>0.64910409409953651</v>
      </c>
      <c r="DQ201" s="399">
        <v>0</v>
      </c>
      <c r="DR201" s="399">
        <v>0</v>
      </c>
      <c r="DS201" s="399"/>
      <c r="DT201" s="399"/>
      <c r="DU201" s="399"/>
      <c r="DV201" s="399">
        <v>-1227.0609864312403</v>
      </c>
      <c r="DW201" s="399">
        <v>0</v>
      </c>
      <c r="DX201" s="399">
        <v>0</v>
      </c>
      <c r="DY201" s="399">
        <v>77.230329999999867</v>
      </c>
      <c r="DZ201" s="399">
        <v>-21.590480000000071</v>
      </c>
      <c r="EA201" s="399">
        <v>0</v>
      </c>
      <c r="EB201" s="399">
        <v>0</v>
      </c>
      <c r="EC201" s="399">
        <v>55.263428494962227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225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2360</v>
      </c>
      <c r="C202" s="399" t="s">
        <v>2357</v>
      </c>
      <c r="D202" s="399" t="s">
        <v>1823</v>
      </c>
      <c r="E202" s="399" t="s">
        <v>890</v>
      </c>
      <c r="F202" s="399" t="s">
        <v>890</v>
      </c>
      <c r="G202" s="399" t="s">
        <v>1240</v>
      </c>
      <c r="H202" s="399" t="s">
        <v>1240</v>
      </c>
      <c r="I202" s="399" t="s">
        <v>1240</v>
      </c>
      <c r="J202" s="399" t="s">
        <v>2358</v>
      </c>
      <c r="K202" s="789">
        <v>44562</v>
      </c>
      <c r="L202" s="399">
        <v>0</v>
      </c>
      <c r="M202" s="399">
        <v>0</v>
      </c>
      <c r="N202" s="399">
        <v>6.7140000000000004</v>
      </c>
      <c r="O202" s="399">
        <v>6.7140000000000004</v>
      </c>
      <c r="P202" s="399">
        <v>6.7140000000000004</v>
      </c>
      <c r="Q202" s="399">
        <v>6.7140000000000004</v>
      </c>
      <c r="R202" s="399"/>
      <c r="S202" s="399">
        <v>522.37</v>
      </c>
      <c r="T202" s="399">
        <v>144.41999999999999</v>
      </c>
      <c r="U202" s="399"/>
      <c r="V202" s="399">
        <v>4476.8280600000007</v>
      </c>
      <c r="W202" s="399">
        <v>4476.8280600000007</v>
      </c>
      <c r="X202" s="399">
        <v>4375.7823600000002</v>
      </c>
      <c r="Y202" s="399">
        <v>0</v>
      </c>
      <c r="Z202" s="399">
        <v>412.24614907110163</v>
      </c>
      <c r="AA202" s="399">
        <v>0</v>
      </c>
      <c r="AB202" s="399">
        <v>0</v>
      </c>
      <c r="AC202" s="399">
        <v>0</v>
      </c>
      <c r="AD202" s="399">
        <v>684.58396933488473</v>
      </c>
      <c r="AE202" s="399">
        <v>2228.425064349296</v>
      </c>
      <c r="AF202" s="399">
        <v>969.64812385508299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63.667221454065626</v>
      </c>
      <c r="AM202" s="399"/>
      <c r="AN202" s="399">
        <v>9.7678977470665167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108.48698939258347</v>
      </c>
      <c r="BH202" s="399">
        <v>0</v>
      </c>
      <c r="BI202" s="399">
        <v>1.86</v>
      </c>
      <c r="BJ202" s="399">
        <v>8.61</v>
      </c>
      <c r="BK202" s="399">
        <v>5012.92</v>
      </c>
      <c r="BL202" s="399">
        <v>70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1078.1351132476664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4373.1754000000001</v>
      </c>
      <c r="CJ202" s="399">
        <v>-103.68266000000131</v>
      </c>
      <c r="CK202" s="399"/>
      <c r="CL202" s="399"/>
      <c r="CM202" s="399"/>
      <c r="CN202" s="399"/>
      <c r="CO202" s="399">
        <v>-140.25545999999991</v>
      </c>
      <c r="CP202" s="399">
        <v>39.209760000000024</v>
      </c>
      <c r="CQ202" s="399">
        <v>31</v>
      </c>
      <c r="CR202" s="399">
        <v>-0.64440136421671923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28.650764412686613</v>
      </c>
      <c r="DA202" s="399">
        <v>0</v>
      </c>
      <c r="DB202" s="399">
        <v>0</v>
      </c>
      <c r="DC202" s="399">
        <v>39.208366162454922</v>
      </c>
      <c r="DD202" s="399">
        <v>0</v>
      </c>
      <c r="DE202" s="399">
        <v>0</v>
      </c>
      <c r="DF202" s="399">
        <v>0</v>
      </c>
      <c r="DG202" s="399">
        <v>4.3867434993377259</v>
      </c>
      <c r="DH202" s="399">
        <v>0</v>
      </c>
      <c r="DI202" s="399">
        <v>-63.333835560382568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-8.3776233006060465</v>
      </c>
      <c r="DP202" s="399">
        <v>-1.1788165777074084</v>
      </c>
      <c r="DQ202" s="399">
        <v>0</v>
      </c>
      <c r="DR202" s="399">
        <v>0</v>
      </c>
      <c r="DS202" s="399"/>
      <c r="DT202" s="399"/>
      <c r="DU202" s="399"/>
      <c r="DV202" s="399">
        <v>2228.425064349296</v>
      </c>
      <c r="DW202" s="399">
        <v>0</v>
      </c>
      <c r="DX202" s="399">
        <v>0</v>
      </c>
      <c r="DY202" s="399">
        <v>-140.25546000000031</v>
      </c>
      <c r="DZ202" s="399">
        <v>39.209760000000074</v>
      </c>
      <c r="EA202" s="399">
        <v>0</v>
      </c>
      <c r="EB202" s="399">
        <v>0</v>
      </c>
      <c r="EC202" s="399">
        <v>-100.3620932959634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225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957</v>
      </c>
      <c r="C203" s="399" t="s">
        <v>2357</v>
      </c>
      <c r="D203" s="399" t="s">
        <v>1823</v>
      </c>
      <c r="E203" s="399" t="s">
        <v>890</v>
      </c>
      <c r="F203" s="399" t="s">
        <v>2361</v>
      </c>
      <c r="G203" s="399" t="s">
        <v>1240</v>
      </c>
      <c r="H203" s="399" t="s">
        <v>1240</v>
      </c>
      <c r="I203" s="399" t="s">
        <v>1240</v>
      </c>
      <c r="J203" s="399" t="s">
        <v>2358</v>
      </c>
      <c r="K203" s="789">
        <v>44562</v>
      </c>
      <c r="L203" s="399">
        <v>0</v>
      </c>
      <c r="M203" s="399">
        <v>0</v>
      </c>
      <c r="N203" s="399">
        <v>15.54</v>
      </c>
      <c r="O203" s="399">
        <v>15.54</v>
      </c>
      <c r="P203" s="399">
        <v>15.54</v>
      </c>
      <c r="Q203" s="399">
        <v>15.54</v>
      </c>
      <c r="R203" s="399"/>
      <c r="S203" s="399">
        <v>451.48</v>
      </c>
      <c r="T203" s="399">
        <v>144.41999999999999</v>
      </c>
      <c r="U203" s="399"/>
      <c r="V203" s="399">
        <v>9260.2860000000001</v>
      </c>
      <c r="W203" s="399">
        <v>9260.2860000000001</v>
      </c>
      <c r="X203" s="399">
        <v>9192.5315999999984</v>
      </c>
      <c r="Y203" s="399">
        <v>0</v>
      </c>
      <c r="Z203" s="399">
        <v>0</v>
      </c>
      <c r="AA203" s="399">
        <v>0</v>
      </c>
      <c r="AB203" s="399">
        <v>0</v>
      </c>
      <c r="AC203" s="399">
        <v>0</v>
      </c>
      <c r="AD203" s="399">
        <v>1584.5151747786874</v>
      </c>
      <c r="AE203" s="399">
        <v>5157.8381739630704</v>
      </c>
      <c r="AF203" s="399">
        <v>2244.3151392177519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0</v>
      </c>
      <c r="AM203" s="399"/>
      <c r="AN203" s="399">
        <v>22.608449655855473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251.10035972009933</v>
      </c>
      <c r="BH203" s="399">
        <v>0</v>
      </c>
      <c r="BI203" s="399">
        <v>0.94</v>
      </c>
      <c r="BJ203" s="399">
        <v>4.0599999999999996</v>
      </c>
      <c r="BK203" s="399">
        <v>389</v>
      </c>
      <c r="BL203" s="399">
        <v>7</v>
      </c>
      <c r="BM203" s="399"/>
      <c r="BN203" s="399"/>
      <c r="BO203" s="399"/>
      <c r="BP203" s="399"/>
      <c r="BQ203" s="399"/>
      <c r="BR203" s="399"/>
      <c r="BS203" s="399"/>
      <c r="BT203" s="399">
        <v>5975.1299999999992</v>
      </c>
      <c r="BU203" s="399"/>
      <c r="BV203" s="399">
        <v>2495.4154989378512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3217.4015999999997</v>
      </c>
      <c r="CJ203" s="399">
        <v>-23.806200000000899</v>
      </c>
      <c r="CK203" s="399"/>
      <c r="CL203" s="399"/>
      <c r="CM203" s="399"/>
      <c r="CN203" s="399"/>
      <c r="CO203" s="399">
        <v>-158.50800000000069</v>
      </c>
      <c r="CP203" s="399">
        <v>90.753600000000048</v>
      </c>
      <c r="CQ203" s="399">
        <v>31</v>
      </c>
      <c r="CR203" s="399">
        <v>164.48943602916825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66.314101723733984</v>
      </c>
      <c r="DA203" s="399">
        <v>0</v>
      </c>
      <c r="DB203" s="399">
        <v>0</v>
      </c>
      <c r="DC203" s="399">
        <v>90.75037387020393</v>
      </c>
      <c r="DD203" s="399">
        <v>0</v>
      </c>
      <c r="DE203" s="399">
        <v>0</v>
      </c>
      <c r="DF203" s="399">
        <v>0</v>
      </c>
      <c r="DG203" s="399">
        <v>10.153409886760244</v>
      </c>
      <c r="DH203" s="399">
        <v>0</v>
      </c>
      <c r="DI203" s="399">
        <v>0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0</v>
      </c>
      <c r="DP203" s="399">
        <v>-2.7284494515301034</v>
      </c>
      <c r="DQ203" s="399">
        <v>0</v>
      </c>
      <c r="DR203" s="399">
        <v>0</v>
      </c>
      <c r="DS203" s="399"/>
      <c r="DT203" s="399"/>
      <c r="DU203" s="399"/>
      <c r="DV203" s="399">
        <v>5157.8381739630704</v>
      </c>
      <c r="DW203" s="399">
        <v>0</v>
      </c>
      <c r="DX203" s="399">
        <v>0</v>
      </c>
      <c r="DY203" s="399">
        <v>-158.50800000000072</v>
      </c>
      <c r="DZ203" s="399">
        <v>90.753600000000006</v>
      </c>
      <c r="EA203" s="399">
        <v>0</v>
      </c>
      <c r="EB203" s="399">
        <v>0</v>
      </c>
      <c r="EC203" s="399">
        <v>-232.29474677081726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225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957</v>
      </c>
      <c r="C204" s="399" t="s">
        <v>2357</v>
      </c>
      <c r="D204" s="399" t="s">
        <v>1823</v>
      </c>
      <c r="E204" s="399" t="s">
        <v>890</v>
      </c>
      <c r="F204" s="399" t="s">
        <v>2362</v>
      </c>
      <c r="G204" s="399" t="s">
        <v>1240</v>
      </c>
      <c r="H204" s="399" t="s">
        <v>1240</v>
      </c>
      <c r="I204" s="399" t="s">
        <v>1240</v>
      </c>
      <c r="J204" s="399" t="s">
        <v>2358</v>
      </c>
      <c r="K204" s="789">
        <v>44562</v>
      </c>
      <c r="L204" s="399">
        <v>0</v>
      </c>
      <c r="M204" s="399">
        <v>0</v>
      </c>
      <c r="N204" s="399">
        <v>35.03</v>
      </c>
      <c r="O204" s="399">
        <v>35.03</v>
      </c>
      <c r="P204" s="399">
        <v>35.03</v>
      </c>
      <c r="Q204" s="399">
        <v>35.03</v>
      </c>
      <c r="R204" s="399"/>
      <c r="S204" s="399">
        <v>451.48</v>
      </c>
      <c r="T204" s="399">
        <v>144.41999999999999</v>
      </c>
      <c r="U204" s="399"/>
      <c r="V204" s="399">
        <v>20874.377</v>
      </c>
      <c r="W204" s="399">
        <v>20874.377</v>
      </c>
      <c r="X204" s="399">
        <v>20721.646199999999</v>
      </c>
      <c r="Y204" s="399">
        <v>0</v>
      </c>
      <c r="Z204" s="399">
        <v>0</v>
      </c>
      <c r="AA204" s="399">
        <v>0</v>
      </c>
      <c r="AB204" s="399">
        <v>0</v>
      </c>
      <c r="AC204" s="399">
        <v>0</v>
      </c>
      <c r="AD204" s="399">
        <v>3571.7867807269899</v>
      </c>
      <c r="AE204" s="399">
        <v>11626.709860613022</v>
      </c>
      <c r="AF204" s="399">
        <v>5059.0964817759241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0</v>
      </c>
      <c r="AM204" s="399"/>
      <c r="AN204" s="399">
        <v>50.963577313038435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566.02610045013387</v>
      </c>
      <c r="BH204" s="399">
        <v>0</v>
      </c>
      <c r="BI204" s="399">
        <v>3.52</v>
      </c>
      <c r="BJ204" s="399">
        <v>16.309999999999999</v>
      </c>
      <c r="BK204" s="399">
        <v>1504.4</v>
      </c>
      <c r="BL204" s="399">
        <v>38</v>
      </c>
      <c r="BM204" s="399"/>
      <c r="BN204" s="399"/>
      <c r="BO204" s="399"/>
      <c r="BP204" s="399"/>
      <c r="BQ204" s="399"/>
      <c r="BR204" s="399"/>
      <c r="BS204" s="399"/>
      <c r="BT204" s="399">
        <v>8288.4483</v>
      </c>
      <c r="BU204" s="399"/>
      <c r="BV204" s="399">
        <v>5625.1225822260576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12433.197899999999</v>
      </c>
      <c r="CJ204" s="399">
        <v>-91.458300000002055</v>
      </c>
      <c r="CK204" s="399"/>
      <c r="CL204" s="399"/>
      <c r="CM204" s="399"/>
      <c r="CN204" s="399"/>
      <c r="CO204" s="399">
        <v>-357.30600000000163</v>
      </c>
      <c r="CP204" s="399">
        <v>204.57520000000014</v>
      </c>
      <c r="CQ204" s="399">
        <v>31</v>
      </c>
      <c r="CR204" s="399">
        <v>370.78924994220142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149.48410446476237</v>
      </c>
      <c r="DA204" s="399">
        <v>0</v>
      </c>
      <c r="DB204" s="399">
        <v>0</v>
      </c>
      <c r="DC204" s="399">
        <v>204.56792771385153</v>
      </c>
      <c r="DD204" s="399">
        <v>0</v>
      </c>
      <c r="DE204" s="399">
        <v>0</v>
      </c>
      <c r="DF204" s="399">
        <v>0</v>
      </c>
      <c r="DG204" s="399">
        <v>22.887641462883607</v>
      </c>
      <c r="DH204" s="399">
        <v>0</v>
      </c>
      <c r="DI204" s="399">
        <v>0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0</v>
      </c>
      <c r="DP204" s="399">
        <v>-6.1504236992985568</v>
      </c>
      <c r="DQ204" s="399">
        <v>0</v>
      </c>
      <c r="DR204" s="399">
        <v>0</v>
      </c>
      <c r="DS204" s="399"/>
      <c r="DT204" s="399"/>
      <c r="DU204" s="399"/>
      <c r="DV204" s="399">
        <v>11626.709860613022</v>
      </c>
      <c r="DW204" s="399">
        <v>0</v>
      </c>
      <c r="DX204" s="399">
        <v>0</v>
      </c>
      <c r="DY204" s="399">
        <v>-357.30600000000231</v>
      </c>
      <c r="DZ204" s="399">
        <v>204.57520000000022</v>
      </c>
      <c r="EA204" s="399">
        <v>0</v>
      </c>
      <c r="EB204" s="399">
        <v>0</v>
      </c>
      <c r="EC204" s="399">
        <v>-523.634812058026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225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957</v>
      </c>
      <c r="C205" s="399" t="s">
        <v>2357</v>
      </c>
      <c r="D205" s="399" t="s">
        <v>1823</v>
      </c>
      <c r="E205" s="399" t="s">
        <v>890</v>
      </c>
      <c r="F205" s="399" t="s">
        <v>2363</v>
      </c>
      <c r="G205" s="399" t="s">
        <v>1240</v>
      </c>
      <c r="H205" s="399" t="s">
        <v>1240</v>
      </c>
      <c r="I205" s="399" t="s">
        <v>1240</v>
      </c>
      <c r="J205" s="399" t="s">
        <v>2358</v>
      </c>
      <c r="K205" s="789">
        <v>44562</v>
      </c>
      <c r="L205" s="399">
        <v>0</v>
      </c>
      <c r="M205" s="399">
        <v>0</v>
      </c>
      <c r="N205" s="399">
        <v>46.091999999999999</v>
      </c>
      <c r="O205" s="399">
        <v>46.091999999999999</v>
      </c>
      <c r="P205" s="399">
        <v>46.091999999999999</v>
      </c>
      <c r="Q205" s="399">
        <v>46.091999999999999</v>
      </c>
      <c r="R205" s="399"/>
      <c r="S205" s="399">
        <v>451.48</v>
      </c>
      <c r="T205" s="399">
        <v>144.41999999999999</v>
      </c>
      <c r="U205" s="399"/>
      <c r="V205" s="399">
        <v>27466.2228</v>
      </c>
      <c r="W205" s="399">
        <v>27466.2228</v>
      </c>
      <c r="X205" s="399">
        <v>27265.261679999996</v>
      </c>
      <c r="Y205" s="399">
        <v>0</v>
      </c>
      <c r="Z205" s="399">
        <v>0</v>
      </c>
      <c r="AA205" s="399">
        <v>0</v>
      </c>
      <c r="AB205" s="399">
        <v>0</v>
      </c>
      <c r="AC205" s="399">
        <v>0</v>
      </c>
      <c r="AD205" s="399">
        <v>4699.7087153088332</v>
      </c>
      <c r="AE205" s="399">
        <v>15298.267510573092</v>
      </c>
      <c r="AF205" s="399">
        <v>6656.69069477636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0</v>
      </c>
      <c r="AM205" s="399"/>
      <c r="AN205" s="399">
        <v>67.057185427135806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744.76948392656493</v>
      </c>
      <c r="BH205" s="399">
        <v>0</v>
      </c>
      <c r="BI205" s="399">
        <v>5.71</v>
      </c>
      <c r="BJ205" s="399">
        <v>26.91</v>
      </c>
      <c r="BK205" s="399">
        <v>5212.18</v>
      </c>
      <c r="BL205" s="399">
        <v>201</v>
      </c>
      <c r="BM205" s="399"/>
      <c r="BN205" s="399"/>
      <c r="BO205" s="399"/>
      <c r="BP205" s="399"/>
      <c r="BQ205" s="399"/>
      <c r="BR205" s="399"/>
      <c r="BS205" s="399"/>
      <c r="BT205" s="399">
        <v>2726.3417999999992</v>
      </c>
      <c r="BU205" s="399"/>
      <c r="BV205" s="399">
        <v>7401.4601787029251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24537.855100000001</v>
      </c>
      <c r="CJ205" s="399">
        <v>-182.2363399999922</v>
      </c>
      <c r="CK205" s="399"/>
      <c r="CL205" s="399"/>
      <c r="CM205" s="399"/>
      <c r="CN205" s="399"/>
      <c r="CO205" s="399">
        <v>-470.13840000000209</v>
      </c>
      <c r="CP205" s="399">
        <v>269.17728000000017</v>
      </c>
      <c r="CQ205" s="399">
        <v>31</v>
      </c>
      <c r="CR205" s="399">
        <v>487.87947782859555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196.68916194661142</v>
      </c>
      <c r="DA205" s="399">
        <v>0</v>
      </c>
      <c r="DB205" s="399">
        <v>0</v>
      </c>
      <c r="DC205" s="399">
        <v>269.16771122428872</v>
      </c>
      <c r="DD205" s="399">
        <v>0</v>
      </c>
      <c r="DE205" s="399">
        <v>0</v>
      </c>
      <c r="DF205" s="399">
        <v>0</v>
      </c>
      <c r="DG205" s="399">
        <v>30.115248938259469</v>
      </c>
      <c r="DH205" s="399">
        <v>0</v>
      </c>
      <c r="DI205" s="399">
        <v>0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0</v>
      </c>
      <c r="DP205" s="399">
        <v>-8.0926442805614869</v>
      </c>
      <c r="DQ205" s="399">
        <v>0</v>
      </c>
      <c r="DR205" s="399">
        <v>0</v>
      </c>
      <c r="DS205" s="399"/>
      <c r="DT205" s="399"/>
      <c r="DU205" s="399"/>
      <c r="DV205" s="399">
        <v>15298.267510573092</v>
      </c>
      <c r="DW205" s="399">
        <v>0</v>
      </c>
      <c r="DX205" s="399">
        <v>0</v>
      </c>
      <c r="DY205" s="399">
        <v>-470.13840000000346</v>
      </c>
      <c r="DZ205" s="399">
        <v>269.17727999999988</v>
      </c>
      <c r="EA205" s="399">
        <v>0</v>
      </c>
      <c r="EB205" s="399">
        <v>0</v>
      </c>
      <c r="EC205" s="399">
        <v>-688.99160026773097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225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957</v>
      </c>
      <c r="C206" s="399" t="s">
        <v>2357</v>
      </c>
      <c r="D206" s="399" t="s">
        <v>1823</v>
      </c>
      <c r="E206" s="399" t="s">
        <v>890</v>
      </c>
      <c r="F206" s="399" t="s">
        <v>2364</v>
      </c>
      <c r="G206" s="399" t="s">
        <v>1240</v>
      </c>
      <c r="H206" s="399" t="s">
        <v>1240</v>
      </c>
      <c r="I206" s="399" t="s">
        <v>1240</v>
      </c>
      <c r="J206" s="399" t="s">
        <v>2358</v>
      </c>
      <c r="K206" s="789">
        <v>44562</v>
      </c>
      <c r="L206" s="399">
        <v>0</v>
      </c>
      <c r="M206" s="399">
        <v>0</v>
      </c>
      <c r="N206" s="399">
        <v>30.530999999999999</v>
      </c>
      <c r="O206" s="399">
        <v>30.530999999999999</v>
      </c>
      <c r="P206" s="399">
        <v>30.530999999999999</v>
      </c>
      <c r="Q206" s="399">
        <v>30.530999999999999</v>
      </c>
      <c r="R206" s="399"/>
      <c r="S206" s="399">
        <v>451.48</v>
      </c>
      <c r="T206" s="399">
        <v>144.41999999999999</v>
      </c>
      <c r="U206" s="399"/>
      <c r="V206" s="399">
        <v>18193.422899999998</v>
      </c>
      <c r="W206" s="399">
        <v>18193.422899999998</v>
      </c>
      <c r="X206" s="399">
        <v>18060.307739999997</v>
      </c>
      <c r="Y206" s="399">
        <v>0</v>
      </c>
      <c r="Z206" s="399">
        <v>0</v>
      </c>
      <c r="AA206" s="399">
        <v>0</v>
      </c>
      <c r="AB206" s="399">
        <v>0</v>
      </c>
      <c r="AC206" s="399">
        <v>0</v>
      </c>
      <c r="AD206" s="399">
        <v>3113.0523038074716</v>
      </c>
      <c r="AE206" s="399">
        <v>10133.459285023584</v>
      </c>
      <c r="AF206" s="399">
        <v>4409.3426972623674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0</v>
      </c>
      <c r="AM206" s="399"/>
      <c r="AN206" s="399">
        <v>44.418183812285939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493.32979939603302</v>
      </c>
      <c r="BH206" s="399">
        <v>0</v>
      </c>
      <c r="BI206" s="399">
        <v>3.16</v>
      </c>
      <c r="BJ206" s="399">
        <v>14.81</v>
      </c>
      <c r="BK206" s="399">
        <v>5354.88</v>
      </c>
      <c r="BL206" s="399">
        <v>273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4902.6724966584006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18059.716199999999</v>
      </c>
      <c r="CJ206" s="399">
        <v>-133.73670000000129</v>
      </c>
      <c r="CK206" s="399"/>
      <c r="CL206" s="399"/>
      <c r="CM206" s="399"/>
      <c r="CN206" s="399"/>
      <c r="CO206" s="399">
        <v>-311.41620000000137</v>
      </c>
      <c r="CP206" s="399">
        <v>178.30104000000009</v>
      </c>
      <c r="CQ206" s="399">
        <v>31</v>
      </c>
      <c r="CR206" s="399">
        <v>323.16775877776854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130.28544657189968</v>
      </c>
      <c r="DA206" s="399">
        <v>0</v>
      </c>
      <c r="DB206" s="399">
        <v>0</v>
      </c>
      <c r="DC206" s="399">
        <v>178.29470171371941</v>
      </c>
      <c r="DD206" s="399">
        <v>0</v>
      </c>
      <c r="DE206" s="399">
        <v>0</v>
      </c>
      <c r="DF206" s="399">
        <v>0</v>
      </c>
      <c r="DG206" s="399">
        <v>19.948118227327939</v>
      </c>
      <c r="DH206" s="399">
        <v>0</v>
      </c>
      <c r="DI206" s="399">
        <v>0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0</v>
      </c>
      <c r="DP206" s="399">
        <v>-5.3605077351779684</v>
      </c>
      <c r="DQ206" s="399">
        <v>0</v>
      </c>
      <c r="DR206" s="399">
        <v>0</v>
      </c>
      <c r="DS206" s="399"/>
      <c r="DT206" s="399"/>
      <c r="DU206" s="399"/>
      <c r="DV206" s="399">
        <v>10133.459285023584</v>
      </c>
      <c r="DW206" s="399">
        <v>0</v>
      </c>
      <c r="DX206" s="399">
        <v>0</v>
      </c>
      <c r="DY206" s="399">
        <v>-311.41620000000148</v>
      </c>
      <c r="DZ206" s="399">
        <v>178.30103999999938</v>
      </c>
      <c r="EA206" s="399">
        <v>0</v>
      </c>
      <c r="EB206" s="399">
        <v>0</v>
      </c>
      <c r="EC206" s="399">
        <v>-456.3829416769513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225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957</v>
      </c>
      <c r="C207" s="399" t="s">
        <v>2357</v>
      </c>
      <c r="D207" s="399" t="s">
        <v>1826</v>
      </c>
      <c r="E207" s="399" t="s">
        <v>891</v>
      </c>
      <c r="F207" s="399" t="s">
        <v>1240</v>
      </c>
      <c r="G207" s="399" t="s">
        <v>1240</v>
      </c>
      <c r="H207" s="399" t="s">
        <v>1240</v>
      </c>
      <c r="I207" s="399" t="s">
        <v>1240</v>
      </c>
      <c r="J207" s="399" t="s">
        <v>2358</v>
      </c>
      <c r="K207" s="789">
        <v>44562</v>
      </c>
      <c r="L207" s="399">
        <v>0</v>
      </c>
      <c r="M207" s="399">
        <v>0</v>
      </c>
      <c r="N207" s="399">
        <v>375.02499999999998</v>
      </c>
      <c r="O207" s="399">
        <v>375.02499999999998</v>
      </c>
      <c r="P207" s="399">
        <v>375.02499999999998</v>
      </c>
      <c r="Q207" s="399">
        <v>375.02499999999998</v>
      </c>
      <c r="R207" s="399"/>
      <c r="S207" s="399">
        <v>522.37</v>
      </c>
      <c r="T207" s="399">
        <v>144.41999999999999</v>
      </c>
      <c r="U207" s="399"/>
      <c r="V207" s="399">
        <v>250062.91975</v>
      </c>
      <c r="W207" s="399">
        <v>250062.91975</v>
      </c>
      <c r="X207" s="399">
        <v>244418.79349999997</v>
      </c>
      <c r="Y207" s="399">
        <v>0</v>
      </c>
      <c r="Z207" s="399">
        <v>23026.90081253945</v>
      </c>
      <c r="AA207" s="399">
        <v>0</v>
      </c>
      <c r="AB207" s="399">
        <v>0</v>
      </c>
      <c r="AC207" s="399">
        <v>0</v>
      </c>
      <c r="AD207" s="399">
        <v>38238.919139084763</v>
      </c>
      <c r="AE207" s="399">
        <v>124473.50458111329</v>
      </c>
      <c r="AF207" s="399">
        <v>54161.794407023008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3556.2704387564727</v>
      </c>
      <c r="AM207" s="399"/>
      <c r="AN207" s="399">
        <v>545.60706770831393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6059.7755729749197</v>
      </c>
      <c r="BH207" s="399">
        <v>0</v>
      </c>
      <c r="BI207" s="399">
        <v>28.26</v>
      </c>
      <c r="BJ207" s="399">
        <v>131.72</v>
      </c>
      <c r="BK207" s="399">
        <v>76611</v>
      </c>
      <c r="BL207" s="399">
        <v>559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60221.569979997927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244422.05219999998</v>
      </c>
      <c r="CJ207" s="399">
        <v>-5640.8975500000524</v>
      </c>
      <c r="CK207" s="399"/>
      <c r="CL207" s="399"/>
      <c r="CM207" s="399"/>
      <c r="CN207" s="399"/>
      <c r="CO207" s="399">
        <v>-7834.2722499999945</v>
      </c>
      <c r="CP207" s="399">
        <v>2190.1460000000011</v>
      </c>
      <c r="CQ207" s="399">
        <v>31</v>
      </c>
      <c r="CR207" s="399">
        <v>-35.994432769628474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1600.3504503824588</v>
      </c>
      <c r="DA207" s="399">
        <v>0</v>
      </c>
      <c r="DB207" s="399">
        <v>0</v>
      </c>
      <c r="DC207" s="399">
        <v>2190.0681441874622</v>
      </c>
      <c r="DD207" s="399">
        <v>0</v>
      </c>
      <c r="DE207" s="399">
        <v>0</v>
      </c>
      <c r="DF207" s="399">
        <v>0</v>
      </c>
      <c r="DG207" s="399">
        <v>245.03105165908983</v>
      </c>
      <c r="DH207" s="399">
        <v>0</v>
      </c>
      <c r="DI207" s="399">
        <v>-3537.6484481728439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-467.95027976017036</v>
      </c>
      <c r="DP207" s="399">
        <v>-65.845351065642035</v>
      </c>
      <c r="DQ207" s="399">
        <v>0</v>
      </c>
      <c r="DR207" s="399">
        <v>0</v>
      </c>
      <c r="DS207" s="399"/>
      <c r="DT207" s="399"/>
      <c r="DU207" s="399"/>
      <c r="DV207" s="399">
        <v>124473.50458111329</v>
      </c>
      <c r="DW207" s="399">
        <v>0</v>
      </c>
      <c r="DX207" s="399">
        <v>0</v>
      </c>
      <c r="DY207" s="399">
        <v>-7834.2722500000091</v>
      </c>
      <c r="DZ207" s="399">
        <v>2190.1460000000006</v>
      </c>
      <c r="EA207" s="399">
        <v>0</v>
      </c>
      <c r="EB207" s="399">
        <v>0</v>
      </c>
      <c r="EC207" s="399">
        <v>-5605.9419181290868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225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2359</v>
      </c>
      <c r="C208" s="399" t="s">
        <v>2357</v>
      </c>
      <c r="D208" s="399" t="s">
        <v>1826</v>
      </c>
      <c r="E208" s="399" t="s">
        <v>891</v>
      </c>
      <c r="F208" s="399" t="s">
        <v>1240</v>
      </c>
      <c r="G208" s="399" t="s">
        <v>1240</v>
      </c>
      <c r="H208" s="399" t="s">
        <v>1240</v>
      </c>
      <c r="I208" s="399" t="s">
        <v>1240</v>
      </c>
      <c r="J208" s="399" t="s">
        <v>2358</v>
      </c>
      <c r="K208" s="789">
        <v>44562</v>
      </c>
      <c r="L208" s="399">
        <v>0</v>
      </c>
      <c r="M208" s="399">
        <v>0</v>
      </c>
      <c r="N208" s="399">
        <v>-0.56399999999999995</v>
      </c>
      <c r="O208" s="399">
        <v>-0.56399999999999995</v>
      </c>
      <c r="P208" s="399">
        <v>-0.56399999999999995</v>
      </c>
      <c r="Q208" s="399">
        <v>-0.56399999999999995</v>
      </c>
      <c r="R208" s="399"/>
      <c r="S208" s="399">
        <v>522.37</v>
      </c>
      <c r="T208" s="399">
        <v>144.41999999999999</v>
      </c>
      <c r="U208" s="399"/>
      <c r="V208" s="399">
        <v>-376.06955999999997</v>
      </c>
      <c r="W208" s="399">
        <v>-376.06955999999997</v>
      </c>
      <c r="X208" s="399">
        <v>-367.58136000000002</v>
      </c>
      <c r="Y208" s="399">
        <v>0</v>
      </c>
      <c r="Z208" s="399">
        <v>-34.63015014538297</v>
      </c>
      <c r="AA208" s="399">
        <v>0</v>
      </c>
      <c r="AB208" s="399">
        <v>0</v>
      </c>
      <c r="AC208" s="399">
        <v>0</v>
      </c>
      <c r="AD208" s="399">
        <v>-57.507500551813365</v>
      </c>
      <c r="AE208" s="399">
        <v>-187.19567117858247</v>
      </c>
      <c r="AF208" s="399">
        <v>-81.453908527594095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-5.3482741882771831</v>
      </c>
      <c r="AM208" s="399"/>
      <c r="AN208" s="399">
        <v>-0.82053832727815224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-9.1132949087603627</v>
      </c>
      <c r="BH208" s="399">
        <v>0</v>
      </c>
      <c r="BI208" s="399">
        <v>0</v>
      </c>
      <c r="BJ208" s="399">
        <v>0</v>
      </c>
      <c r="BK208" s="399">
        <v>-124.3</v>
      </c>
      <c r="BL208" s="399">
        <v>0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-90.567203436354461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-364.97440000000006</v>
      </c>
      <c r="CJ208" s="399">
        <v>11.065159999999935</v>
      </c>
      <c r="CK208" s="399"/>
      <c r="CL208" s="399"/>
      <c r="CM208" s="399"/>
      <c r="CN208" s="399"/>
      <c r="CO208" s="399">
        <v>11.781959999999991</v>
      </c>
      <c r="CP208" s="399">
        <v>-3.2937600000000016</v>
      </c>
      <c r="CQ208" s="399">
        <v>31</v>
      </c>
      <c r="CR208" s="399">
        <v>5.4132018084288802E-2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-2.4067666262667942</v>
      </c>
      <c r="DA208" s="399">
        <v>0</v>
      </c>
      <c r="DB208" s="399">
        <v>0</v>
      </c>
      <c r="DC208" s="399">
        <v>-3.2936429126637705</v>
      </c>
      <c r="DD208" s="399">
        <v>0</v>
      </c>
      <c r="DE208" s="399">
        <v>0</v>
      </c>
      <c r="DF208" s="399">
        <v>0</v>
      </c>
      <c r="DG208" s="399">
        <v>-0.36850213488627759</v>
      </c>
      <c r="DH208" s="399">
        <v>0</v>
      </c>
      <c r="DI208" s="399">
        <v>5.3202685814798549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0.70375030407235784</v>
      </c>
      <c r="DP208" s="399">
        <v>9.9024806348969041E-2</v>
      </c>
      <c r="DQ208" s="399">
        <v>0</v>
      </c>
      <c r="DR208" s="399">
        <v>0</v>
      </c>
      <c r="DS208" s="399"/>
      <c r="DT208" s="399"/>
      <c r="DU208" s="399"/>
      <c r="DV208" s="399">
        <v>-187.19567117858247</v>
      </c>
      <c r="DW208" s="399">
        <v>0</v>
      </c>
      <c r="DX208" s="399">
        <v>0</v>
      </c>
      <c r="DY208" s="399">
        <v>11.78195999999997</v>
      </c>
      <c r="DZ208" s="399">
        <v>-3.293760000000006</v>
      </c>
      <c r="EA208" s="399">
        <v>0</v>
      </c>
      <c r="EB208" s="399">
        <v>0</v>
      </c>
      <c r="EC208" s="399">
        <v>8.4307745932265732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225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2360</v>
      </c>
      <c r="C209" s="399" t="s">
        <v>2357</v>
      </c>
      <c r="D209" s="399" t="s">
        <v>1826</v>
      </c>
      <c r="E209" s="399" t="s">
        <v>891</v>
      </c>
      <c r="F209" s="399" t="s">
        <v>1240</v>
      </c>
      <c r="G209" s="399" t="s">
        <v>1240</v>
      </c>
      <c r="H209" s="399" t="s">
        <v>1240</v>
      </c>
      <c r="I209" s="399" t="s">
        <v>1240</v>
      </c>
      <c r="J209" s="399" t="s">
        <v>2358</v>
      </c>
      <c r="K209" s="789">
        <v>44562</v>
      </c>
      <c r="L209" s="399">
        <v>0</v>
      </c>
      <c r="M209" s="399">
        <v>0</v>
      </c>
      <c r="N209" s="399">
        <v>0.9</v>
      </c>
      <c r="O209" s="399">
        <v>0.9</v>
      </c>
      <c r="P209" s="399">
        <v>0.9</v>
      </c>
      <c r="Q209" s="399">
        <v>0.9</v>
      </c>
      <c r="R209" s="399"/>
      <c r="S209" s="399">
        <v>522.37</v>
      </c>
      <c r="T209" s="399">
        <v>144.41999999999999</v>
      </c>
      <c r="U209" s="399"/>
      <c r="V209" s="399">
        <v>600.11099999999999</v>
      </c>
      <c r="W209" s="399">
        <v>600.11099999999999</v>
      </c>
      <c r="X209" s="399">
        <v>586.56600000000003</v>
      </c>
      <c r="Y209" s="399">
        <v>0</v>
      </c>
      <c r="Z209" s="399">
        <v>55.260877891568576</v>
      </c>
      <c r="AA209" s="399">
        <v>0</v>
      </c>
      <c r="AB209" s="399">
        <v>0</v>
      </c>
      <c r="AC209" s="399">
        <v>0</v>
      </c>
      <c r="AD209" s="399">
        <v>91.7672881145958</v>
      </c>
      <c r="AE209" s="399">
        <v>298.71649656156779</v>
      </c>
      <c r="AF209" s="399">
        <v>129.97964126743739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8.5344800876763571</v>
      </c>
      <c r="AM209" s="399"/>
      <c r="AN209" s="399">
        <v>1.309369671188541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14.54249187568143</v>
      </c>
      <c r="BH209" s="399">
        <v>0</v>
      </c>
      <c r="BI209" s="399">
        <v>0</v>
      </c>
      <c r="BJ209" s="399">
        <v>0</v>
      </c>
      <c r="BK209" s="399">
        <v>2430.6</v>
      </c>
      <c r="BL209" s="399">
        <v>9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144.52213314311882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586.56600000000003</v>
      </c>
      <c r="CJ209" s="399">
        <v>-13.574999999999932</v>
      </c>
      <c r="CK209" s="399"/>
      <c r="CL209" s="399"/>
      <c r="CM209" s="399"/>
      <c r="CN209" s="399"/>
      <c r="CO209" s="399">
        <v>-18.800999999999988</v>
      </c>
      <c r="CP209" s="399">
        <v>5.2560000000000029</v>
      </c>
      <c r="CQ209" s="399">
        <v>31</v>
      </c>
      <c r="CR209" s="399">
        <v>-8.638087992187593E-2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3.8405850419151051</v>
      </c>
      <c r="DA209" s="399">
        <v>0</v>
      </c>
      <c r="DB209" s="399">
        <v>0</v>
      </c>
      <c r="DC209" s="399">
        <v>5.2558131585060153</v>
      </c>
      <c r="DD209" s="399">
        <v>0</v>
      </c>
      <c r="DE209" s="399">
        <v>0</v>
      </c>
      <c r="DF209" s="399">
        <v>0</v>
      </c>
      <c r="DG209" s="399">
        <v>0.58803532162704109</v>
      </c>
      <c r="DH209" s="399">
        <v>0</v>
      </c>
      <c r="DI209" s="399">
        <v>-8.4897902895955184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-1.1230058043707842</v>
      </c>
      <c r="DP209" s="399">
        <v>-0.15801830800367389</v>
      </c>
      <c r="DQ209" s="399">
        <v>0</v>
      </c>
      <c r="DR209" s="399">
        <v>0</v>
      </c>
      <c r="DS209" s="399"/>
      <c r="DT209" s="399"/>
      <c r="DU209" s="399"/>
      <c r="DV209" s="399">
        <v>298.71649656156779</v>
      </c>
      <c r="DW209" s="399">
        <v>0</v>
      </c>
      <c r="DX209" s="399">
        <v>0</v>
      </c>
      <c r="DY209" s="399">
        <v>-18.800999999999988</v>
      </c>
      <c r="DZ209" s="399">
        <v>5.2560000000000286</v>
      </c>
      <c r="EA209" s="399">
        <v>0</v>
      </c>
      <c r="EB209" s="399">
        <v>0</v>
      </c>
      <c r="EC209" s="399">
        <v>-13.453363712595603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225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957</v>
      </c>
      <c r="C210" s="399" t="s">
        <v>2365</v>
      </c>
      <c r="D210" s="399" t="s">
        <v>534</v>
      </c>
      <c r="E210" s="399" t="s">
        <v>891</v>
      </c>
      <c r="F210" s="399" t="s">
        <v>1240</v>
      </c>
      <c r="G210" s="399" t="s">
        <v>1240</v>
      </c>
      <c r="H210" s="399" t="s">
        <v>1240</v>
      </c>
      <c r="I210" s="399" t="s">
        <v>894</v>
      </c>
      <c r="J210" s="399" t="s">
        <v>2358</v>
      </c>
      <c r="K210" s="789">
        <v>44562</v>
      </c>
      <c r="L210" s="399">
        <v>965</v>
      </c>
      <c r="M210" s="399">
        <v>965</v>
      </c>
      <c r="N210" s="399">
        <v>52.65</v>
      </c>
      <c r="O210" s="399">
        <v>52.65</v>
      </c>
      <c r="P210" s="399">
        <v>52.65</v>
      </c>
      <c r="Q210" s="399">
        <v>52.65</v>
      </c>
      <c r="R210" s="399">
        <v>111</v>
      </c>
      <c r="S210" s="399">
        <v>69.64</v>
      </c>
      <c r="T210" s="399">
        <v>144.41999999999999</v>
      </c>
      <c r="U210" s="399">
        <v>107115</v>
      </c>
      <c r="V210" s="399">
        <v>11270.258999999998</v>
      </c>
      <c r="W210" s="399">
        <v>118385.25900000001</v>
      </c>
      <c r="X210" s="399">
        <v>115995.34599999999</v>
      </c>
      <c r="Y210" s="399">
        <v>0</v>
      </c>
      <c r="Z210" s="399">
        <v>2812.5023802913834</v>
      </c>
      <c r="AA210" s="399">
        <v>0</v>
      </c>
      <c r="AB210" s="399">
        <v>0</v>
      </c>
      <c r="AC210" s="399">
        <v>0</v>
      </c>
      <c r="AD210" s="399">
        <v>30151.724846390414</v>
      </c>
      <c r="AE210" s="399">
        <v>76959.787697114778</v>
      </c>
      <c r="AF210" s="399">
        <v>7603.8090141450875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499.26708512906686</v>
      </c>
      <c r="AM210" s="399"/>
      <c r="AN210" s="399">
        <v>26.203125961649974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328.46241611427558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7932.2714302593631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115995.34599999999</v>
      </c>
      <c r="CJ210" s="399">
        <v>-2389.9429999999993</v>
      </c>
      <c r="CK210" s="399"/>
      <c r="CL210" s="399"/>
      <c r="CM210" s="399"/>
      <c r="CN210" s="399"/>
      <c r="CO210" s="399">
        <v>-2697.3890000000056</v>
      </c>
      <c r="CP210" s="399">
        <v>307.47600000000017</v>
      </c>
      <c r="CQ210" s="399">
        <v>31</v>
      </c>
      <c r="CR210" s="399">
        <v>1081.6911230974656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1261.8904384356101</v>
      </c>
      <c r="DA210" s="399">
        <v>0</v>
      </c>
      <c r="DB210" s="399">
        <v>0</v>
      </c>
      <c r="DC210" s="399">
        <v>307.46506977260196</v>
      </c>
      <c r="DD210" s="399">
        <v>0</v>
      </c>
      <c r="DE210" s="399">
        <v>0</v>
      </c>
      <c r="DF210" s="399">
        <v>0</v>
      </c>
      <c r="DG210" s="399">
        <v>13.281596039612339</v>
      </c>
      <c r="DH210" s="399">
        <v>0</v>
      </c>
      <c r="DI210" s="399">
        <v>-432.08787678896215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-65.695839555690839</v>
      </c>
      <c r="DP210" s="399">
        <v>-3.1622648057127236</v>
      </c>
      <c r="DQ210" s="399">
        <v>0</v>
      </c>
      <c r="DR210" s="399">
        <v>0</v>
      </c>
      <c r="DS210" s="399"/>
      <c r="DT210" s="399"/>
      <c r="DU210" s="399">
        <v>76959.787697114778</v>
      </c>
      <c r="DV210" s="399">
        <v>0</v>
      </c>
      <c r="DW210" s="399">
        <v>0</v>
      </c>
      <c r="DX210" s="399">
        <v>0</v>
      </c>
      <c r="DY210" s="399">
        <v>-2697.3890000000101</v>
      </c>
      <c r="DZ210" s="399">
        <v>307.47600000000057</v>
      </c>
      <c r="EA210" s="399">
        <v>0</v>
      </c>
      <c r="EB210" s="399">
        <v>0</v>
      </c>
      <c r="EC210" s="399">
        <v>-3466.0556984675495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225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957</v>
      </c>
      <c r="C211" s="399" t="s">
        <v>2365</v>
      </c>
      <c r="D211" s="399" t="s">
        <v>534</v>
      </c>
      <c r="E211" s="399" t="s">
        <v>891</v>
      </c>
      <c r="F211" s="399" t="s">
        <v>1240</v>
      </c>
      <c r="G211" s="399" t="s">
        <v>1240</v>
      </c>
      <c r="H211" s="399" t="s">
        <v>1240</v>
      </c>
      <c r="I211" s="399" t="s">
        <v>2328</v>
      </c>
      <c r="J211" s="399" t="s">
        <v>2358</v>
      </c>
      <c r="K211" s="789">
        <v>44562</v>
      </c>
      <c r="L211" s="399">
        <v>3450</v>
      </c>
      <c r="M211" s="399">
        <v>3450</v>
      </c>
      <c r="N211" s="399">
        <v>1291.193</v>
      </c>
      <c r="O211" s="399">
        <v>1291.193</v>
      </c>
      <c r="P211" s="399">
        <v>1291.193</v>
      </c>
      <c r="Q211" s="399">
        <v>1291.193</v>
      </c>
      <c r="R211" s="399">
        <v>34.950000000000003</v>
      </c>
      <c r="S211" s="399">
        <v>69.64</v>
      </c>
      <c r="T211" s="399">
        <v>144.41999999999999</v>
      </c>
      <c r="U211" s="399">
        <v>120577.50000000001</v>
      </c>
      <c r="V211" s="399">
        <v>276392.77357999998</v>
      </c>
      <c r="W211" s="399">
        <v>396970.27357999998</v>
      </c>
      <c r="X211" s="399">
        <v>390932.89351999993</v>
      </c>
      <c r="Y211" s="399">
        <v>0</v>
      </c>
      <c r="Z211" s="399">
        <v>68974.04341719985</v>
      </c>
      <c r="AA211" s="399">
        <v>0</v>
      </c>
      <c r="AB211" s="399">
        <v>0</v>
      </c>
      <c r="AC211" s="399">
        <v>0</v>
      </c>
      <c r="AD211" s="399">
        <v>43710.739314457649</v>
      </c>
      <c r="AE211" s="399">
        <v>76882.587574446894</v>
      </c>
      <c r="AF211" s="399">
        <v>186476.44771891809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12244.067719830109</v>
      </c>
      <c r="AM211" s="399"/>
      <c r="AN211" s="399">
        <v>642.60765089839924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8055.2397426370344</v>
      </c>
      <c r="BH211" s="399">
        <v>0</v>
      </c>
      <c r="BI211" s="399">
        <v>0</v>
      </c>
      <c r="BJ211" s="399">
        <v>0</v>
      </c>
      <c r="BK211" s="399">
        <v>0</v>
      </c>
      <c r="BL211" s="399">
        <v>0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194531.68746155512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390932.26159999997</v>
      </c>
      <c r="CJ211" s="399">
        <v>-6038.0419800000382</v>
      </c>
      <c r="CK211" s="399"/>
      <c r="CL211" s="399"/>
      <c r="CM211" s="399"/>
      <c r="CN211" s="399"/>
      <c r="CO211" s="399">
        <v>-13577.947180000017</v>
      </c>
      <c r="CP211" s="399">
        <v>7540.5671200000043</v>
      </c>
      <c r="CQ211" s="399">
        <v>31</v>
      </c>
      <c r="CR211" s="399">
        <v>-2589.8695482125622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1829.3535205321605</v>
      </c>
      <c r="DA211" s="399">
        <v>0</v>
      </c>
      <c r="DB211" s="399">
        <v>0</v>
      </c>
      <c r="DC211" s="399">
        <v>7540.2990661898511</v>
      </c>
      <c r="DD211" s="399">
        <v>0</v>
      </c>
      <c r="DE211" s="399">
        <v>0</v>
      </c>
      <c r="DF211" s="399">
        <v>0</v>
      </c>
      <c r="DG211" s="399">
        <v>325.71897122839891</v>
      </c>
      <c r="DH211" s="399">
        <v>0</v>
      </c>
      <c r="DI211" s="399">
        <v>-10596.559200280542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-1611.1302595143625</v>
      </c>
      <c r="DP211" s="399">
        <v>-77.551646368141178</v>
      </c>
      <c r="DQ211" s="399">
        <v>0</v>
      </c>
      <c r="DR211" s="399">
        <v>0</v>
      </c>
      <c r="DS211" s="399"/>
      <c r="DT211" s="399"/>
      <c r="DU211" s="399">
        <v>76882.587574446894</v>
      </c>
      <c r="DV211" s="399">
        <v>0</v>
      </c>
      <c r="DW211" s="399">
        <v>0</v>
      </c>
      <c r="DX211" s="399">
        <v>0</v>
      </c>
      <c r="DY211" s="399">
        <v>-13577.947180000017</v>
      </c>
      <c r="DZ211" s="399">
        <v>7540.5671199999924</v>
      </c>
      <c r="EA211" s="399">
        <v>0</v>
      </c>
      <c r="EB211" s="399">
        <v>0</v>
      </c>
      <c r="EC211" s="399">
        <v>-3462.578818747279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225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957</v>
      </c>
      <c r="C212" s="399" t="s">
        <v>2365</v>
      </c>
      <c r="D212" s="399" t="s">
        <v>534</v>
      </c>
      <c r="E212" s="399" t="s">
        <v>891</v>
      </c>
      <c r="F212" s="399" t="s">
        <v>1240</v>
      </c>
      <c r="G212" s="399" t="s">
        <v>1240</v>
      </c>
      <c r="H212" s="399" t="s">
        <v>1240</v>
      </c>
      <c r="I212" s="399" t="s">
        <v>1240</v>
      </c>
      <c r="J212" s="399" t="s">
        <v>2358</v>
      </c>
      <c r="K212" s="789">
        <v>44562</v>
      </c>
      <c r="L212" s="399">
        <v>0</v>
      </c>
      <c r="M212" s="399">
        <v>0</v>
      </c>
      <c r="N212" s="399">
        <v>0</v>
      </c>
      <c r="O212" s="399">
        <v>0</v>
      </c>
      <c r="P212" s="399">
        <v>0</v>
      </c>
      <c r="Q212" s="399">
        <v>0</v>
      </c>
      <c r="R212" s="399"/>
      <c r="S212" s="399"/>
      <c r="T212" s="399"/>
      <c r="U212" s="399"/>
      <c r="V212" s="399"/>
      <c r="W212" s="399"/>
      <c r="X212" s="399"/>
      <c r="Y212" s="399"/>
      <c r="Z212" s="399"/>
      <c r="AA212" s="399">
        <v>0</v>
      </c>
      <c r="AB212" s="399"/>
      <c r="AC212" s="399"/>
      <c r="AD212" s="399"/>
      <c r="AE212" s="399"/>
      <c r="AF212" s="399"/>
      <c r="AG212" s="399"/>
      <c r="AH212" s="399"/>
      <c r="AI212" s="399"/>
      <c r="AJ212" s="399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>
        <v>0</v>
      </c>
      <c r="BA212" s="399"/>
      <c r="BB212" s="399"/>
      <c r="BC212" s="399"/>
      <c r="BD212" s="399"/>
      <c r="BE212" s="399"/>
      <c r="BF212" s="399"/>
      <c r="BG212" s="399"/>
      <c r="BH212" s="399"/>
      <c r="BI212" s="399">
        <v>0</v>
      </c>
      <c r="BJ212" s="399">
        <v>0</v>
      </c>
      <c r="BK212" s="399">
        <v>221059.02</v>
      </c>
      <c r="BL212" s="399">
        <v>2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/>
      <c r="CJ212" s="399">
        <v>-0.03</v>
      </c>
      <c r="CK212" s="399"/>
      <c r="CL212" s="399"/>
      <c r="CM212" s="399"/>
      <c r="CN212" s="399"/>
      <c r="CO212" s="399">
        <v>0</v>
      </c>
      <c r="CP212" s="399">
        <v>0</v>
      </c>
      <c r="CQ212" s="399">
        <v>31</v>
      </c>
      <c r="CR212" s="399"/>
      <c r="CS212" s="399"/>
      <c r="CT212" s="399"/>
      <c r="CU212" s="399"/>
      <c r="CV212" s="399"/>
      <c r="CW212" s="399"/>
      <c r="CX212" s="399"/>
      <c r="CY212" s="399"/>
      <c r="CZ212" s="399"/>
      <c r="DA212" s="399"/>
      <c r="DB212" s="399"/>
      <c r="DC212" s="399"/>
      <c r="DD212" s="399"/>
      <c r="DE212" s="399"/>
      <c r="DF212" s="399"/>
      <c r="DG212" s="399"/>
      <c r="DH212" s="399"/>
      <c r="DI212" s="399"/>
      <c r="DJ212" s="399"/>
      <c r="DK212" s="399">
        <v>0</v>
      </c>
      <c r="DL212" s="399"/>
      <c r="DM212" s="399"/>
      <c r="DN212" s="399"/>
      <c r="DO212" s="399"/>
      <c r="DP212" s="399"/>
      <c r="DQ212" s="399"/>
      <c r="DR212" s="399"/>
      <c r="DS212" s="399"/>
      <c r="DT212" s="399"/>
      <c r="DU212" s="399"/>
      <c r="DV212" s="399"/>
      <c r="DW212" s="399"/>
      <c r="DX212" s="399"/>
      <c r="DY212" s="399"/>
      <c r="DZ212" s="399"/>
      <c r="EA212" s="399"/>
      <c r="EB212" s="399"/>
      <c r="EC212" s="399"/>
      <c r="ED212" s="399"/>
      <c r="EE212" s="399"/>
      <c r="EF212" s="399"/>
      <c r="EG212" s="399"/>
      <c r="EH212" s="399"/>
      <c r="EI212" s="399"/>
      <c r="EJ212" s="399"/>
      <c r="EK212" s="399"/>
      <c r="EL212" s="399"/>
      <c r="EM212" s="399"/>
      <c r="EN212" s="399"/>
      <c r="EO212" s="399"/>
      <c r="EP212" s="399"/>
      <c r="EQ212" s="399"/>
      <c r="ER212" s="399"/>
      <c r="ES212" s="399"/>
      <c r="ET212" s="399"/>
      <c r="EU212" s="399"/>
      <c r="EV212" s="399">
        <v>225</v>
      </c>
      <c r="EW212" s="399"/>
      <c r="EX212" s="399"/>
      <c r="EY212" s="399"/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957</v>
      </c>
      <c r="C213" s="399" t="s">
        <v>2366</v>
      </c>
      <c r="D213" s="399" t="s">
        <v>534</v>
      </c>
      <c r="E213" s="399" t="s">
        <v>891</v>
      </c>
      <c r="F213" s="399" t="s">
        <v>1240</v>
      </c>
      <c r="G213" s="399" t="s">
        <v>1240</v>
      </c>
      <c r="H213" s="399" t="s">
        <v>1240</v>
      </c>
      <c r="I213" s="399" t="s">
        <v>894</v>
      </c>
      <c r="J213" s="399" t="s">
        <v>2358</v>
      </c>
      <c r="K213" s="789">
        <v>44562</v>
      </c>
      <c r="L213" s="399">
        <v>0</v>
      </c>
      <c r="M213" s="399">
        <v>0</v>
      </c>
      <c r="N213" s="399">
        <v>70.064999999999998</v>
      </c>
      <c r="O213" s="399">
        <v>70.064999999999998</v>
      </c>
      <c r="P213" s="399">
        <v>70.064999999999998</v>
      </c>
      <c r="Q213" s="399">
        <v>70.064999999999998</v>
      </c>
      <c r="R213" s="399"/>
      <c r="S213" s="399">
        <v>2740.31</v>
      </c>
      <c r="T213" s="399">
        <v>144.41999999999999</v>
      </c>
      <c r="U213" s="399"/>
      <c r="V213" s="399">
        <v>202118.60744999998</v>
      </c>
      <c r="W213" s="399">
        <v>202118.60744999998</v>
      </c>
      <c r="X213" s="399">
        <v>198033.11729999998</v>
      </c>
      <c r="Y213" s="399">
        <v>0</v>
      </c>
      <c r="Z213" s="399">
        <v>3742.7916291569945</v>
      </c>
      <c r="AA213" s="399">
        <v>0</v>
      </c>
      <c r="AB213" s="399">
        <v>0</v>
      </c>
      <c r="AC213" s="399">
        <v>0</v>
      </c>
      <c r="AD213" s="399">
        <v>52735.320010175994</v>
      </c>
      <c r="AE213" s="399">
        <v>134385.20011148101</v>
      </c>
      <c r="AF213" s="399">
        <v>10118.915072670001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664.40927482560437</v>
      </c>
      <c r="AM213" s="399"/>
      <c r="AN213" s="399">
        <v>34.870313779734197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437.10767682899751</v>
      </c>
      <c r="BH213" s="399">
        <v>0</v>
      </c>
      <c r="BI213" s="399">
        <v>0</v>
      </c>
      <c r="BJ213" s="399">
        <v>0</v>
      </c>
      <c r="BK213" s="399">
        <v>0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10556.022749498998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198047.24939999997</v>
      </c>
      <c r="CJ213" s="399">
        <v>-4071.3880500000378</v>
      </c>
      <c r="CK213" s="399"/>
      <c r="CL213" s="399"/>
      <c r="CM213" s="399"/>
      <c r="CN213" s="399"/>
      <c r="CO213" s="399">
        <v>-4494.6697500000064</v>
      </c>
      <c r="CP213" s="399">
        <v>409.17960000000022</v>
      </c>
      <c r="CQ213" s="399">
        <v>31</v>
      </c>
      <c r="CR213" s="399">
        <v>1967.2407161761512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2207.0444204338273</v>
      </c>
      <c r="DA213" s="399">
        <v>0</v>
      </c>
      <c r="DB213" s="399">
        <v>0</v>
      </c>
      <c r="DC213" s="399">
        <v>409.16505438969398</v>
      </c>
      <c r="DD213" s="399">
        <v>0</v>
      </c>
      <c r="DE213" s="399">
        <v>0</v>
      </c>
      <c r="DF213" s="399">
        <v>0</v>
      </c>
      <c r="DG213" s="399">
        <v>17.674739345022601</v>
      </c>
      <c r="DH213" s="399">
        <v>0</v>
      </c>
      <c r="DI213" s="399">
        <v>-575.00925141915741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-87.426001870265509</v>
      </c>
      <c r="DP213" s="399">
        <v>-4.208244702986935</v>
      </c>
      <c r="DQ213" s="399">
        <v>0</v>
      </c>
      <c r="DR213" s="399">
        <v>0</v>
      </c>
      <c r="DS213" s="399"/>
      <c r="DT213" s="399"/>
      <c r="DU213" s="399"/>
      <c r="DV213" s="399">
        <v>134385.20011148101</v>
      </c>
      <c r="DW213" s="399">
        <v>0</v>
      </c>
      <c r="DX213" s="399">
        <v>0</v>
      </c>
      <c r="DY213" s="399">
        <v>-4494.6697500000009</v>
      </c>
      <c r="DZ213" s="399">
        <v>409.1796000000013</v>
      </c>
      <c r="EA213" s="399">
        <v>0</v>
      </c>
      <c r="EB213" s="399">
        <v>0</v>
      </c>
      <c r="EC213" s="399">
        <v>-6052.3372344693635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225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2360</v>
      </c>
      <c r="C214" s="399" t="s">
        <v>2366</v>
      </c>
      <c r="D214" s="399" t="s">
        <v>534</v>
      </c>
      <c r="E214" s="399" t="s">
        <v>891</v>
      </c>
      <c r="F214" s="399" t="s">
        <v>1240</v>
      </c>
      <c r="G214" s="399" t="s">
        <v>1240</v>
      </c>
      <c r="H214" s="399" t="s">
        <v>1240</v>
      </c>
      <c r="I214" s="399" t="s">
        <v>894</v>
      </c>
      <c r="J214" s="399" t="s">
        <v>2358</v>
      </c>
      <c r="K214" s="789">
        <v>44562</v>
      </c>
      <c r="L214" s="399">
        <v>0</v>
      </c>
      <c r="M214" s="399">
        <v>0</v>
      </c>
      <c r="N214" s="399">
        <v>0.83</v>
      </c>
      <c r="O214" s="399">
        <v>0.83</v>
      </c>
      <c r="P214" s="399">
        <v>0.83</v>
      </c>
      <c r="Q214" s="399">
        <v>0.83</v>
      </c>
      <c r="R214" s="399"/>
      <c r="S214" s="399">
        <v>2740.31</v>
      </c>
      <c r="T214" s="399">
        <v>144.41999999999999</v>
      </c>
      <c r="U214" s="399"/>
      <c r="V214" s="399">
        <v>2394.3258999999998</v>
      </c>
      <c r="W214" s="399">
        <v>2394.3258999999998</v>
      </c>
      <c r="X214" s="399">
        <v>2345.9285999999997</v>
      </c>
      <c r="Y214" s="399">
        <v>0</v>
      </c>
      <c r="Z214" s="399">
        <v>44.337644361668531</v>
      </c>
      <c r="AA214" s="399">
        <v>0</v>
      </c>
      <c r="AB214" s="399">
        <v>0</v>
      </c>
      <c r="AC214" s="399">
        <v>0</v>
      </c>
      <c r="AD214" s="399">
        <v>624.71013499530545</v>
      </c>
      <c r="AE214" s="399">
        <v>1591.9462797763397</v>
      </c>
      <c r="AF214" s="399">
        <v>119.87011361330336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7.8706871919681953</v>
      </c>
      <c r="AM214" s="399"/>
      <c r="AN214" s="399">
        <v>0.41307871886361786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5.1780399881262813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125.04815360142965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2345.9285999999997</v>
      </c>
      <c r="CJ214" s="399">
        <v>-48.427300000000741</v>
      </c>
      <c r="CK214" s="399"/>
      <c r="CL214" s="399"/>
      <c r="CM214" s="399"/>
      <c r="CN214" s="399"/>
      <c r="CO214" s="399">
        <v>-53.244500000000073</v>
      </c>
      <c r="CP214" s="399">
        <v>4.8472000000000026</v>
      </c>
      <c r="CQ214" s="399">
        <v>31</v>
      </c>
      <c r="CR214" s="399">
        <v>23.304214578265714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26.144963519019143</v>
      </c>
      <c r="DA214" s="399">
        <v>0</v>
      </c>
      <c r="DB214" s="399">
        <v>0</v>
      </c>
      <c r="DC214" s="399">
        <v>4.8470276906222267</v>
      </c>
      <c r="DD214" s="399">
        <v>0</v>
      </c>
      <c r="DE214" s="399">
        <v>0</v>
      </c>
      <c r="DF214" s="399">
        <v>0</v>
      </c>
      <c r="DG214" s="399">
        <v>0.20937748742408857</v>
      </c>
      <c r="DH214" s="399">
        <v>0</v>
      </c>
      <c r="DI214" s="399">
        <v>-6.8116417423521156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-1.035660908475279</v>
      </c>
      <c r="DP214" s="399">
        <v>-4.985146797229939E-2</v>
      </c>
      <c r="DQ214" s="399">
        <v>0</v>
      </c>
      <c r="DR214" s="399">
        <v>0</v>
      </c>
      <c r="DS214" s="399"/>
      <c r="DT214" s="399"/>
      <c r="DU214" s="399"/>
      <c r="DV214" s="399">
        <v>1591.9462797763397</v>
      </c>
      <c r="DW214" s="399">
        <v>0</v>
      </c>
      <c r="DX214" s="399">
        <v>0</v>
      </c>
      <c r="DY214" s="399">
        <v>-53.244500000000244</v>
      </c>
      <c r="DZ214" s="399">
        <v>4.8472000000000008</v>
      </c>
      <c r="EA214" s="399">
        <v>0</v>
      </c>
      <c r="EB214" s="399">
        <v>0</v>
      </c>
      <c r="EC214" s="399">
        <v>-71.696851560830282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225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957</v>
      </c>
      <c r="C215" s="399" t="s">
        <v>2366</v>
      </c>
      <c r="D215" s="399" t="s">
        <v>534</v>
      </c>
      <c r="E215" s="399" t="s">
        <v>891</v>
      </c>
      <c r="F215" s="399" t="s">
        <v>1240</v>
      </c>
      <c r="G215" s="399" t="s">
        <v>1240</v>
      </c>
      <c r="H215" s="399" t="s">
        <v>1240</v>
      </c>
      <c r="I215" s="399" t="s">
        <v>2328</v>
      </c>
      <c r="J215" s="399" t="s">
        <v>2358</v>
      </c>
      <c r="K215" s="789">
        <v>44562</v>
      </c>
      <c r="L215" s="399">
        <v>0</v>
      </c>
      <c r="M215" s="399">
        <v>0</v>
      </c>
      <c r="N215" s="399">
        <v>4959.33</v>
      </c>
      <c r="O215" s="399">
        <v>4959.33</v>
      </c>
      <c r="P215" s="399">
        <v>4959.33</v>
      </c>
      <c r="Q215" s="399">
        <v>4959.33</v>
      </c>
      <c r="R215" s="399"/>
      <c r="S215" s="399">
        <v>69.64</v>
      </c>
      <c r="T215" s="399">
        <v>144.41999999999999</v>
      </c>
      <c r="U215" s="399"/>
      <c r="V215" s="399">
        <v>1061594.1797999998</v>
      </c>
      <c r="W215" s="399">
        <v>1061594.1797999998</v>
      </c>
      <c r="X215" s="399">
        <v>1044633.2712</v>
      </c>
      <c r="Y215" s="399">
        <v>0</v>
      </c>
      <c r="Z215" s="399">
        <v>264921.69856885972</v>
      </c>
      <c r="AA215" s="399">
        <v>0</v>
      </c>
      <c r="AB215" s="399">
        <v>0</v>
      </c>
      <c r="AC215" s="399">
        <v>0</v>
      </c>
      <c r="AD215" s="399">
        <v>0</v>
      </c>
      <c r="AE215" s="399">
        <v>0</v>
      </c>
      <c r="AF215" s="399">
        <v>716235.48258537811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47028.114592462203</v>
      </c>
      <c r="AM215" s="399"/>
      <c r="AN215" s="399">
        <v>2468.1851600263926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30939.288017246159</v>
      </c>
      <c r="BH215" s="399">
        <v>0</v>
      </c>
      <c r="BI215" s="399">
        <v>0</v>
      </c>
      <c r="BJ215" s="399">
        <v>0</v>
      </c>
      <c r="BK215" s="399">
        <v>0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747174.77060262428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1044633.2712</v>
      </c>
      <c r="CJ215" s="399">
        <v>-16960.938599999878</v>
      </c>
      <c r="CK215" s="399"/>
      <c r="CL215" s="399"/>
      <c r="CM215" s="399"/>
      <c r="CN215" s="399"/>
      <c r="CO215" s="399">
        <v>-45923.395799999991</v>
      </c>
      <c r="CP215" s="399">
        <v>28962.487200000018</v>
      </c>
      <c r="CQ215" s="399">
        <v>31</v>
      </c>
      <c r="CR215" s="399">
        <v>-16973.748728128383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0</v>
      </c>
      <c r="DA215" s="399">
        <v>0</v>
      </c>
      <c r="DB215" s="399">
        <v>0</v>
      </c>
      <c r="DC215" s="399">
        <v>28961.457634859602</v>
      </c>
      <c r="DD215" s="399">
        <v>0</v>
      </c>
      <c r="DE215" s="399">
        <v>0</v>
      </c>
      <c r="DF215" s="399">
        <v>0</v>
      </c>
      <c r="DG215" s="399">
        <v>1251.0506683215717</v>
      </c>
      <c r="DH215" s="399">
        <v>0</v>
      </c>
      <c r="DI215" s="399">
        <v>-40700.215954336221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-6188.1737508779552</v>
      </c>
      <c r="DP215" s="399">
        <v>-297.86732609525734</v>
      </c>
      <c r="DQ215" s="399">
        <v>0</v>
      </c>
      <c r="DR215" s="399">
        <v>0</v>
      </c>
      <c r="DS215" s="399"/>
      <c r="DT215" s="399"/>
      <c r="DU215" s="399"/>
      <c r="DV215" s="399">
        <v>0</v>
      </c>
      <c r="DW215" s="399">
        <v>0</v>
      </c>
      <c r="DX215" s="399">
        <v>0</v>
      </c>
      <c r="DY215" s="399">
        <v>-45923.395799999998</v>
      </c>
      <c r="DZ215" s="399">
        <v>28962.487200000091</v>
      </c>
      <c r="EA215" s="399">
        <v>0</v>
      </c>
      <c r="EB215" s="399">
        <v>0</v>
      </c>
      <c r="EC215" s="399">
        <v>0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225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957</v>
      </c>
      <c r="C216" s="399" t="s">
        <v>2366</v>
      </c>
      <c r="D216" s="399" t="s">
        <v>534</v>
      </c>
      <c r="E216" s="399" t="s">
        <v>891</v>
      </c>
      <c r="F216" s="399" t="s">
        <v>1240</v>
      </c>
      <c r="G216" s="399" t="s">
        <v>1240</v>
      </c>
      <c r="H216" s="399" t="s">
        <v>1240</v>
      </c>
      <c r="I216" s="399" t="s">
        <v>1240</v>
      </c>
      <c r="J216" s="399" t="s">
        <v>2358</v>
      </c>
      <c r="K216" s="789">
        <v>44562</v>
      </c>
      <c r="L216" s="399">
        <v>21350</v>
      </c>
      <c r="M216" s="399">
        <v>21350</v>
      </c>
      <c r="N216" s="399">
        <v>0</v>
      </c>
      <c r="O216" s="399">
        <v>0</v>
      </c>
      <c r="P216" s="399">
        <v>0</v>
      </c>
      <c r="Q216" s="399">
        <v>0</v>
      </c>
      <c r="R216" s="399">
        <v>34.950000000000003</v>
      </c>
      <c r="S216" s="399"/>
      <c r="T216" s="399"/>
      <c r="U216" s="399">
        <v>746182.50000000012</v>
      </c>
      <c r="V216" s="399"/>
      <c r="W216" s="399">
        <v>746182.50000000012</v>
      </c>
      <c r="X216" s="399">
        <v>736147.99999999988</v>
      </c>
      <c r="Y216" s="399">
        <v>0</v>
      </c>
      <c r="Z216" s="399">
        <v>0</v>
      </c>
      <c r="AA216" s="399">
        <v>0</v>
      </c>
      <c r="AB216" s="399">
        <v>0</v>
      </c>
      <c r="AC216" s="399">
        <v>0</v>
      </c>
      <c r="AD216" s="399">
        <v>270499.79256917996</v>
      </c>
      <c r="AE216" s="399">
        <v>475780.65064186696</v>
      </c>
      <c r="AF216" s="399"/>
      <c r="AG216" s="399"/>
      <c r="AH216" s="399"/>
      <c r="AI216" s="399">
        <v>0</v>
      </c>
      <c r="AJ216" s="399">
        <v>0</v>
      </c>
      <c r="AK216" s="399">
        <v>0</v>
      </c>
      <c r="AL216" s="399">
        <v>0</v>
      </c>
      <c r="AM216" s="399"/>
      <c r="AN216" s="399">
        <v>0</v>
      </c>
      <c r="AO216" s="399">
        <v>0</v>
      </c>
      <c r="AP216" s="399">
        <v>0</v>
      </c>
      <c r="AQ216" s="399">
        <v>0</v>
      </c>
      <c r="AR216" s="399">
        <v>0</v>
      </c>
      <c r="AS216" s="399"/>
      <c r="AT216" s="399"/>
      <c r="AU216" s="399">
        <v>0</v>
      </c>
      <c r="AV216" s="399">
        <v>0</v>
      </c>
      <c r="AW216" s="399">
        <v>0</v>
      </c>
      <c r="AX216" s="399"/>
      <c r="AY216" s="399"/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/>
      <c r="BG216" s="399">
        <v>0</v>
      </c>
      <c r="BH216" s="399">
        <v>0</v>
      </c>
      <c r="BI216" s="399">
        <v>179.72</v>
      </c>
      <c r="BJ216" s="399">
        <v>829.52</v>
      </c>
      <c r="BK216" s="399">
        <v>840164.77</v>
      </c>
      <c r="BL216" s="399">
        <v>70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0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736147.99999999988</v>
      </c>
      <c r="CJ216" s="399">
        <v>-10034.530000000261</v>
      </c>
      <c r="CK216" s="399"/>
      <c r="CL216" s="399"/>
      <c r="CM216" s="399"/>
      <c r="CN216" s="399"/>
      <c r="CO216" s="399">
        <v>-10034.500000000127</v>
      </c>
      <c r="CP216" s="399">
        <v>0</v>
      </c>
      <c r="CQ216" s="399">
        <v>31</v>
      </c>
      <c r="CR216" s="399">
        <v>11320.781931409147</v>
      </c>
      <c r="CS216" s="399">
        <v>0</v>
      </c>
      <c r="CT216" s="399">
        <v>0</v>
      </c>
      <c r="CU216" s="399">
        <v>0</v>
      </c>
      <c r="CV216" s="399">
        <v>0</v>
      </c>
      <c r="CW216" s="399"/>
      <c r="CX216" s="399"/>
      <c r="CY216" s="399"/>
      <c r="CZ216" s="399">
        <v>11320.781931409147</v>
      </c>
      <c r="DA216" s="399">
        <v>0</v>
      </c>
      <c r="DB216" s="399">
        <v>0</v>
      </c>
      <c r="DC216" s="399"/>
      <c r="DD216" s="399"/>
      <c r="DE216" s="399">
        <v>0</v>
      </c>
      <c r="DF216" s="399">
        <v>0</v>
      </c>
      <c r="DG216" s="399">
        <v>0</v>
      </c>
      <c r="DH216" s="399">
        <v>0</v>
      </c>
      <c r="DI216" s="399">
        <v>0</v>
      </c>
      <c r="DJ216" s="399"/>
      <c r="DK216" s="399">
        <v>0</v>
      </c>
      <c r="DL216" s="399">
        <v>0</v>
      </c>
      <c r="DM216" s="399"/>
      <c r="DN216" s="399">
        <v>0</v>
      </c>
      <c r="DO216" s="399">
        <v>0</v>
      </c>
      <c r="DP216" s="399">
        <v>0</v>
      </c>
      <c r="DQ216" s="399">
        <v>0</v>
      </c>
      <c r="DR216" s="399">
        <v>0</v>
      </c>
      <c r="DS216" s="399"/>
      <c r="DT216" s="399"/>
      <c r="DU216" s="399">
        <v>475780.65064186696</v>
      </c>
      <c r="DV216" s="399"/>
      <c r="DW216" s="399">
        <v>0</v>
      </c>
      <c r="DX216" s="399">
        <v>0</v>
      </c>
      <c r="DY216" s="399">
        <v>-10034.500000000233</v>
      </c>
      <c r="DZ216" s="399"/>
      <c r="EA216" s="399">
        <v>0</v>
      </c>
      <c r="EB216" s="399"/>
      <c r="EC216" s="399">
        <v>-21427.842834856303</v>
      </c>
      <c r="ED216" s="399"/>
      <c r="EE216" s="399">
        <v>0</v>
      </c>
      <c r="EF216" s="399">
        <v>0</v>
      </c>
      <c r="EG216" s="399"/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/>
      <c r="EN216" s="399"/>
      <c r="EO216" s="399">
        <v>0</v>
      </c>
      <c r="EP216" s="399">
        <v>0</v>
      </c>
      <c r="EQ216" s="399"/>
      <c r="ER216" s="399">
        <v>0</v>
      </c>
      <c r="ES216" s="399"/>
      <c r="ET216" s="399">
        <v>0</v>
      </c>
      <c r="EU216" s="399"/>
      <c r="EV216" s="399">
        <v>225</v>
      </c>
      <c r="EW216" s="399"/>
      <c r="EX216" s="399"/>
      <c r="EY216" s="399"/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2360</v>
      </c>
      <c r="C217" s="399" t="s">
        <v>2366</v>
      </c>
      <c r="D217" s="399" t="s">
        <v>534</v>
      </c>
      <c r="E217" s="399" t="s">
        <v>891</v>
      </c>
      <c r="F217" s="399" t="s">
        <v>1240</v>
      </c>
      <c r="G217" s="399" t="s">
        <v>1240</v>
      </c>
      <c r="H217" s="399" t="s">
        <v>1240</v>
      </c>
      <c r="I217" s="399" t="s">
        <v>1240</v>
      </c>
      <c r="J217" s="399" t="s">
        <v>2358</v>
      </c>
      <c r="K217" s="789">
        <v>44562</v>
      </c>
      <c r="L217" s="399">
        <v>130</v>
      </c>
      <c r="M217" s="399">
        <v>130</v>
      </c>
      <c r="N217" s="399">
        <v>0</v>
      </c>
      <c r="O217" s="399">
        <v>0</v>
      </c>
      <c r="P217" s="399">
        <v>0</v>
      </c>
      <c r="Q217" s="399">
        <v>0</v>
      </c>
      <c r="R217" s="399">
        <v>34.950000000000003</v>
      </c>
      <c r="S217" s="399"/>
      <c r="T217" s="399"/>
      <c r="U217" s="399">
        <v>4543.5</v>
      </c>
      <c r="V217" s="399"/>
      <c r="W217" s="399">
        <v>4543.5</v>
      </c>
      <c r="X217" s="399">
        <v>4482.3999999999996</v>
      </c>
      <c r="Y217" s="399">
        <v>0</v>
      </c>
      <c r="Z217" s="399">
        <v>0</v>
      </c>
      <c r="AA217" s="399">
        <v>0</v>
      </c>
      <c r="AB217" s="399">
        <v>0</v>
      </c>
      <c r="AC217" s="399">
        <v>0</v>
      </c>
      <c r="AD217" s="399">
        <v>1647.07133648681</v>
      </c>
      <c r="AE217" s="399">
        <v>2897.0250390371293</v>
      </c>
      <c r="AF217" s="399"/>
      <c r="AG217" s="399"/>
      <c r="AH217" s="399"/>
      <c r="AI217" s="399">
        <v>0</v>
      </c>
      <c r="AJ217" s="399">
        <v>0</v>
      </c>
      <c r="AK217" s="399">
        <v>0</v>
      </c>
      <c r="AL217" s="399">
        <v>0</v>
      </c>
      <c r="AM217" s="399"/>
      <c r="AN217" s="399">
        <v>0</v>
      </c>
      <c r="AO217" s="399">
        <v>0</v>
      </c>
      <c r="AP217" s="399">
        <v>0</v>
      </c>
      <c r="AQ217" s="399">
        <v>0</v>
      </c>
      <c r="AR217" s="399">
        <v>0</v>
      </c>
      <c r="AS217" s="399"/>
      <c r="AT217" s="399"/>
      <c r="AU217" s="399">
        <v>0</v>
      </c>
      <c r="AV217" s="399">
        <v>0</v>
      </c>
      <c r="AW217" s="399">
        <v>0</v>
      </c>
      <c r="AX217" s="399"/>
      <c r="AY217" s="399"/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/>
      <c r="BG217" s="399">
        <v>0</v>
      </c>
      <c r="BH217" s="399">
        <v>0</v>
      </c>
      <c r="BI217" s="399">
        <v>0</v>
      </c>
      <c r="BJ217" s="399">
        <v>0</v>
      </c>
      <c r="BK217" s="399">
        <v>2430.62</v>
      </c>
      <c r="BL217" s="399">
        <v>1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0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4482.3999999999996</v>
      </c>
      <c r="CJ217" s="399">
        <v>-61.130000000001019</v>
      </c>
      <c r="CK217" s="399"/>
      <c r="CL217" s="399"/>
      <c r="CM217" s="399"/>
      <c r="CN217" s="399"/>
      <c r="CO217" s="399">
        <v>-61.100000000000776</v>
      </c>
      <c r="CP217" s="399">
        <v>0</v>
      </c>
      <c r="CQ217" s="399">
        <v>31</v>
      </c>
      <c r="CR217" s="399">
        <v>68.932161643240988</v>
      </c>
      <c r="CS217" s="399">
        <v>0</v>
      </c>
      <c r="CT217" s="399">
        <v>0</v>
      </c>
      <c r="CU217" s="399">
        <v>0</v>
      </c>
      <c r="CV217" s="399">
        <v>0</v>
      </c>
      <c r="CW217" s="399"/>
      <c r="CX217" s="399"/>
      <c r="CY217" s="399"/>
      <c r="CZ217" s="399">
        <v>68.932161643240988</v>
      </c>
      <c r="DA217" s="399">
        <v>0</v>
      </c>
      <c r="DB217" s="399">
        <v>0</v>
      </c>
      <c r="DC217" s="399"/>
      <c r="DD217" s="399"/>
      <c r="DE217" s="399">
        <v>0</v>
      </c>
      <c r="DF217" s="399">
        <v>0</v>
      </c>
      <c r="DG217" s="399">
        <v>0</v>
      </c>
      <c r="DH217" s="399">
        <v>0</v>
      </c>
      <c r="DI217" s="399">
        <v>0</v>
      </c>
      <c r="DJ217" s="399"/>
      <c r="DK217" s="399">
        <v>0</v>
      </c>
      <c r="DL217" s="399">
        <v>0</v>
      </c>
      <c r="DM217" s="399"/>
      <c r="DN217" s="399">
        <v>0</v>
      </c>
      <c r="DO217" s="399">
        <v>0</v>
      </c>
      <c r="DP217" s="399">
        <v>0</v>
      </c>
      <c r="DQ217" s="399">
        <v>0</v>
      </c>
      <c r="DR217" s="399">
        <v>0</v>
      </c>
      <c r="DS217" s="399"/>
      <c r="DT217" s="399"/>
      <c r="DU217" s="399">
        <v>2897.0250390371293</v>
      </c>
      <c r="DV217" s="399"/>
      <c r="DW217" s="399">
        <v>0</v>
      </c>
      <c r="DX217" s="399">
        <v>0</v>
      </c>
      <c r="DY217" s="399">
        <v>-61.100000000000364</v>
      </c>
      <c r="DZ217" s="399"/>
      <c r="EA217" s="399">
        <v>0</v>
      </c>
      <c r="EB217" s="399"/>
      <c r="EC217" s="399">
        <v>-130.47398447453543</v>
      </c>
      <c r="ED217" s="399"/>
      <c r="EE217" s="399">
        <v>0</v>
      </c>
      <c r="EF217" s="399">
        <v>0</v>
      </c>
      <c r="EG217" s="399"/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/>
      <c r="EN217" s="399"/>
      <c r="EO217" s="399">
        <v>0</v>
      </c>
      <c r="EP217" s="399">
        <v>0</v>
      </c>
      <c r="EQ217" s="399"/>
      <c r="ER217" s="399">
        <v>0</v>
      </c>
      <c r="ES217" s="399"/>
      <c r="ET217" s="399">
        <v>0</v>
      </c>
      <c r="EU217" s="399"/>
      <c r="EV217" s="399">
        <v>225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957</v>
      </c>
      <c r="C218" s="399" t="s">
        <v>2357</v>
      </c>
      <c r="D218" s="399" t="s">
        <v>1826</v>
      </c>
      <c r="E218" s="399" t="s">
        <v>919</v>
      </c>
      <c r="F218" s="399" t="s">
        <v>1240</v>
      </c>
      <c r="G218" s="399" t="s">
        <v>1240</v>
      </c>
      <c r="H218" s="399" t="s">
        <v>1240</v>
      </c>
      <c r="I218" s="399" t="s">
        <v>1240</v>
      </c>
      <c r="J218" s="399" t="s">
        <v>2358</v>
      </c>
      <c r="K218" s="789">
        <v>44562</v>
      </c>
      <c r="L218" s="399">
        <v>0</v>
      </c>
      <c r="M218" s="399">
        <v>0</v>
      </c>
      <c r="N218" s="399">
        <v>847.41600000000005</v>
      </c>
      <c r="O218" s="399">
        <v>847.41600000000005</v>
      </c>
      <c r="P218" s="399">
        <v>847.41600000000005</v>
      </c>
      <c r="Q218" s="399">
        <v>847.41600000000005</v>
      </c>
      <c r="R218" s="399"/>
      <c r="S218" s="399">
        <v>522.37</v>
      </c>
      <c r="T218" s="399">
        <v>144.41999999999999</v>
      </c>
      <c r="U218" s="399"/>
      <c r="V218" s="399">
        <v>565048.51464000007</v>
      </c>
      <c r="W218" s="399">
        <v>565048.51464000007</v>
      </c>
      <c r="X218" s="399">
        <v>552294.90384000004</v>
      </c>
      <c r="Y218" s="399">
        <v>0</v>
      </c>
      <c r="Z218" s="399">
        <v>52032.168999290538</v>
      </c>
      <c r="AA218" s="399">
        <v>0</v>
      </c>
      <c r="AB218" s="399">
        <v>0</v>
      </c>
      <c r="AC218" s="399">
        <v>0</v>
      </c>
      <c r="AD218" s="399">
        <v>86405.631361020351</v>
      </c>
      <c r="AE218" s="399">
        <v>281263.48738913063</v>
      </c>
      <c r="AF218" s="399">
        <v>122385.36409365192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8035.838864420386</v>
      </c>
      <c r="AM218" s="399"/>
      <c r="AN218" s="399">
        <v>1232.8675658665652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13692.822550358283</v>
      </c>
      <c r="BH218" s="399">
        <v>0</v>
      </c>
      <c r="BI218" s="399">
        <v>256.02</v>
      </c>
      <c r="BJ218" s="399">
        <v>1183.54</v>
      </c>
      <c r="BK218" s="399">
        <v>173407.4</v>
      </c>
      <c r="BL218" s="399">
        <v>1215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136078.18664401022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552297.51080000005</v>
      </c>
      <c r="CJ218" s="399">
        <v>-12751.033840000047</v>
      </c>
      <c r="CK218" s="399"/>
      <c r="CL218" s="399"/>
      <c r="CM218" s="399"/>
      <c r="CN218" s="399"/>
      <c r="CO218" s="399">
        <v>-17702.520239999991</v>
      </c>
      <c r="CP218" s="399">
        <v>4948.9094400000031</v>
      </c>
      <c r="CQ218" s="399">
        <v>31</v>
      </c>
      <c r="CR218" s="399">
        <v>-81.333933044224977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3616.1924598661426</v>
      </c>
      <c r="DA218" s="399">
        <v>0</v>
      </c>
      <c r="DB218" s="399">
        <v>0</v>
      </c>
      <c r="DC218" s="399">
        <v>4948.7335150317085</v>
      </c>
      <c r="DD218" s="399">
        <v>0</v>
      </c>
      <c r="DE218" s="399">
        <v>0</v>
      </c>
      <c r="DF218" s="399">
        <v>0</v>
      </c>
      <c r="DG218" s="399">
        <v>553.67837790211161</v>
      </c>
      <c r="DH218" s="399">
        <v>0</v>
      </c>
      <c r="DI218" s="399">
        <v>-7993.7601422754233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-1057.3923185740796</v>
      </c>
      <c r="DP218" s="399">
        <v>-148.78582499471258</v>
      </c>
      <c r="DQ218" s="399">
        <v>0</v>
      </c>
      <c r="DR218" s="399">
        <v>0</v>
      </c>
      <c r="DS218" s="399"/>
      <c r="DT218" s="399"/>
      <c r="DU218" s="399"/>
      <c r="DV218" s="399">
        <v>281263.48738913063</v>
      </c>
      <c r="DW218" s="399">
        <v>0</v>
      </c>
      <c r="DX218" s="399">
        <v>0</v>
      </c>
      <c r="DY218" s="399">
        <v>-17702.520239999983</v>
      </c>
      <c r="DZ218" s="399">
        <v>4948.9094400000031</v>
      </c>
      <c r="EA218" s="399">
        <v>0</v>
      </c>
      <c r="EB218" s="399">
        <v>0</v>
      </c>
      <c r="EC218" s="399">
        <v>-12667.328515414381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225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2359</v>
      </c>
      <c r="C219" s="399" t="s">
        <v>2357</v>
      </c>
      <c r="D219" s="399" t="s">
        <v>1826</v>
      </c>
      <c r="E219" s="399" t="s">
        <v>919</v>
      </c>
      <c r="F219" s="399" t="s">
        <v>1240</v>
      </c>
      <c r="G219" s="399" t="s">
        <v>1240</v>
      </c>
      <c r="H219" s="399" t="s">
        <v>1240</v>
      </c>
      <c r="I219" s="399" t="s">
        <v>1240</v>
      </c>
      <c r="J219" s="399" t="s">
        <v>2358</v>
      </c>
      <c r="K219" s="789">
        <v>44562</v>
      </c>
      <c r="L219" s="399">
        <v>0</v>
      </c>
      <c r="M219" s="399">
        <v>0</v>
      </c>
      <c r="N219" s="399">
        <v>-0.60499999999999998</v>
      </c>
      <c r="O219" s="399">
        <v>-0.60499999999999998</v>
      </c>
      <c r="P219" s="399">
        <v>-0.60499999999999998</v>
      </c>
      <c r="Q219" s="399">
        <v>-0.60499999999999998</v>
      </c>
      <c r="R219" s="399"/>
      <c r="S219" s="399">
        <v>522.37</v>
      </c>
      <c r="T219" s="399">
        <v>144.41999999999999</v>
      </c>
      <c r="U219" s="399"/>
      <c r="V219" s="399">
        <v>-403.40794999999997</v>
      </c>
      <c r="W219" s="399">
        <v>-403.40794999999997</v>
      </c>
      <c r="X219" s="399">
        <v>-394.30269999999996</v>
      </c>
      <c r="Y219" s="399">
        <v>0</v>
      </c>
      <c r="Z219" s="399">
        <v>-37.147590138221098</v>
      </c>
      <c r="AA219" s="399">
        <v>0</v>
      </c>
      <c r="AB219" s="399">
        <v>0</v>
      </c>
      <c r="AC219" s="399">
        <v>0</v>
      </c>
      <c r="AD219" s="399">
        <v>-61.688010343700512</v>
      </c>
      <c r="AE219" s="399">
        <v>-200.8038671330539</v>
      </c>
      <c r="AF219" s="399">
        <v>-87.375203296444028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-5.737067170049106</v>
      </c>
      <c r="AM219" s="399"/>
      <c r="AN219" s="399">
        <v>-0.8801873900767414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-9.775786205319184</v>
      </c>
      <c r="BH219" s="399">
        <v>0</v>
      </c>
      <c r="BI219" s="399">
        <v>0</v>
      </c>
      <c r="BJ219" s="399">
        <v>0</v>
      </c>
      <c r="BK219" s="399">
        <v>-144.13999999999999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-97.150989501763206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-397.56139999999999</v>
      </c>
      <c r="CJ219" s="399">
        <v>5.8165500000000065</v>
      </c>
      <c r="CK219" s="399"/>
      <c r="CL219" s="399"/>
      <c r="CM219" s="399"/>
      <c r="CN219" s="399"/>
      <c r="CO219" s="399">
        <v>12.638449999999992</v>
      </c>
      <c r="CP219" s="399">
        <v>-3.5332000000000021</v>
      </c>
      <c r="CQ219" s="399">
        <v>31</v>
      </c>
      <c r="CR219" s="399">
        <v>5.8067147058579849E-2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-2.5817266115095947</v>
      </c>
      <c r="DA219" s="399">
        <v>0</v>
      </c>
      <c r="DB219" s="399">
        <v>0</v>
      </c>
      <c r="DC219" s="399">
        <v>-3.5330744009957016</v>
      </c>
      <c r="DD219" s="399">
        <v>0</v>
      </c>
      <c r="DE219" s="399">
        <v>0</v>
      </c>
      <c r="DF219" s="399">
        <v>0</v>
      </c>
      <c r="DG219" s="399">
        <v>-0.39529041064928805</v>
      </c>
      <c r="DH219" s="399">
        <v>0</v>
      </c>
      <c r="DI219" s="399">
        <v>5.7070256946725415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0.75490945738258208</v>
      </c>
      <c r="DP219" s="399">
        <v>0.10622341815802527</v>
      </c>
      <c r="DQ219" s="399">
        <v>0</v>
      </c>
      <c r="DR219" s="399">
        <v>0</v>
      </c>
      <c r="DS219" s="399"/>
      <c r="DT219" s="399"/>
      <c r="DU219" s="399"/>
      <c r="DV219" s="399">
        <v>-200.8038671330539</v>
      </c>
      <c r="DW219" s="399">
        <v>0</v>
      </c>
      <c r="DX219" s="399">
        <v>0</v>
      </c>
      <c r="DY219" s="399">
        <v>12.638449999999978</v>
      </c>
      <c r="DZ219" s="399">
        <v>-3.5332000000000079</v>
      </c>
      <c r="EA219" s="399">
        <v>0</v>
      </c>
      <c r="EB219" s="399">
        <v>0</v>
      </c>
      <c r="EC219" s="399">
        <v>9.0436500512448106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225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2360</v>
      </c>
      <c r="C220" s="399" t="s">
        <v>2357</v>
      </c>
      <c r="D220" s="399" t="s">
        <v>1826</v>
      </c>
      <c r="E220" s="399" t="s">
        <v>919</v>
      </c>
      <c r="F220" s="399" t="s">
        <v>1240</v>
      </c>
      <c r="G220" s="399" t="s">
        <v>1240</v>
      </c>
      <c r="H220" s="399" t="s">
        <v>1240</v>
      </c>
      <c r="I220" s="399" t="s">
        <v>1240</v>
      </c>
      <c r="J220" s="399" t="s">
        <v>2358</v>
      </c>
      <c r="K220" s="789">
        <v>44562</v>
      </c>
      <c r="L220" s="399">
        <v>0</v>
      </c>
      <c r="M220" s="399">
        <v>0</v>
      </c>
      <c r="N220" s="399">
        <v>24.210999999999999</v>
      </c>
      <c r="O220" s="399">
        <v>24.210999999999999</v>
      </c>
      <c r="P220" s="399">
        <v>24.210999999999999</v>
      </c>
      <c r="Q220" s="399">
        <v>24.210999999999999</v>
      </c>
      <c r="R220" s="399"/>
      <c r="S220" s="399">
        <v>522.37</v>
      </c>
      <c r="T220" s="399">
        <v>144.41999999999999</v>
      </c>
      <c r="U220" s="399"/>
      <c r="V220" s="399">
        <v>16143.652689999999</v>
      </c>
      <c r="W220" s="399">
        <v>16143.652689999999</v>
      </c>
      <c r="X220" s="399">
        <v>15779.27714</v>
      </c>
      <c r="Y220" s="399">
        <v>0</v>
      </c>
      <c r="Z220" s="399">
        <v>1486.5790162586297</v>
      </c>
      <c r="AA220" s="399">
        <v>0</v>
      </c>
      <c r="AB220" s="399">
        <v>0</v>
      </c>
      <c r="AC220" s="399">
        <v>0</v>
      </c>
      <c r="AD220" s="399">
        <v>2468.6420139360876</v>
      </c>
      <c r="AE220" s="399">
        <v>8035.8056647245749</v>
      </c>
      <c r="AF220" s="399">
        <v>3496.5967719176961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229.58699711414695</v>
      </c>
      <c r="AM220" s="399"/>
      <c r="AN220" s="399">
        <v>35.223499010161959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391.20918978013674</v>
      </c>
      <c r="BH220" s="399">
        <v>0</v>
      </c>
      <c r="BI220" s="399">
        <v>0.42</v>
      </c>
      <c r="BJ220" s="399">
        <v>1.99</v>
      </c>
      <c r="BK220" s="399">
        <v>11830.03</v>
      </c>
      <c r="BL220" s="399">
        <v>41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3887.8059616978326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15778.625400000001</v>
      </c>
      <c r="CJ220" s="399">
        <v>-365.05728999999883</v>
      </c>
      <c r="CK220" s="399"/>
      <c r="CL220" s="399"/>
      <c r="CM220" s="399"/>
      <c r="CN220" s="399"/>
      <c r="CO220" s="399">
        <v>-505.76778999999965</v>
      </c>
      <c r="CP220" s="399">
        <v>141.39224000000007</v>
      </c>
      <c r="CQ220" s="399">
        <v>31</v>
      </c>
      <c r="CR220" s="399">
        <v>-2.3237416486517759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103.31600494422946</v>
      </c>
      <c r="DA220" s="399">
        <v>0</v>
      </c>
      <c r="DB220" s="399">
        <v>0</v>
      </c>
      <c r="DC220" s="399">
        <v>141.38721375621026</v>
      </c>
      <c r="DD220" s="399">
        <v>0</v>
      </c>
      <c r="DE220" s="399">
        <v>0</v>
      </c>
      <c r="DF220" s="399">
        <v>0</v>
      </c>
      <c r="DG220" s="399">
        <v>15.818803524347004</v>
      </c>
      <c r="DH220" s="399">
        <v>0</v>
      </c>
      <c r="DI220" s="399">
        <v>-228.38479189044119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-30.210103921801164</v>
      </c>
      <c r="DP220" s="399">
        <v>-4.2508680611966128</v>
      </c>
      <c r="DQ220" s="399">
        <v>0</v>
      </c>
      <c r="DR220" s="399">
        <v>0</v>
      </c>
      <c r="DS220" s="399"/>
      <c r="DT220" s="399"/>
      <c r="DU220" s="399"/>
      <c r="DV220" s="399">
        <v>8035.8056647245749</v>
      </c>
      <c r="DW220" s="399">
        <v>0</v>
      </c>
      <c r="DX220" s="399">
        <v>0</v>
      </c>
      <c r="DY220" s="399">
        <v>-505.76778999999806</v>
      </c>
      <c r="DZ220" s="399">
        <v>141.39224000000013</v>
      </c>
      <c r="EA220" s="399">
        <v>0</v>
      </c>
      <c r="EB220" s="399">
        <v>0</v>
      </c>
      <c r="EC220" s="399">
        <v>-361.91043205072492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225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957</v>
      </c>
      <c r="C221" s="399" t="s">
        <v>2366</v>
      </c>
      <c r="D221" s="399" t="s">
        <v>534</v>
      </c>
      <c r="E221" s="399" t="s">
        <v>919</v>
      </c>
      <c r="F221" s="399" t="s">
        <v>1240</v>
      </c>
      <c r="G221" s="399" t="s">
        <v>1240</v>
      </c>
      <c r="H221" s="399" t="s">
        <v>1240</v>
      </c>
      <c r="I221" s="399" t="s">
        <v>894</v>
      </c>
      <c r="J221" s="399" t="s">
        <v>2358</v>
      </c>
      <c r="K221" s="789">
        <v>44562</v>
      </c>
      <c r="L221" s="399">
        <v>0</v>
      </c>
      <c r="M221" s="399">
        <v>0</v>
      </c>
      <c r="N221" s="399">
        <v>9.1140000000000008</v>
      </c>
      <c r="O221" s="399">
        <v>9.1140000000000008</v>
      </c>
      <c r="P221" s="399">
        <v>9.1140000000000008</v>
      </c>
      <c r="Q221" s="399">
        <v>9.1140000000000008</v>
      </c>
      <c r="R221" s="399"/>
      <c r="S221" s="399">
        <v>2740.31</v>
      </c>
      <c r="T221" s="399">
        <v>144.41999999999999</v>
      </c>
      <c r="U221" s="399"/>
      <c r="V221" s="399">
        <v>26291.429219999998</v>
      </c>
      <c r="W221" s="399">
        <v>26291.429219999998</v>
      </c>
      <c r="X221" s="399">
        <v>25759.991880000001</v>
      </c>
      <c r="Y221" s="399">
        <v>0</v>
      </c>
      <c r="Z221" s="399">
        <v>486.85938640029758</v>
      </c>
      <c r="AA221" s="399">
        <v>0</v>
      </c>
      <c r="AB221" s="399">
        <v>0</v>
      </c>
      <c r="AC221" s="399">
        <v>0</v>
      </c>
      <c r="AD221" s="399">
        <v>6859.7688799364032</v>
      </c>
      <c r="AE221" s="399">
        <v>17480.720956483809</v>
      </c>
      <c r="AF221" s="399">
        <v>1316.2605005682494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86.425835021202573</v>
      </c>
      <c r="AM221" s="399"/>
      <c r="AN221" s="399">
        <v>4.5359029442445946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56.858622231063777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1373.1191227993131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25748.686199999996</v>
      </c>
      <c r="CJ221" s="399">
        <v>-542.7730199999969</v>
      </c>
      <c r="CK221" s="399"/>
      <c r="CL221" s="399"/>
      <c r="CM221" s="399"/>
      <c r="CN221" s="399"/>
      <c r="CO221" s="399">
        <v>-584.6631000000009</v>
      </c>
      <c r="CP221" s="399">
        <v>53.225760000000037</v>
      </c>
      <c r="CQ221" s="399">
        <v>31</v>
      </c>
      <c r="CR221" s="399">
        <v>255.89712248953583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287.09059941245778</v>
      </c>
      <c r="DA221" s="399">
        <v>0</v>
      </c>
      <c r="DB221" s="399">
        <v>0</v>
      </c>
      <c r="DC221" s="399">
        <v>53.223867918470887</v>
      </c>
      <c r="DD221" s="399">
        <v>0</v>
      </c>
      <c r="DE221" s="399">
        <v>0</v>
      </c>
      <c r="DF221" s="399">
        <v>0</v>
      </c>
      <c r="DG221" s="399">
        <v>2.2991161691363189</v>
      </c>
      <c r="DH221" s="399">
        <v>0</v>
      </c>
      <c r="DI221" s="399">
        <v>-74.796750409394122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-11.372305445594804</v>
      </c>
      <c r="DP221" s="399">
        <v>-0.54740515554161062</v>
      </c>
      <c r="DQ221" s="399">
        <v>0</v>
      </c>
      <c r="DR221" s="399">
        <v>0</v>
      </c>
      <c r="DS221" s="399"/>
      <c r="DT221" s="399"/>
      <c r="DU221" s="399"/>
      <c r="DV221" s="399">
        <v>17480.720956483809</v>
      </c>
      <c r="DW221" s="399">
        <v>0</v>
      </c>
      <c r="DX221" s="399">
        <v>0</v>
      </c>
      <c r="DY221" s="399">
        <v>-584.66309999999794</v>
      </c>
      <c r="DZ221" s="399">
        <v>53.225760000000037</v>
      </c>
      <c r="EA221" s="399">
        <v>0</v>
      </c>
      <c r="EB221" s="399">
        <v>0</v>
      </c>
      <c r="EC221" s="399">
        <v>-787.28325918723567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225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957</v>
      </c>
      <c r="C222" s="399" t="s">
        <v>2366</v>
      </c>
      <c r="D222" s="399" t="s">
        <v>534</v>
      </c>
      <c r="E222" s="399" t="s">
        <v>919</v>
      </c>
      <c r="F222" s="399" t="s">
        <v>1240</v>
      </c>
      <c r="G222" s="399" t="s">
        <v>1240</v>
      </c>
      <c r="H222" s="399" t="s">
        <v>1240</v>
      </c>
      <c r="I222" s="399" t="s">
        <v>2328</v>
      </c>
      <c r="J222" s="399" t="s">
        <v>2358</v>
      </c>
      <c r="K222" s="789">
        <v>44562</v>
      </c>
      <c r="L222" s="399">
        <v>0</v>
      </c>
      <c r="M222" s="399">
        <v>0</v>
      </c>
      <c r="N222" s="399">
        <v>399.072</v>
      </c>
      <c r="O222" s="399">
        <v>399.072</v>
      </c>
      <c r="P222" s="399">
        <v>399.072</v>
      </c>
      <c r="Q222" s="399">
        <v>399.072</v>
      </c>
      <c r="R222" s="399"/>
      <c r="S222" s="399">
        <v>69.64</v>
      </c>
      <c r="T222" s="399">
        <v>144.41999999999999</v>
      </c>
      <c r="U222" s="399"/>
      <c r="V222" s="399">
        <v>85425.352320000005</v>
      </c>
      <c r="W222" s="399">
        <v>85425.352320000005</v>
      </c>
      <c r="X222" s="399">
        <v>84060.526079999996</v>
      </c>
      <c r="Y222" s="399">
        <v>0</v>
      </c>
      <c r="Z222" s="399">
        <v>21317.966759879258</v>
      </c>
      <c r="AA222" s="399">
        <v>0</v>
      </c>
      <c r="AB222" s="399">
        <v>0</v>
      </c>
      <c r="AC222" s="399">
        <v>0</v>
      </c>
      <c r="AD222" s="399">
        <v>0</v>
      </c>
      <c r="AE222" s="399">
        <v>0</v>
      </c>
      <c r="AF222" s="399">
        <v>57634.705999865306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3784.3022639435321</v>
      </c>
      <c r="AM222" s="399"/>
      <c r="AN222" s="399">
        <v>198.61222951125507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2489.6515351102789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60124.357534975585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84060.104800000001</v>
      </c>
      <c r="CJ222" s="399">
        <v>-1365.2775199999887</v>
      </c>
      <c r="CK222" s="399"/>
      <c r="CL222" s="399"/>
      <c r="CM222" s="399"/>
      <c r="CN222" s="399"/>
      <c r="CO222" s="399">
        <v>-3695.406719999999</v>
      </c>
      <c r="CP222" s="399">
        <v>2330.5804800000014</v>
      </c>
      <c r="CQ222" s="399">
        <v>31</v>
      </c>
      <c r="CR222" s="399">
        <v>-1365.8594714269129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0</v>
      </c>
      <c r="DA222" s="399">
        <v>0</v>
      </c>
      <c r="DB222" s="399">
        <v>0</v>
      </c>
      <c r="DC222" s="399">
        <v>2330.4976319903508</v>
      </c>
      <c r="DD222" s="399">
        <v>0</v>
      </c>
      <c r="DE222" s="399">
        <v>0</v>
      </c>
      <c r="DF222" s="399">
        <v>0</v>
      </c>
      <c r="DG222" s="399">
        <v>100.67071404976605</v>
      </c>
      <c r="DH222" s="399">
        <v>0</v>
      </c>
      <c r="DI222" s="399">
        <v>-3275.1030041011363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-497.95574706873049</v>
      </c>
      <c r="DP222" s="399">
        <v>-23.969066297158378</v>
      </c>
      <c r="DQ222" s="399">
        <v>0</v>
      </c>
      <c r="DR222" s="399">
        <v>0</v>
      </c>
      <c r="DS222" s="399"/>
      <c r="DT222" s="399"/>
      <c r="DU222" s="399"/>
      <c r="DV222" s="399">
        <v>0</v>
      </c>
      <c r="DW222" s="399">
        <v>0</v>
      </c>
      <c r="DX222" s="399">
        <v>0</v>
      </c>
      <c r="DY222" s="399">
        <v>-3695.406719999999</v>
      </c>
      <c r="DZ222" s="399">
        <v>2330.5804799999969</v>
      </c>
      <c r="EA222" s="399">
        <v>0</v>
      </c>
      <c r="EB222" s="399">
        <v>0</v>
      </c>
      <c r="EC222" s="399">
        <v>0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225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957</v>
      </c>
      <c r="C223" s="399" t="s">
        <v>2366</v>
      </c>
      <c r="D223" s="399" t="s">
        <v>534</v>
      </c>
      <c r="E223" s="399" t="s">
        <v>919</v>
      </c>
      <c r="F223" s="399" t="s">
        <v>1240</v>
      </c>
      <c r="G223" s="399" t="s">
        <v>1240</v>
      </c>
      <c r="H223" s="399" t="s">
        <v>1240</v>
      </c>
      <c r="I223" s="399" t="s">
        <v>1240</v>
      </c>
      <c r="J223" s="399" t="s">
        <v>2358</v>
      </c>
      <c r="K223" s="789">
        <v>44562</v>
      </c>
      <c r="L223" s="399">
        <v>1831</v>
      </c>
      <c r="M223" s="399">
        <v>1831</v>
      </c>
      <c r="N223" s="399">
        <v>0</v>
      </c>
      <c r="O223" s="399">
        <v>0</v>
      </c>
      <c r="P223" s="399">
        <v>0</v>
      </c>
      <c r="Q223" s="399">
        <v>0</v>
      </c>
      <c r="R223" s="399">
        <v>34.950000000000003</v>
      </c>
      <c r="S223" s="399"/>
      <c r="T223" s="399"/>
      <c r="U223" s="399">
        <v>63993.450000000004</v>
      </c>
      <c r="V223" s="399"/>
      <c r="W223" s="399">
        <v>63993.450000000004</v>
      </c>
      <c r="X223" s="399">
        <v>63132.88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23198.366285441145</v>
      </c>
      <c r="AE223" s="399">
        <v>40803.483434438334</v>
      </c>
      <c r="AF223" s="399"/>
      <c r="AG223" s="399"/>
      <c r="AH223" s="399"/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0</v>
      </c>
      <c r="AO223" s="399">
        <v>0</v>
      </c>
      <c r="AP223" s="399">
        <v>0</v>
      </c>
      <c r="AQ223" s="399">
        <v>0</v>
      </c>
      <c r="AR223" s="399">
        <v>0</v>
      </c>
      <c r="AS223" s="399"/>
      <c r="AT223" s="399"/>
      <c r="AU223" s="399">
        <v>0</v>
      </c>
      <c r="AV223" s="399">
        <v>0</v>
      </c>
      <c r="AW223" s="399">
        <v>0</v>
      </c>
      <c r="AX223" s="399"/>
      <c r="AY223" s="399"/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/>
      <c r="BG223" s="399">
        <v>0</v>
      </c>
      <c r="BH223" s="399">
        <v>0</v>
      </c>
      <c r="BI223" s="399">
        <v>0</v>
      </c>
      <c r="BJ223" s="399">
        <v>0</v>
      </c>
      <c r="BK223" s="399">
        <v>71725.399999999994</v>
      </c>
      <c r="BL223" s="399">
        <v>14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0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63132.88</v>
      </c>
      <c r="CJ223" s="399">
        <v>-860.6000000000131</v>
      </c>
      <c r="CK223" s="399"/>
      <c r="CL223" s="399"/>
      <c r="CM223" s="399"/>
      <c r="CN223" s="399"/>
      <c r="CO223" s="399">
        <v>-860.57000000001096</v>
      </c>
      <c r="CP223" s="399">
        <v>0</v>
      </c>
      <c r="CQ223" s="399">
        <v>31</v>
      </c>
      <c r="CR223" s="399">
        <v>970.88298437518824</v>
      </c>
      <c r="CS223" s="399">
        <v>0</v>
      </c>
      <c r="CT223" s="399">
        <v>0</v>
      </c>
      <c r="CU223" s="399">
        <v>0</v>
      </c>
      <c r="CV223" s="399">
        <v>0</v>
      </c>
      <c r="CW223" s="399"/>
      <c r="CX223" s="399"/>
      <c r="CY223" s="399"/>
      <c r="CZ223" s="399">
        <v>970.88298437518824</v>
      </c>
      <c r="DA223" s="399">
        <v>0</v>
      </c>
      <c r="DB223" s="399">
        <v>0</v>
      </c>
      <c r="DC223" s="399"/>
      <c r="DD223" s="399"/>
      <c r="DE223" s="399">
        <v>0</v>
      </c>
      <c r="DF223" s="399">
        <v>0</v>
      </c>
      <c r="DG223" s="399">
        <v>0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/>
      <c r="DN223" s="399">
        <v>0</v>
      </c>
      <c r="DO223" s="399">
        <v>0</v>
      </c>
      <c r="DP223" s="399">
        <v>0</v>
      </c>
      <c r="DQ223" s="399">
        <v>0</v>
      </c>
      <c r="DR223" s="399">
        <v>0</v>
      </c>
      <c r="DS223" s="399"/>
      <c r="DT223" s="399"/>
      <c r="DU223" s="399">
        <v>40803.483434438334</v>
      </c>
      <c r="DV223" s="399"/>
      <c r="DW223" s="399">
        <v>0</v>
      </c>
      <c r="DX223" s="399">
        <v>0</v>
      </c>
      <c r="DY223" s="399">
        <v>-860.57000000000698</v>
      </c>
      <c r="DZ223" s="399"/>
      <c r="EA223" s="399">
        <v>0</v>
      </c>
      <c r="EB223" s="399"/>
      <c r="EC223" s="399">
        <v>-1837.6758890221026</v>
      </c>
      <c r="ED223" s="399"/>
      <c r="EE223" s="399">
        <v>0</v>
      </c>
      <c r="EF223" s="399">
        <v>0</v>
      </c>
      <c r="EG223" s="399"/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/>
      <c r="EN223" s="399"/>
      <c r="EO223" s="399">
        <v>0</v>
      </c>
      <c r="EP223" s="399">
        <v>0</v>
      </c>
      <c r="EQ223" s="399"/>
      <c r="ER223" s="399">
        <v>0</v>
      </c>
      <c r="ES223" s="399"/>
      <c r="ET223" s="399">
        <v>0</v>
      </c>
      <c r="EU223" s="399"/>
      <c r="EV223" s="399">
        <v>225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957</v>
      </c>
      <c r="C224" s="399" t="s">
        <v>2367</v>
      </c>
      <c r="D224" s="399" t="s">
        <v>1826</v>
      </c>
      <c r="E224" s="399" t="s">
        <v>919</v>
      </c>
      <c r="F224" s="399" t="s">
        <v>1240</v>
      </c>
      <c r="G224" s="399" t="s">
        <v>1240</v>
      </c>
      <c r="H224" s="399" t="s">
        <v>1240</v>
      </c>
      <c r="I224" s="399" t="s">
        <v>894</v>
      </c>
      <c r="J224" s="399" t="s">
        <v>2358</v>
      </c>
      <c r="K224" s="789">
        <v>44562</v>
      </c>
      <c r="L224" s="399">
        <v>0</v>
      </c>
      <c r="M224" s="399">
        <v>0</v>
      </c>
      <c r="N224" s="399">
        <v>0.126</v>
      </c>
      <c r="O224" s="399">
        <v>0.126</v>
      </c>
      <c r="P224" s="399">
        <v>0.126</v>
      </c>
      <c r="Q224" s="399">
        <v>0.126</v>
      </c>
      <c r="R224" s="399"/>
      <c r="S224" s="399">
        <v>1585.55</v>
      </c>
      <c r="T224" s="399">
        <v>144.41999999999999</v>
      </c>
      <c r="U224" s="399"/>
      <c r="V224" s="399">
        <v>217.97622000000001</v>
      </c>
      <c r="W224" s="399">
        <v>217.97622000000001</v>
      </c>
      <c r="X224" s="399">
        <v>212.78502</v>
      </c>
      <c r="Y224" s="399">
        <v>0</v>
      </c>
      <c r="Z224" s="399">
        <v>7.7365229048196014</v>
      </c>
      <c r="AA224" s="399">
        <v>0</v>
      </c>
      <c r="AB224" s="399">
        <v>0</v>
      </c>
      <c r="AC224" s="399">
        <v>0</v>
      </c>
      <c r="AD224" s="399">
        <v>44.349003057119795</v>
      </c>
      <c r="AE224" s="399">
        <v>144.27996851761921</v>
      </c>
      <c r="AF224" s="399">
        <v>18.197149777441236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1.1948272122746899</v>
      </c>
      <c r="AM224" s="399"/>
      <c r="AN224" s="399">
        <v>0.18331175396639574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2.0359488625954003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20.233098640036637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219.5401</v>
      </c>
      <c r="CJ224" s="399">
        <v>1.5338800000000106</v>
      </c>
      <c r="CK224" s="399"/>
      <c r="CL224" s="399"/>
      <c r="CM224" s="399"/>
      <c r="CN224" s="399"/>
      <c r="CO224" s="399">
        <v>-5.9270399999999954</v>
      </c>
      <c r="CP224" s="399">
        <v>0.73584000000000038</v>
      </c>
      <c r="CQ224" s="399">
        <v>31</v>
      </c>
      <c r="CR224" s="399">
        <v>1.3062904917942859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1.8560657208514755</v>
      </c>
      <c r="DA224" s="399">
        <v>0</v>
      </c>
      <c r="DB224" s="399">
        <v>0</v>
      </c>
      <c r="DC224" s="399">
        <v>0.73581384219084001</v>
      </c>
      <c r="DD224" s="399">
        <v>0</v>
      </c>
      <c r="DE224" s="399">
        <v>0</v>
      </c>
      <c r="DF224" s="399">
        <v>0</v>
      </c>
      <c r="DG224" s="399">
        <v>8.2324945027785645E-2</v>
      </c>
      <c r="DH224" s="399">
        <v>0</v>
      </c>
      <c r="DI224" s="399">
        <v>-1.1885706405433734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-0.15722081261190968</v>
      </c>
      <c r="DP224" s="399">
        <v>-2.212256312051436E-2</v>
      </c>
      <c r="DQ224" s="399">
        <v>0</v>
      </c>
      <c r="DR224" s="399">
        <v>0</v>
      </c>
      <c r="DS224" s="399"/>
      <c r="DT224" s="399"/>
      <c r="DU224" s="399"/>
      <c r="DV224" s="399">
        <v>144.27996851761921</v>
      </c>
      <c r="DW224" s="399">
        <v>0</v>
      </c>
      <c r="DX224" s="399">
        <v>0</v>
      </c>
      <c r="DY224" s="399">
        <v>-5.9270400000000052</v>
      </c>
      <c r="DZ224" s="399">
        <v>0.73583999999999961</v>
      </c>
      <c r="EA224" s="399">
        <v>0</v>
      </c>
      <c r="EB224" s="399">
        <v>0</v>
      </c>
      <c r="EC224" s="399">
        <v>-6.4979702000135831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225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957</v>
      </c>
      <c r="C225" s="399" t="s">
        <v>2367</v>
      </c>
      <c r="D225" s="399" t="s">
        <v>1826</v>
      </c>
      <c r="E225" s="399" t="s">
        <v>919</v>
      </c>
      <c r="F225" s="399" t="s">
        <v>1240</v>
      </c>
      <c r="G225" s="399" t="s">
        <v>1240</v>
      </c>
      <c r="H225" s="399" t="s">
        <v>1240</v>
      </c>
      <c r="I225" s="399" t="s">
        <v>2328</v>
      </c>
      <c r="J225" s="399" t="s">
        <v>2358</v>
      </c>
      <c r="K225" s="789">
        <v>44562</v>
      </c>
      <c r="L225" s="399">
        <v>0</v>
      </c>
      <c r="M225" s="399">
        <v>0</v>
      </c>
      <c r="N225" s="399">
        <v>8.2840000000000007</v>
      </c>
      <c r="O225" s="399">
        <v>8.2840000000000007</v>
      </c>
      <c r="P225" s="399">
        <v>8.2840000000000007</v>
      </c>
      <c r="Q225" s="399">
        <v>8.2840000000000007</v>
      </c>
      <c r="R225" s="399"/>
      <c r="S225" s="399">
        <v>387.88</v>
      </c>
      <c r="T225" s="399">
        <v>144.41999999999999</v>
      </c>
      <c r="U225" s="399"/>
      <c r="V225" s="399">
        <v>4409.5731999999998</v>
      </c>
      <c r="W225" s="399">
        <v>4409.5731999999998</v>
      </c>
      <c r="X225" s="399">
        <v>4312.4018800000003</v>
      </c>
      <c r="Y225" s="399">
        <v>0</v>
      </c>
      <c r="Z225" s="399">
        <v>508.64568050417125</v>
      </c>
      <c r="AA225" s="399">
        <v>0</v>
      </c>
      <c r="AB225" s="399">
        <v>0</v>
      </c>
      <c r="AC225" s="399">
        <v>0</v>
      </c>
      <c r="AD225" s="399">
        <v>582.90361556366895</v>
      </c>
      <c r="AE225" s="399">
        <v>1897.1674129670814</v>
      </c>
      <c r="AF225" s="399">
        <v>1196.3903869549461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78.555147829234386</v>
      </c>
      <c r="AM225" s="399"/>
      <c r="AN225" s="399">
        <v>12.052020395695417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133.8555585534944</v>
      </c>
      <c r="BH225" s="399">
        <v>0</v>
      </c>
      <c r="BI225" s="399">
        <v>0</v>
      </c>
      <c r="BJ225" s="399">
        <v>0</v>
      </c>
      <c r="BK225" s="399">
        <v>0</v>
      </c>
      <c r="BL225" s="399">
        <v>0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1330.2459455084404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4310.3195999999998</v>
      </c>
      <c r="CJ225" s="399">
        <v>-99.283600000000661</v>
      </c>
      <c r="CK225" s="399"/>
      <c r="CL225" s="399"/>
      <c r="CM225" s="399"/>
      <c r="CN225" s="399"/>
      <c r="CO225" s="399">
        <v>-145.54987999999994</v>
      </c>
      <c r="CP225" s="399">
        <v>48.378560000000036</v>
      </c>
      <c r="CQ225" s="399">
        <v>31</v>
      </c>
      <c r="CR225" s="399">
        <v>-11.750235488413182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24.395304174361172</v>
      </c>
      <c r="DA225" s="399">
        <v>0</v>
      </c>
      <c r="DB225" s="399">
        <v>0</v>
      </c>
      <c r="DC225" s="399">
        <v>48.376840227848788</v>
      </c>
      <c r="DD225" s="399">
        <v>0</v>
      </c>
      <c r="DE225" s="399">
        <v>0</v>
      </c>
      <c r="DF225" s="399">
        <v>0</v>
      </c>
      <c r="DG225" s="399">
        <v>5.4125384492871262</v>
      </c>
      <c r="DH225" s="399">
        <v>0</v>
      </c>
      <c r="DI225" s="399">
        <v>-78.143803065565862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-10.336644537119525</v>
      </c>
      <c r="DP225" s="399">
        <v>-1.4544707372249288</v>
      </c>
      <c r="DQ225" s="399">
        <v>0</v>
      </c>
      <c r="DR225" s="399">
        <v>0</v>
      </c>
      <c r="DS225" s="399"/>
      <c r="DT225" s="399"/>
      <c r="DU225" s="399"/>
      <c r="DV225" s="399">
        <v>1897.1674129670814</v>
      </c>
      <c r="DW225" s="399">
        <v>0</v>
      </c>
      <c r="DX225" s="399">
        <v>0</v>
      </c>
      <c r="DY225" s="399">
        <v>-145.54987999999958</v>
      </c>
      <c r="DZ225" s="399">
        <v>48.378560000000107</v>
      </c>
      <c r="EA225" s="399">
        <v>0</v>
      </c>
      <c r="EB225" s="399">
        <v>0</v>
      </c>
      <c r="EC225" s="399">
        <v>-85.443166092673664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225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957</v>
      </c>
      <c r="C226" s="399" t="s">
        <v>2367</v>
      </c>
      <c r="D226" s="399" t="s">
        <v>1826</v>
      </c>
      <c r="E226" s="399" t="s">
        <v>919</v>
      </c>
      <c r="F226" s="399" t="s">
        <v>1240</v>
      </c>
      <c r="G226" s="399" t="s">
        <v>1240</v>
      </c>
      <c r="H226" s="399" t="s">
        <v>1240</v>
      </c>
      <c r="I226" s="399" t="s">
        <v>1240</v>
      </c>
      <c r="J226" s="399" t="s">
        <v>2358</v>
      </c>
      <c r="K226" s="789">
        <v>44562</v>
      </c>
      <c r="L226" s="399">
        <v>0</v>
      </c>
      <c r="M226" s="399">
        <v>0</v>
      </c>
      <c r="N226" s="399">
        <v>0</v>
      </c>
      <c r="O226" s="399">
        <v>0</v>
      </c>
      <c r="P226" s="399">
        <v>0</v>
      </c>
      <c r="Q226" s="399">
        <v>0</v>
      </c>
      <c r="R226" s="399"/>
      <c r="S226" s="399"/>
      <c r="T226" s="399"/>
      <c r="U226" s="399"/>
      <c r="V226" s="399"/>
      <c r="W226" s="399"/>
      <c r="X226" s="399"/>
      <c r="Y226" s="399"/>
      <c r="Z226" s="399"/>
      <c r="AA226" s="399">
        <v>0</v>
      </c>
      <c r="AB226" s="399"/>
      <c r="AC226" s="399"/>
      <c r="AD226" s="399"/>
      <c r="AE226" s="399"/>
      <c r="AF226" s="399"/>
      <c r="AG226" s="399"/>
      <c r="AH226" s="399"/>
      <c r="AI226" s="399"/>
      <c r="AJ226" s="399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>
        <v>0</v>
      </c>
      <c r="BA226" s="399"/>
      <c r="BB226" s="399"/>
      <c r="BC226" s="399"/>
      <c r="BD226" s="399"/>
      <c r="BE226" s="399"/>
      <c r="BF226" s="399"/>
      <c r="BG226" s="399"/>
      <c r="BH226" s="399"/>
      <c r="BI226" s="399">
        <v>0</v>
      </c>
      <c r="BJ226" s="399">
        <v>0</v>
      </c>
      <c r="BK226" s="399">
        <v>1499.8</v>
      </c>
      <c r="BL226" s="399">
        <v>4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/>
      <c r="CJ226" s="399">
        <v>-0.03</v>
      </c>
      <c r="CK226" s="399"/>
      <c r="CL226" s="399"/>
      <c r="CM226" s="399"/>
      <c r="CN226" s="399"/>
      <c r="CO226" s="399">
        <v>0</v>
      </c>
      <c r="CP226" s="399">
        <v>0</v>
      </c>
      <c r="CQ226" s="399">
        <v>31</v>
      </c>
      <c r="CR226" s="399"/>
      <c r="CS226" s="399"/>
      <c r="CT226" s="399"/>
      <c r="CU226" s="399"/>
      <c r="CV226" s="399"/>
      <c r="CW226" s="399"/>
      <c r="CX226" s="399"/>
      <c r="CY226" s="399"/>
      <c r="CZ226" s="399"/>
      <c r="DA226" s="399"/>
      <c r="DB226" s="399"/>
      <c r="DC226" s="399"/>
      <c r="DD226" s="399"/>
      <c r="DE226" s="399"/>
      <c r="DF226" s="399"/>
      <c r="DG226" s="399"/>
      <c r="DH226" s="399"/>
      <c r="DI226" s="399"/>
      <c r="DJ226" s="399"/>
      <c r="DK226" s="399">
        <v>0</v>
      </c>
      <c r="DL226" s="399"/>
      <c r="DM226" s="399"/>
      <c r="DN226" s="399"/>
      <c r="DO226" s="399"/>
      <c r="DP226" s="399"/>
      <c r="DQ226" s="399"/>
      <c r="DR226" s="399"/>
      <c r="DS226" s="399"/>
      <c r="DT226" s="399"/>
      <c r="DU226" s="399"/>
      <c r="DV226" s="399"/>
      <c r="DW226" s="399"/>
      <c r="DX226" s="399"/>
      <c r="DY226" s="399"/>
      <c r="DZ226" s="399"/>
      <c r="EA226" s="399"/>
      <c r="EB226" s="399"/>
      <c r="EC226" s="399"/>
      <c r="ED226" s="399"/>
      <c r="EE226" s="399"/>
      <c r="EF226" s="399"/>
      <c r="EG226" s="399"/>
      <c r="EH226" s="399"/>
      <c r="EI226" s="399"/>
      <c r="EJ226" s="399"/>
      <c r="EK226" s="399"/>
      <c r="EL226" s="399"/>
      <c r="EM226" s="399"/>
      <c r="EN226" s="399"/>
      <c r="EO226" s="399"/>
      <c r="EP226" s="399"/>
      <c r="EQ226" s="399"/>
      <c r="ER226" s="399"/>
      <c r="ES226" s="399"/>
      <c r="ET226" s="399"/>
      <c r="EU226" s="399"/>
      <c r="EV226" s="399">
        <v>225</v>
      </c>
      <c r="EW226" s="399"/>
      <c r="EX226" s="399"/>
      <c r="EY226" s="399"/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957</v>
      </c>
      <c r="C227" s="399" t="s">
        <v>2367</v>
      </c>
      <c r="D227" s="399" t="s">
        <v>1826</v>
      </c>
      <c r="E227" s="399" t="s">
        <v>919</v>
      </c>
      <c r="F227" s="399" t="s">
        <v>1240</v>
      </c>
      <c r="G227" s="399" t="s">
        <v>1240</v>
      </c>
      <c r="H227" s="399" t="s">
        <v>1240</v>
      </c>
      <c r="I227" s="399" t="s">
        <v>2368</v>
      </c>
      <c r="J227" s="399" t="s">
        <v>2358</v>
      </c>
      <c r="K227" s="789">
        <v>44562</v>
      </c>
      <c r="L227" s="399">
        <v>0</v>
      </c>
      <c r="M227" s="399">
        <v>0</v>
      </c>
      <c r="N227" s="399">
        <v>0.26400000000000001</v>
      </c>
      <c r="O227" s="399">
        <v>0.26400000000000001</v>
      </c>
      <c r="P227" s="399">
        <v>0.26400000000000001</v>
      </c>
      <c r="Q227" s="399">
        <v>0.26400000000000001</v>
      </c>
      <c r="R227" s="399"/>
      <c r="S227" s="399">
        <v>986.74</v>
      </c>
      <c r="T227" s="399">
        <v>144.41999999999999</v>
      </c>
      <c r="U227" s="399"/>
      <c r="V227" s="399">
        <v>298.62624000000005</v>
      </c>
      <c r="W227" s="399">
        <v>298.62624000000005</v>
      </c>
      <c r="X227" s="399">
        <v>291.63815999999997</v>
      </c>
      <c r="Y227" s="399">
        <v>0</v>
      </c>
      <c r="Z227" s="399">
        <v>16.209857514860118</v>
      </c>
      <c r="AA227" s="399">
        <v>0</v>
      </c>
      <c r="AB227" s="399">
        <v>0</v>
      </c>
      <c r="AC227" s="399">
        <v>0</v>
      </c>
      <c r="AD227" s="399">
        <v>55.755694266114212</v>
      </c>
      <c r="AE227" s="399">
        <v>181.38056386648122</v>
      </c>
      <c r="AF227" s="399">
        <v>38.127361438448304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2.5034474923850647</v>
      </c>
      <c r="AM227" s="399"/>
      <c r="AN227" s="399">
        <v>0.38408177021530537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4.2657976168665526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42.393159055314854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287.21940000000001</v>
      </c>
      <c r="CJ227" s="399">
        <v>-11.436840000000018</v>
      </c>
      <c r="CK227" s="399"/>
      <c r="CL227" s="399"/>
      <c r="CM227" s="399"/>
      <c r="CN227" s="399"/>
      <c r="CO227" s="399">
        <v>-8.5298400000000161</v>
      </c>
      <c r="CP227" s="399">
        <v>1.5417600000000009</v>
      </c>
      <c r="CQ227" s="399">
        <v>31</v>
      </c>
      <c r="CR227" s="399">
        <v>1.1815411616982203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2.3334511654370473</v>
      </c>
      <c r="DA227" s="399">
        <v>0</v>
      </c>
      <c r="DB227" s="399">
        <v>0</v>
      </c>
      <c r="DC227" s="399">
        <v>1.5417051931617678</v>
      </c>
      <c r="DD227" s="399">
        <v>0</v>
      </c>
      <c r="DE227" s="399">
        <v>0</v>
      </c>
      <c r="DF227" s="399">
        <v>0</v>
      </c>
      <c r="DG227" s="399">
        <v>0.172490361010599</v>
      </c>
      <c r="DH227" s="399">
        <v>0</v>
      </c>
      <c r="DI227" s="399">
        <v>-2.4903384849480208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-0.32941503594876309</v>
      </c>
      <c r="DP227" s="399">
        <v>-4.6352037014411041E-2</v>
      </c>
      <c r="DQ227" s="399">
        <v>0</v>
      </c>
      <c r="DR227" s="399">
        <v>0</v>
      </c>
      <c r="DS227" s="399"/>
      <c r="DT227" s="399"/>
      <c r="DU227" s="399"/>
      <c r="DV227" s="399">
        <v>181.38056386648122</v>
      </c>
      <c r="DW227" s="399">
        <v>0</v>
      </c>
      <c r="DX227" s="399">
        <v>0</v>
      </c>
      <c r="DY227" s="399">
        <v>-8.5298400000000356</v>
      </c>
      <c r="DZ227" s="399">
        <v>1.5417599999999965</v>
      </c>
      <c r="EA227" s="399">
        <v>0</v>
      </c>
      <c r="EB227" s="399">
        <v>0</v>
      </c>
      <c r="EC227" s="399">
        <v>-8.1688782647751736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225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957</v>
      </c>
      <c r="C228" s="399" t="s">
        <v>2357</v>
      </c>
      <c r="D228" s="399" t="s">
        <v>2369</v>
      </c>
      <c r="E228" s="399" t="s">
        <v>895</v>
      </c>
      <c r="F228" s="399" t="s">
        <v>1240</v>
      </c>
      <c r="G228" s="399" t="s">
        <v>1240</v>
      </c>
      <c r="H228" s="399" t="s">
        <v>1240</v>
      </c>
      <c r="I228" s="399" t="s">
        <v>1240</v>
      </c>
      <c r="J228" s="399" t="s">
        <v>2358</v>
      </c>
      <c r="K228" s="789">
        <v>44562</v>
      </c>
      <c r="L228" s="399">
        <v>0</v>
      </c>
      <c r="M228" s="399">
        <v>0</v>
      </c>
      <c r="N228" s="399">
        <v>318.49099999999999</v>
      </c>
      <c r="O228" s="399">
        <v>318.49099999999999</v>
      </c>
      <c r="P228" s="399">
        <v>318.49099999999999</v>
      </c>
      <c r="Q228" s="399">
        <v>318.49099999999999</v>
      </c>
      <c r="R228" s="399"/>
      <c r="S228" s="399">
        <v>522.37</v>
      </c>
      <c r="T228" s="399">
        <v>144.41999999999999</v>
      </c>
      <c r="U228" s="399"/>
      <c r="V228" s="399">
        <v>212366.61388999998</v>
      </c>
      <c r="W228" s="399">
        <v>212366.61388999998</v>
      </c>
      <c r="X228" s="399">
        <v>207573.32433999999</v>
      </c>
      <c r="Y228" s="399">
        <v>0</v>
      </c>
      <c r="Z228" s="399">
        <v>19555.658067292854</v>
      </c>
      <c r="AA228" s="399">
        <v>0</v>
      </c>
      <c r="AB228" s="399">
        <v>0</v>
      </c>
      <c r="AC228" s="399">
        <v>0</v>
      </c>
      <c r="AD228" s="399">
        <v>32474.5059543397</v>
      </c>
      <c r="AE228" s="399">
        <v>105709.46189598921</v>
      </c>
      <c r="AF228" s="399">
        <v>45997.051029897113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3020.1723306712561</v>
      </c>
      <c r="AM228" s="399"/>
      <c r="AN228" s="399">
        <v>463.35828438501062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5146.2808666418377</v>
      </c>
      <c r="BH228" s="399">
        <v>0</v>
      </c>
      <c r="BI228" s="399">
        <v>6.17</v>
      </c>
      <c r="BJ228" s="399">
        <v>28.63</v>
      </c>
      <c r="BK228" s="399">
        <v>37848.980000000003</v>
      </c>
      <c r="BL228" s="399">
        <v>759</v>
      </c>
      <c r="BM228" s="399"/>
      <c r="BN228" s="399"/>
      <c r="BO228" s="399"/>
      <c r="BP228" s="399"/>
      <c r="BQ228" s="399"/>
      <c r="BR228" s="399">
        <v>24905.996200000005</v>
      </c>
      <c r="BS228" s="399"/>
      <c r="BT228" s="399"/>
      <c r="BU228" s="399"/>
      <c r="BV228" s="399">
        <v>51143.331896538948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182666.75460000001</v>
      </c>
      <c r="CJ228" s="399">
        <v>-4214.2394700000004</v>
      </c>
      <c r="CK228" s="399"/>
      <c r="CL228" s="399"/>
      <c r="CM228" s="399"/>
      <c r="CN228" s="399"/>
      <c r="CO228" s="399">
        <v>-6653.2769899999957</v>
      </c>
      <c r="CP228" s="399">
        <v>1859.987440000001</v>
      </c>
      <c r="CQ228" s="399">
        <v>31</v>
      </c>
      <c r="CR228" s="399">
        <v>-30.568369807981071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1359.1019673162009</v>
      </c>
      <c r="DA228" s="399">
        <v>0</v>
      </c>
      <c r="DB228" s="399">
        <v>0</v>
      </c>
      <c r="DC228" s="399">
        <v>1859.9213207397115</v>
      </c>
      <c r="DD228" s="399">
        <v>0</v>
      </c>
      <c r="DE228" s="399">
        <v>0</v>
      </c>
      <c r="DF228" s="399">
        <v>0</v>
      </c>
      <c r="DG228" s="399">
        <v>208.09328624479713</v>
      </c>
      <c r="DH228" s="399">
        <v>0</v>
      </c>
      <c r="DI228" s="399">
        <v>-3004.3575545817403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-397.40804626650606</v>
      </c>
      <c r="DP228" s="399">
        <v>-55.919343260442361</v>
      </c>
      <c r="DQ228" s="399">
        <v>0</v>
      </c>
      <c r="DR228" s="399">
        <v>0</v>
      </c>
      <c r="DS228" s="399"/>
      <c r="DT228" s="399"/>
      <c r="DU228" s="399"/>
      <c r="DV228" s="399">
        <v>105709.46189598921</v>
      </c>
      <c r="DW228" s="399">
        <v>0</v>
      </c>
      <c r="DX228" s="399">
        <v>0</v>
      </c>
      <c r="DY228" s="399">
        <v>-6653.2769899999839</v>
      </c>
      <c r="DZ228" s="399">
        <v>1859.9874399999972</v>
      </c>
      <c r="EA228" s="399">
        <v>0</v>
      </c>
      <c r="EB228" s="399">
        <v>0</v>
      </c>
      <c r="EC228" s="399">
        <v>-4760.8614024314302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225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2360</v>
      </c>
      <c r="C229" s="399" t="s">
        <v>2357</v>
      </c>
      <c r="D229" s="399" t="s">
        <v>2369</v>
      </c>
      <c r="E229" s="399" t="s">
        <v>895</v>
      </c>
      <c r="F229" s="399" t="s">
        <v>1240</v>
      </c>
      <c r="G229" s="399" t="s">
        <v>1240</v>
      </c>
      <c r="H229" s="399" t="s">
        <v>1240</v>
      </c>
      <c r="I229" s="399" t="s">
        <v>1240</v>
      </c>
      <c r="J229" s="399" t="s">
        <v>2358</v>
      </c>
      <c r="K229" s="789">
        <v>44562</v>
      </c>
      <c r="L229" s="399">
        <v>0</v>
      </c>
      <c r="M229" s="399">
        <v>0</v>
      </c>
      <c r="N229" s="399">
        <v>3.1779999999999999</v>
      </c>
      <c r="O229" s="399">
        <v>3.1779999999999999</v>
      </c>
      <c r="P229" s="399">
        <v>3.1779999999999999</v>
      </c>
      <c r="Q229" s="399">
        <v>3.1779999999999999</v>
      </c>
      <c r="R229" s="399"/>
      <c r="S229" s="399">
        <v>522.37</v>
      </c>
      <c r="T229" s="399">
        <v>144.41999999999999</v>
      </c>
      <c r="U229" s="399"/>
      <c r="V229" s="399">
        <v>2119.0586199999998</v>
      </c>
      <c r="W229" s="399">
        <v>2119.0586199999998</v>
      </c>
      <c r="X229" s="399">
        <v>2071.2297199999998</v>
      </c>
      <c r="Y229" s="399">
        <v>0</v>
      </c>
      <c r="Z229" s="399">
        <v>195.13229993267214</v>
      </c>
      <c r="AA229" s="399">
        <v>0</v>
      </c>
      <c r="AB229" s="399">
        <v>0</v>
      </c>
      <c r="AC229" s="399">
        <v>0</v>
      </c>
      <c r="AD229" s="399">
        <v>324.04049069798384</v>
      </c>
      <c r="AE229" s="399">
        <v>1054.8011400807361</v>
      </c>
      <c r="AF229" s="399">
        <v>458.97255549768448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30.136197465150513</v>
      </c>
      <c r="AM229" s="399"/>
      <c r="AN229" s="399">
        <v>4.6235297944857585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51.351154645461762</v>
      </c>
      <c r="BH229" s="399">
        <v>0</v>
      </c>
      <c r="BI229" s="399">
        <v>0</v>
      </c>
      <c r="BJ229" s="399">
        <v>0</v>
      </c>
      <c r="BK229" s="399">
        <v>1301.27</v>
      </c>
      <c r="BL229" s="399">
        <v>10</v>
      </c>
      <c r="BM229" s="399"/>
      <c r="BN229" s="399"/>
      <c r="BO229" s="399"/>
      <c r="BP229" s="399"/>
      <c r="BQ229" s="399"/>
      <c r="BR229" s="399">
        <v>248.51960000000005</v>
      </c>
      <c r="BS229" s="399"/>
      <c r="BT229" s="399"/>
      <c r="BU229" s="399"/>
      <c r="BV229" s="399">
        <v>510.32371014314623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1823.8571999999999</v>
      </c>
      <c r="CJ229" s="399">
        <v>-40.92786000000001</v>
      </c>
      <c r="CK229" s="399"/>
      <c r="CL229" s="399"/>
      <c r="CM229" s="399"/>
      <c r="CN229" s="399"/>
      <c r="CO229" s="399">
        <v>-66.388419999999954</v>
      </c>
      <c r="CP229" s="399">
        <v>18.55952000000001</v>
      </c>
      <c r="CQ229" s="399">
        <v>31</v>
      </c>
      <c r="CR229" s="399">
        <v>-0.30502048487937827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13.561532514673502</v>
      </c>
      <c r="DA229" s="399">
        <v>0</v>
      </c>
      <c r="DB229" s="399">
        <v>0</v>
      </c>
      <c r="DC229" s="399">
        <v>18.558860241924549</v>
      </c>
      <c r="DD229" s="399">
        <v>0</v>
      </c>
      <c r="DE229" s="399">
        <v>0</v>
      </c>
      <c r="DF229" s="399">
        <v>0</v>
      </c>
      <c r="DG229" s="399">
        <v>2.0764180579230356</v>
      </c>
      <c r="DH229" s="399">
        <v>0</v>
      </c>
      <c r="DI229" s="399">
        <v>-29.978392822593946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-3.9654582736559476</v>
      </c>
      <c r="DP229" s="399">
        <v>-0.55798020315075103</v>
      </c>
      <c r="DQ229" s="399">
        <v>0</v>
      </c>
      <c r="DR229" s="399">
        <v>0</v>
      </c>
      <c r="DS229" s="399"/>
      <c r="DT229" s="399"/>
      <c r="DU229" s="399"/>
      <c r="DV229" s="399">
        <v>1054.8011400807361</v>
      </c>
      <c r="DW229" s="399">
        <v>0</v>
      </c>
      <c r="DX229" s="399">
        <v>0</v>
      </c>
      <c r="DY229" s="399">
        <v>-66.388419999999996</v>
      </c>
      <c r="DZ229" s="399">
        <v>18.55952000000002</v>
      </c>
      <c r="EA229" s="399">
        <v>0</v>
      </c>
      <c r="EB229" s="399">
        <v>0</v>
      </c>
      <c r="EC229" s="399">
        <v>-47.505322087365471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225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957</v>
      </c>
      <c r="C230" s="399" t="s">
        <v>2366</v>
      </c>
      <c r="D230" s="399" t="s">
        <v>534</v>
      </c>
      <c r="E230" s="399" t="s">
        <v>895</v>
      </c>
      <c r="F230" s="399" t="s">
        <v>1240</v>
      </c>
      <c r="G230" s="399" t="s">
        <v>1240</v>
      </c>
      <c r="H230" s="399" t="s">
        <v>1240</v>
      </c>
      <c r="I230" s="399" t="s">
        <v>894</v>
      </c>
      <c r="J230" s="399" t="s">
        <v>2358</v>
      </c>
      <c r="K230" s="789">
        <v>44562</v>
      </c>
      <c r="L230" s="399">
        <v>0</v>
      </c>
      <c r="M230" s="399">
        <v>0</v>
      </c>
      <c r="N230" s="399">
        <v>1.4119999999999999</v>
      </c>
      <c r="O230" s="399">
        <v>1.3555199999999998</v>
      </c>
      <c r="P230" s="399">
        <v>1.4119999999999999</v>
      </c>
      <c r="Q230" s="399">
        <v>1.3555199999999998</v>
      </c>
      <c r="R230" s="399"/>
      <c r="S230" s="399">
        <v>2740.31</v>
      </c>
      <c r="T230" s="399">
        <v>144.41999999999999</v>
      </c>
      <c r="U230" s="399"/>
      <c r="V230" s="399">
        <v>4073.2387599999997</v>
      </c>
      <c r="W230" s="399">
        <v>4073.2387599999997</v>
      </c>
      <c r="X230" s="399">
        <v>3990.9050399999996</v>
      </c>
      <c r="Y230" s="399">
        <v>0</v>
      </c>
      <c r="Z230" s="399">
        <v>75.42741426346501</v>
      </c>
      <c r="AA230" s="399">
        <v>0</v>
      </c>
      <c r="AB230" s="399">
        <v>0</v>
      </c>
      <c r="AC230" s="399">
        <v>0</v>
      </c>
      <c r="AD230" s="399">
        <v>1062.7598923052667</v>
      </c>
      <c r="AE230" s="399">
        <v>2708.2266831857733</v>
      </c>
      <c r="AF230" s="399">
        <v>203.92361496624619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13.389650981998905</v>
      </c>
      <c r="AM230" s="399"/>
      <c r="AN230" s="399">
        <v>0.7027315072716005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8.8089065822100121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>
        <v>159.63620160000022</v>
      </c>
      <c r="BS230" s="399"/>
      <c r="BT230" s="399"/>
      <c r="BU230" s="399"/>
      <c r="BV230" s="399">
        <v>212.73252154845619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3843.9312</v>
      </c>
      <c r="CJ230" s="399">
        <v>-66.408009600000241</v>
      </c>
      <c r="CK230" s="399"/>
      <c r="CL230" s="399"/>
      <c r="CM230" s="399"/>
      <c r="CN230" s="399"/>
      <c r="CO230" s="399">
        <v>-90.57980000000012</v>
      </c>
      <c r="CP230" s="399">
        <v>8.2460800000000045</v>
      </c>
      <c r="CQ230" s="399">
        <v>31</v>
      </c>
      <c r="CR230" s="399">
        <v>39.645242150013246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44.477937938379455</v>
      </c>
      <c r="DA230" s="399">
        <v>0</v>
      </c>
      <c r="DB230" s="399">
        <v>0</v>
      </c>
      <c r="DC230" s="399">
        <v>8.2457868664561147</v>
      </c>
      <c r="DD230" s="399">
        <v>0</v>
      </c>
      <c r="DE230" s="399">
        <v>0</v>
      </c>
      <c r="DF230" s="399">
        <v>0</v>
      </c>
      <c r="DG230" s="399">
        <v>0.35619399065399016</v>
      </c>
      <c r="DH230" s="399">
        <v>0</v>
      </c>
      <c r="DI230" s="399">
        <v>-11.587997759278522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-1.7618713286350509</v>
      </c>
      <c r="DP230" s="399">
        <v>-8.4807557562514124E-2</v>
      </c>
      <c r="DQ230" s="399">
        <v>0</v>
      </c>
      <c r="DR230" s="399">
        <v>0</v>
      </c>
      <c r="DS230" s="399"/>
      <c r="DT230" s="399"/>
      <c r="DU230" s="399"/>
      <c r="DV230" s="399">
        <v>2708.2266831857733</v>
      </c>
      <c r="DW230" s="399">
        <v>0</v>
      </c>
      <c r="DX230" s="399">
        <v>0</v>
      </c>
      <c r="DY230" s="399">
        <v>-90.579799999999977</v>
      </c>
      <c r="DZ230" s="399">
        <v>8.2460800000000063</v>
      </c>
      <c r="EA230" s="399">
        <v>0</v>
      </c>
      <c r="EB230" s="399">
        <v>0</v>
      </c>
      <c r="EC230" s="399">
        <v>-121.97102940228024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225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957</v>
      </c>
      <c r="C231" s="399" t="s">
        <v>2366</v>
      </c>
      <c r="D231" s="399" t="s">
        <v>534</v>
      </c>
      <c r="E231" s="399" t="s">
        <v>895</v>
      </c>
      <c r="F231" s="399" t="s">
        <v>1240</v>
      </c>
      <c r="G231" s="399" t="s">
        <v>1240</v>
      </c>
      <c r="H231" s="399" t="s">
        <v>1240</v>
      </c>
      <c r="I231" s="399" t="s">
        <v>2328</v>
      </c>
      <c r="J231" s="399" t="s">
        <v>2358</v>
      </c>
      <c r="K231" s="789">
        <v>44562</v>
      </c>
      <c r="L231" s="399">
        <v>0</v>
      </c>
      <c r="M231" s="399">
        <v>0</v>
      </c>
      <c r="N231" s="399">
        <v>40.545999999999999</v>
      </c>
      <c r="O231" s="399">
        <v>38.924160000000001</v>
      </c>
      <c r="P231" s="399">
        <v>40.545999999999999</v>
      </c>
      <c r="Q231" s="399">
        <v>38.924160000000001</v>
      </c>
      <c r="R231" s="399"/>
      <c r="S231" s="399">
        <v>69.64</v>
      </c>
      <c r="T231" s="399">
        <v>144.41999999999999</v>
      </c>
      <c r="U231" s="399"/>
      <c r="V231" s="399">
        <v>8679.2767599999988</v>
      </c>
      <c r="W231" s="399">
        <v>8679.2767599999988</v>
      </c>
      <c r="X231" s="399">
        <v>8540.6094400000002</v>
      </c>
      <c r="Y231" s="399">
        <v>0</v>
      </c>
      <c r="Z231" s="399">
        <v>2165.9206364918218</v>
      </c>
      <c r="AA231" s="399">
        <v>0</v>
      </c>
      <c r="AB231" s="399">
        <v>0</v>
      </c>
      <c r="AC231" s="399">
        <v>0</v>
      </c>
      <c r="AD231" s="399">
        <v>0</v>
      </c>
      <c r="AE231" s="399">
        <v>0</v>
      </c>
      <c r="AF231" s="399">
        <v>5855.7272609216852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384.48781070547284</v>
      </c>
      <c r="AM231" s="399"/>
      <c r="AN231" s="399">
        <v>20.179144259089458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252.95037272116653</v>
      </c>
      <c r="BH231" s="399">
        <v>0</v>
      </c>
      <c r="BI231" s="399">
        <v>0</v>
      </c>
      <c r="BJ231" s="399">
        <v>0</v>
      </c>
      <c r="BK231" s="399">
        <v>0</v>
      </c>
      <c r="BL231" s="399">
        <v>0</v>
      </c>
      <c r="BM231" s="399"/>
      <c r="BN231" s="399"/>
      <c r="BO231" s="399"/>
      <c r="BP231" s="399"/>
      <c r="BQ231" s="399"/>
      <c r="BR231" s="399">
        <v>341.62437759999972</v>
      </c>
      <c r="BS231" s="399"/>
      <c r="BT231" s="399"/>
      <c r="BU231" s="399"/>
      <c r="BV231" s="399">
        <v>6108.677633642852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8198.1088</v>
      </c>
      <c r="CJ231" s="399">
        <v>-134.0268896000016</v>
      </c>
      <c r="CK231" s="399"/>
      <c r="CL231" s="399"/>
      <c r="CM231" s="399"/>
      <c r="CN231" s="399"/>
      <c r="CO231" s="399">
        <v>-375.45595999999989</v>
      </c>
      <c r="CP231" s="399">
        <v>236.78864000000013</v>
      </c>
      <c r="CQ231" s="399">
        <v>31</v>
      </c>
      <c r="CR231" s="399">
        <v>-138.7722970503437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0</v>
      </c>
      <c r="DA231" s="399">
        <v>0</v>
      </c>
      <c r="DB231" s="399">
        <v>0</v>
      </c>
      <c r="DC231" s="399">
        <v>236.78022258309375</v>
      </c>
      <c r="DD231" s="399">
        <v>0</v>
      </c>
      <c r="DE231" s="399">
        <v>0</v>
      </c>
      <c r="DF231" s="399">
        <v>0</v>
      </c>
      <c r="DG231" s="399">
        <v>10.228216391683219</v>
      </c>
      <c r="DH231" s="399">
        <v>0</v>
      </c>
      <c r="DI231" s="399">
        <v>-332.75280251254048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-50.592659271130913</v>
      </c>
      <c r="DP231" s="399">
        <v>-2.43527424145163</v>
      </c>
      <c r="DQ231" s="399">
        <v>0</v>
      </c>
      <c r="DR231" s="399">
        <v>0</v>
      </c>
      <c r="DS231" s="399"/>
      <c r="DT231" s="399"/>
      <c r="DU231" s="399"/>
      <c r="DV231" s="399">
        <v>0</v>
      </c>
      <c r="DW231" s="399">
        <v>0</v>
      </c>
      <c r="DX231" s="399">
        <v>0</v>
      </c>
      <c r="DY231" s="399">
        <v>-375.45595999999978</v>
      </c>
      <c r="DZ231" s="399">
        <v>236.78863999999976</v>
      </c>
      <c r="EA231" s="399">
        <v>0</v>
      </c>
      <c r="EB231" s="399">
        <v>0</v>
      </c>
      <c r="EC231" s="399">
        <v>0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225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957</v>
      </c>
      <c r="C232" s="399" t="s">
        <v>2366</v>
      </c>
      <c r="D232" s="399" t="s">
        <v>534</v>
      </c>
      <c r="E232" s="399" t="s">
        <v>895</v>
      </c>
      <c r="F232" s="399" t="s">
        <v>1240</v>
      </c>
      <c r="G232" s="399" t="s">
        <v>1240</v>
      </c>
      <c r="H232" s="399" t="s">
        <v>1240</v>
      </c>
      <c r="I232" s="399" t="s">
        <v>1240</v>
      </c>
      <c r="J232" s="399" t="s">
        <v>2358</v>
      </c>
      <c r="K232" s="789">
        <v>44562</v>
      </c>
      <c r="L232" s="399">
        <v>167</v>
      </c>
      <c r="M232" s="399">
        <v>160.32</v>
      </c>
      <c r="N232" s="399">
        <v>0</v>
      </c>
      <c r="O232" s="399">
        <v>0</v>
      </c>
      <c r="P232" s="399">
        <v>0</v>
      </c>
      <c r="Q232" s="399">
        <v>0</v>
      </c>
      <c r="R232" s="399">
        <v>34.950000000000003</v>
      </c>
      <c r="S232" s="399"/>
      <c r="T232" s="399"/>
      <c r="U232" s="399">
        <v>5836.6500000000005</v>
      </c>
      <c r="V232" s="399"/>
      <c r="W232" s="399">
        <v>5836.6500000000005</v>
      </c>
      <c r="X232" s="399">
        <v>5758.16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2115.8531784099791</v>
      </c>
      <c r="AE232" s="399">
        <v>3721.5629347630811</v>
      </c>
      <c r="AF232" s="399"/>
      <c r="AG232" s="399"/>
      <c r="AH232" s="399"/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0</v>
      </c>
      <c r="AO232" s="399">
        <v>0</v>
      </c>
      <c r="AP232" s="399">
        <v>0</v>
      </c>
      <c r="AQ232" s="399">
        <v>0</v>
      </c>
      <c r="AR232" s="399">
        <v>0</v>
      </c>
      <c r="AS232" s="399"/>
      <c r="AT232" s="399"/>
      <c r="AU232" s="399">
        <v>0</v>
      </c>
      <c r="AV232" s="399">
        <v>0</v>
      </c>
      <c r="AW232" s="399">
        <v>0</v>
      </c>
      <c r="AX232" s="399"/>
      <c r="AY232" s="399"/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/>
      <c r="BG232" s="399">
        <v>0</v>
      </c>
      <c r="BH232" s="399">
        <v>0</v>
      </c>
      <c r="BI232" s="399">
        <v>0</v>
      </c>
      <c r="BJ232" s="399">
        <v>0</v>
      </c>
      <c r="BK232" s="399">
        <v>8635.0400000000009</v>
      </c>
      <c r="BL232" s="399">
        <v>1</v>
      </c>
      <c r="BM232" s="399"/>
      <c r="BN232" s="399"/>
      <c r="BO232" s="399"/>
      <c r="BP232" s="399"/>
      <c r="BQ232" s="399"/>
      <c r="BR232" s="399">
        <v>230.32640000000021</v>
      </c>
      <c r="BS232" s="399"/>
      <c r="BT232" s="399"/>
      <c r="BU232" s="399"/>
      <c r="BV232" s="399">
        <v>0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5527.833599999999</v>
      </c>
      <c r="CJ232" s="399">
        <v>-75.380400000001828</v>
      </c>
      <c r="CK232" s="399"/>
      <c r="CL232" s="399"/>
      <c r="CM232" s="399"/>
      <c r="CN232" s="399"/>
      <c r="CO232" s="399">
        <v>-78.490000000001004</v>
      </c>
      <c r="CP232" s="399">
        <v>0</v>
      </c>
      <c r="CQ232" s="399">
        <v>31</v>
      </c>
      <c r="CR232" s="399">
        <v>88.551315341701411</v>
      </c>
      <c r="CS232" s="399">
        <v>0</v>
      </c>
      <c r="CT232" s="399">
        <v>0</v>
      </c>
      <c r="CU232" s="399">
        <v>0</v>
      </c>
      <c r="CV232" s="399">
        <v>0</v>
      </c>
      <c r="CW232" s="399"/>
      <c r="CX232" s="399"/>
      <c r="CY232" s="399"/>
      <c r="CZ232" s="399">
        <v>88.551315341701411</v>
      </c>
      <c r="DA232" s="399">
        <v>0</v>
      </c>
      <c r="DB232" s="399">
        <v>0</v>
      </c>
      <c r="DC232" s="399"/>
      <c r="DD232" s="399"/>
      <c r="DE232" s="399">
        <v>0</v>
      </c>
      <c r="DF232" s="399">
        <v>0</v>
      </c>
      <c r="DG232" s="399">
        <v>0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/>
      <c r="DN232" s="399">
        <v>0</v>
      </c>
      <c r="DO232" s="399">
        <v>0</v>
      </c>
      <c r="DP232" s="399">
        <v>0</v>
      </c>
      <c r="DQ232" s="399">
        <v>0</v>
      </c>
      <c r="DR232" s="399">
        <v>0</v>
      </c>
      <c r="DS232" s="399"/>
      <c r="DT232" s="399"/>
      <c r="DU232" s="399">
        <v>3721.5629347630811</v>
      </c>
      <c r="DV232" s="399"/>
      <c r="DW232" s="399">
        <v>0</v>
      </c>
      <c r="DX232" s="399">
        <v>0</v>
      </c>
      <c r="DY232" s="399">
        <v>-78.490000000000691</v>
      </c>
      <c r="DZ232" s="399"/>
      <c r="EA232" s="399">
        <v>0</v>
      </c>
      <c r="EB232" s="399"/>
      <c r="EC232" s="399">
        <v>-167.60888774805653</v>
      </c>
      <c r="ED232" s="399"/>
      <c r="EE232" s="399">
        <v>0</v>
      </c>
      <c r="EF232" s="399">
        <v>0</v>
      </c>
      <c r="EG232" s="399"/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/>
      <c r="EN232" s="399"/>
      <c r="EO232" s="399">
        <v>0</v>
      </c>
      <c r="EP232" s="399">
        <v>0</v>
      </c>
      <c r="EQ232" s="399"/>
      <c r="ER232" s="399">
        <v>0</v>
      </c>
      <c r="ES232" s="399"/>
      <c r="ET232" s="399">
        <v>0</v>
      </c>
      <c r="EU232" s="399"/>
      <c r="EV232" s="399">
        <v>225</v>
      </c>
      <c r="EW232" s="399"/>
      <c r="EX232" s="399"/>
      <c r="EY232" s="399"/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957</v>
      </c>
      <c r="C233" s="399" t="s">
        <v>2357</v>
      </c>
      <c r="D233" s="399" t="s">
        <v>1826</v>
      </c>
      <c r="E233" s="399" t="s">
        <v>2370</v>
      </c>
      <c r="F233" s="399" t="s">
        <v>1240</v>
      </c>
      <c r="G233" s="399" t="s">
        <v>1240</v>
      </c>
      <c r="H233" s="399" t="s">
        <v>1240</v>
      </c>
      <c r="I233" s="399" t="s">
        <v>1240</v>
      </c>
      <c r="J233" s="399" t="s">
        <v>2358</v>
      </c>
      <c r="K233" s="789">
        <v>44562</v>
      </c>
      <c r="L233" s="399">
        <v>0</v>
      </c>
      <c r="M233" s="399">
        <v>0</v>
      </c>
      <c r="N233" s="399">
        <v>72.534000000000006</v>
      </c>
      <c r="O233" s="399">
        <v>72.534000000000006</v>
      </c>
      <c r="P233" s="399">
        <v>72.534000000000006</v>
      </c>
      <c r="Q233" s="399">
        <v>72.534000000000006</v>
      </c>
      <c r="R233" s="399"/>
      <c r="S233" s="399">
        <v>522.37</v>
      </c>
      <c r="T233" s="399">
        <v>144.41999999999999</v>
      </c>
      <c r="U233" s="399"/>
      <c r="V233" s="399">
        <v>48364.945860000007</v>
      </c>
      <c r="W233" s="399">
        <v>48364.945860000007</v>
      </c>
      <c r="X233" s="399">
        <v>47273.309160000004</v>
      </c>
      <c r="Y233" s="399">
        <v>0</v>
      </c>
      <c r="Z233" s="399">
        <v>4453.6583522078172</v>
      </c>
      <c r="AA233" s="399">
        <v>0</v>
      </c>
      <c r="AB233" s="399">
        <v>0</v>
      </c>
      <c r="AC233" s="399">
        <v>0</v>
      </c>
      <c r="AD233" s="399">
        <v>7395.831640115658</v>
      </c>
      <c r="AE233" s="399">
        <v>24074.558179551957</v>
      </c>
      <c r="AF233" s="399">
        <v>10475.492555213672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687.82219853279651</v>
      </c>
      <c r="AM233" s="399"/>
      <c r="AN233" s="399">
        <v>105.52646636665516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1172.0278952340855</v>
      </c>
      <c r="BH233" s="399">
        <v>0</v>
      </c>
      <c r="BI233" s="399">
        <v>299.14</v>
      </c>
      <c r="BJ233" s="399">
        <v>1383.38</v>
      </c>
      <c r="BK233" s="399">
        <v>13658.39</v>
      </c>
      <c r="BL233" s="399">
        <v>125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11647.520450447757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47270.7022</v>
      </c>
      <c r="CJ233" s="399">
        <v>-1094.2736600000135</v>
      </c>
      <c r="CK233" s="399"/>
      <c r="CL233" s="399"/>
      <c r="CM233" s="399"/>
      <c r="CN233" s="399"/>
      <c r="CO233" s="399">
        <v>-1515.2352599999992</v>
      </c>
      <c r="CP233" s="399">
        <v>423.5985600000003</v>
      </c>
      <c r="CQ233" s="399">
        <v>31</v>
      </c>
      <c r="CR233" s="399">
        <v>-6.9617230491712689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309.525550478078</v>
      </c>
      <c r="DA233" s="399">
        <v>0</v>
      </c>
      <c r="DB233" s="399">
        <v>0</v>
      </c>
      <c r="DC233" s="399">
        <v>423.58350182119466</v>
      </c>
      <c r="DD233" s="399">
        <v>0</v>
      </c>
      <c r="DE233" s="399">
        <v>0</v>
      </c>
      <c r="DF233" s="399">
        <v>0</v>
      </c>
      <c r="DG233" s="399">
        <v>47.391726687661958</v>
      </c>
      <c r="DH233" s="399">
        <v>0</v>
      </c>
      <c r="DI233" s="399">
        <v>-684.22049873946798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-90.506781126922647</v>
      </c>
      <c r="DP233" s="399">
        <v>-12.735222169709445</v>
      </c>
      <c r="DQ233" s="399">
        <v>0</v>
      </c>
      <c r="DR233" s="399">
        <v>0</v>
      </c>
      <c r="DS233" s="399"/>
      <c r="DT233" s="399"/>
      <c r="DU233" s="399"/>
      <c r="DV233" s="399">
        <v>24074.558179551957</v>
      </c>
      <c r="DW233" s="399">
        <v>0</v>
      </c>
      <c r="DX233" s="399">
        <v>0</v>
      </c>
      <c r="DY233" s="399">
        <v>-1515.2352600000013</v>
      </c>
      <c r="DZ233" s="399">
        <v>423.59856000000036</v>
      </c>
      <c r="EA233" s="399">
        <v>0</v>
      </c>
      <c r="EB233" s="399">
        <v>0</v>
      </c>
      <c r="EC233" s="399">
        <v>-1084.25142614379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225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2360</v>
      </c>
      <c r="C234" s="399" t="s">
        <v>2357</v>
      </c>
      <c r="D234" s="399" t="s">
        <v>1826</v>
      </c>
      <c r="E234" s="399" t="s">
        <v>2370</v>
      </c>
      <c r="F234" s="399" t="s">
        <v>1240</v>
      </c>
      <c r="G234" s="399" t="s">
        <v>1240</v>
      </c>
      <c r="H234" s="399" t="s">
        <v>1240</v>
      </c>
      <c r="I234" s="399" t="s">
        <v>1240</v>
      </c>
      <c r="J234" s="399" t="s">
        <v>2358</v>
      </c>
      <c r="K234" s="789">
        <v>44562</v>
      </c>
      <c r="L234" s="399">
        <v>0</v>
      </c>
      <c r="M234" s="399">
        <v>0</v>
      </c>
      <c r="N234" s="399">
        <v>0.2</v>
      </c>
      <c r="O234" s="399">
        <v>0.2</v>
      </c>
      <c r="P234" s="399">
        <v>0.2</v>
      </c>
      <c r="Q234" s="399">
        <v>0.2</v>
      </c>
      <c r="R234" s="399"/>
      <c r="S234" s="399">
        <v>522.37</v>
      </c>
      <c r="T234" s="399">
        <v>144.41999999999999</v>
      </c>
      <c r="U234" s="399"/>
      <c r="V234" s="399">
        <v>133.358</v>
      </c>
      <c r="W234" s="399">
        <v>133.358</v>
      </c>
      <c r="X234" s="399">
        <v>130.34800000000001</v>
      </c>
      <c r="Y234" s="399">
        <v>0</v>
      </c>
      <c r="Z234" s="399">
        <v>12.28019508701524</v>
      </c>
      <c r="AA234" s="399">
        <v>0</v>
      </c>
      <c r="AB234" s="399">
        <v>0</v>
      </c>
      <c r="AC234" s="399">
        <v>0</v>
      </c>
      <c r="AD234" s="399">
        <v>20.392730692132403</v>
      </c>
      <c r="AE234" s="399">
        <v>66.381443680348397</v>
      </c>
      <c r="AF234" s="399">
        <v>28.8843647260972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1.896551130594746</v>
      </c>
      <c r="AM234" s="399"/>
      <c r="AN234" s="399">
        <v>0.290971038041898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3.2316648612625403</v>
      </c>
      <c r="BH234" s="399">
        <v>0</v>
      </c>
      <c r="BI234" s="399">
        <v>0.44</v>
      </c>
      <c r="BJ234" s="399">
        <v>2.0499999999999998</v>
      </c>
      <c r="BK234" s="399">
        <v>136.30000000000001</v>
      </c>
      <c r="BL234" s="399">
        <v>2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32.116029587359741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130.34800000000001</v>
      </c>
      <c r="CJ234" s="399">
        <v>-3.039999999999992</v>
      </c>
      <c r="CK234" s="399"/>
      <c r="CL234" s="399"/>
      <c r="CM234" s="399"/>
      <c r="CN234" s="399"/>
      <c r="CO234" s="399">
        <v>-4.1779999999999973</v>
      </c>
      <c r="CP234" s="399">
        <v>1.1680000000000008</v>
      </c>
      <c r="CQ234" s="399">
        <v>31</v>
      </c>
      <c r="CR234" s="399">
        <v>-1.9195751093718627E-2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0.85346334264779955</v>
      </c>
      <c r="DA234" s="399">
        <v>0</v>
      </c>
      <c r="DB234" s="399">
        <v>0</v>
      </c>
      <c r="DC234" s="399">
        <v>1.1679584796680054</v>
      </c>
      <c r="DD234" s="399">
        <v>0</v>
      </c>
      <c r="DE234" s="399">
        <v>0</v>
      </c>
      <c r="DF234" s="399">
        <v>0</v>
      </c>
      <c r="DG234" s="399">
        <v>0.13067451591712009</v>
      </c>
      <c r="DH234" s="399">
        <v>0</v>
      </c>
      <c r="DI234" s="399">
        <v>-1.8866200643545596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-0.24955684541572976</v>
      </c>
      <c r="DP234" s="399">
        <v>-3.5115179556372E-2</v>
      </c>
      <c r="DQ234" s="399">
        <v>0</v>
      </c>
      <c r="DR234" s="399">
        <v>0</v>
      </c>
      <c r="DS234" s="399"/>
      <c r="DT234" s="399"/>
      <c r="DU234" s="399"/>
      <c r="DV234" s="399">
        <v>66.381443680348397</v>
      </c>
      <c r="DW234" s="399">
        <v>0</v>
      </c>
      <c r="DX234" s="399">
        <v>0</v>
      </c>
      <c r="DY234" s="399">
        <v>-4.1779999999999973</v>
      </c>
      <c r="DZ234" s="399">
        <v>1.1679999999999993</v>
      </c>
      <c r="EA234" s="399">
        <v>0</v>
      </c>
      <c r="EB234" s="399">
        <v>0</v>
      </c>
      <c r="EC234" s="399">
        <v>-2.9896363805767976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225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957</v>
      </c>
      <c r="C235" s="399" t="s">
        <v>2366</v>
      </c>
      <c r="D235" s="399" t="s">
        <v>534</v>
      </c>
      <c r="E235" s="399" t="s">
        <v>2370</v>
      </c>
      <c r="F235" s="399" t="s">
        <v>1240</v>
      </c>
      <c r="G235" s="399" t="s">
        <v>1240</v>
      </c>
      <c r="H235" s="399" t="s">
        <v>1240</v>
      </c>
      <c r="I235" s="399" t="s">
        <v>894</v>
      </c>
      <c r="J235" s="399" t="s">
        <v>2358</v>
      </c>
      <c r="K235" s="789">
        <v>44562</v>
      </c>
      <c r="L235" s="399">
        <v>0</v>
      </c>
      <c r="M235" s="399">
        <v>0</v>
      </c>
      <c r="N235" s="399">
        <v>9.4E-2</v>
      </c>
      <c r="O235" s="399">
        <v>9.4E-2</v>
      </c>
      <c r="P235" s="399">
        <v>9.4E-2</v>
      </c>
      <c r="Q235" s="399">
        <v>9.4E-2</v>
      </c>
      <c r="R235" s="399"/>
      <c r="S235" s="399">
        <v>2740.31</v>
      </c>
      <c r="T235" s="399">
        <v>144.41999999999999</v>
      </c>
      <c r="U235" s="399"/>
      <c r="V235" s="399">
        <v>271.16462000000001</v>
      </c>
      <c r="W235" s="399">
        <v>271.16462000000001</v>
      </c>
      <c r="X235" s="399">
        <v>265.68347999999997</v>
      </c>
      <c r="Y235" s="399">
        <v>0</v>
      </c>
      <c r="Z235" s="399">
        <v>5.0213717710805321</v>
      </c>
      <c r="AA235" s="399">
        <v>0</v>
      </c>
      <c r="AB235" s="399">
        <v>0</v>
      </c>
      <c r="AC235" s="399">
        <v>0</v>
      </c>
      <c r="AD235" s="399">
        <v>70.750304445251459</v>
      </c>
      <c r="AE235" s="399">
        <v>180.29271120358547</v>
      </c>
      <c r="AF235" s="399">
        <v>13.575651421265682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0.89137903137953056</v>
      </c>
      <c r="AM235" s="399"/>
      <c r="AN235" s="399">
        <v>4.6782409124313348E-2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0.5864286251612898</v>
      </c>
      <c r="BH235" s="399">
        <v>0</v>
      </c>
      <c r="BI235" s="399">
        <v>0</v>
      </c>
      <c r="BJ235" s="399">
        <v>0</v>
      </c>
      <c r="BK235" s="399">
        <v>0</v>
      </c>
      <c r="BL235" s="399">
        <v>0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14.162080046426972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254.37779999999998</v>
      </c>
      <c r="CJ235" s="399">
        <v>-16.816820000000007</v>
      </c>
      <c r="CK235" s="399"/>
      <c r="CL235" s="399"/>
      <c r="CM235" s="399"/>
      <c r="CN235" s="399"/>
      <c r="CO235" s="399">
        <v>-6.0301000000000089</v>
      </c>
      <c r="CP235" s="399">
        <v>0.54896000000000034</v>
      </c>
      <c r="CQ235" s="399">
        <v>31</v>
      </c>
      <c r="CR235" s="399">
        <v>2.6392724944060006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2.9609958684190332</v>
      </c>
      <c r="DA235" s="399">
        <v>0</v>
      </c>
      <c r="DB235" s="399">
        <v>0</v>
      </c>
      <c r="DC235" s="399">
        <v>0.54894048544396234</v>
      </c>
      <c r="DD235" s="399">
        <v>0</v>
      </c>
      <c r="DE235" s="399">
        <v>0</v>
      </c>
      <c r="DF235" s="399">
        <v>0</v>
      </c>
      <c r="DG235" s="399">
        <v>2.3712631105860527E-2</v>
      </c>
      <c r="DH235" s="399">
        <v>0</v>
      </c>
      <c r="DI235" s="399">
        <v>-0.77143894431457571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-0.11729171734539301</v>
      </c>
      <c r="DP235" s="399">
        <v>-5.6458289028869166E-3</v>
      </c>
      <c r="DQ235" s="399">
        <v>0</v>
      </c>
      <c r="DR235" s="399">
        <v>0</v>
      </c>
      <c r="DS235" s="399"/>
      <c r="DT235" s="399"/>
      <c r="DU235" s="399"/>
      <c r="DV235" s="399">
        <v>180.29271120358547</v>
      </c>
      <c r="DW235" s="399">
        <v>0</v>
      </c>
      <c r="DX235" s="399">
        <v>0</v>
      </c>
      <c r="DY235" s="399">
        <v>-6.0301000000000045</v>
      </c>
      <c r="DZ235" s="399">
        <v>0.548960000000001</v>
      </c>
      <c r="EA235" s="399">
        <v>0</v>
      </c>
      <c r="EB235" s="399">
        <v>0</v>
      </c>
      <c r="EC235" s="399">
        <v>-8.1198843936361982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225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957</v>
      </c>
      <c r="C236" s="399" t="s">
        <v>2366</v>
      </c>
      <c r="D236" s="399" t="s">
        <v>534</v>
      </c>
      <c r="E236" s="399" t="s">
        <v>2370</v>
      </c>
      <c r="F236" s="399" t="s">
        <v>1240</v>
      </c>
      <c r="G236" s="399" t="s">
        <v>1240</v>
      </c>
      <c r="H236" s="399" t="s">
        <v>1240</v>
      </c>
      <c r="I236" s="399" t="s">
        <v>2328</v>
      </c>
      <c r="J236" s="399" t="s">
        <v>2358</v>
      </c>
      <c r="K236" s="789">
        <v>44562</v>
      </c>
      <c r="L236" s="399">
        <v>0</v>
      </c>
      <c r="M236" s="399">
        <v>0</v>
      </c>
      <c r="N236" s="399">
        <v>1.3180000000000001</v>
      </c>
      <c r="O236" s="399">
        <v>1.3180000000000001</v>
      </c>
      <c r="P236" s="399">
        <v>1.3180000000000001</v>
      </c>
      <c r="Q236" s="399">
        <v>1.3180000000000001</v>
      </c>
      <c r="R236" s="399"/>
      <c r="S236" s="399">
        <v>69.64</v>
      </c>
      <c r="T236" s="399">
        <v>144.41999999999999</v>
      </c>
      <c r="U236" s="399"/>
      <c r="V236" s="399">
        <v>282.13108</v>
      </c>
      <c r="W236" s="399">
        <v>282.13108</v>
      </c>
      <c r="X236" s="399">
        <v>277.62351999999998</v>
      </c>
      <c r="Y236" s="399">
        <v>0</v>
      </c>
      <c r="Z236" s="399">
        <v>70.406042492384486</v>
      </c>
      <c r="AA236" s="399">
        <v>0</v>
      </c>
      <c r="AB236" s="399">
        <v>0</v>
      </c>
      <c r="AC236" s="399">
        <v>0</v>
      </c>
      <c r="AD236" s="399">
        <v>0</v>
      </c>
      <c r="AE236" s="399">
        <v>0</v>
      </c>
      <c r="AF236" s="399">
        <v>190.34796354498053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12.498271950619376</v>
      </c>
      <c r="AM236" s="399"/>
      <c r="AN236" s="399">
        <v>0.65594909814728719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8.2224779570487225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198.57044150202924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278.04480000000001</v>
      </c>
      <c r="CJ236" s="399">
        <v>-4.1162800000000175</v>
      </c>
      <c r="CK236" s="399"/>
      <c r="CL236" s="399"/>
      <c r="CM236" s="399"/>
      <c r="CN236" s="399"/>
      <c r="CO236" s="399">
        <v>-12.204679999999998</v>
      </c>
      <c r="CP236" s="399">
        <v>7.6971200000000053</v>
      </c>
      <c r="CQ236" s="399">
        <v>31</v>
      </c>
      <c r="CR236" s="399">
        <v>-4.5109724143529206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0</v>
      </c>
      <c r="DA236" s="399">
        <v>0</v>
      </c>
      <c r="DB236" s="399">
        <v>0</v>
      </c>
      <c r="DC236" s="399">
        <v>7.6968463810121648</v>
      </c>
      <c r="DD236" s="399">
        <v>0</v>
      </c>
      <c r="DE236" s="399">
        <v>0</v>
      </c>
      <c r="DF236" s="399">
        <v>0</v>
      </c>
      <c r="DG236" s="399">
        <v>0.33248135954813129</v>
      </c>
      <c r="DH236" s="399">
        <v>0</v>
      </c>
      <c r="DI236" s="399">
        <v>-10.816558814963948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-1.6445796112896591</v>
      </c>
      <c r="DP236" s="399">
        <v>-7.9161728659627228E-2</v>
      </c>
      <c r="DQ236" s="399">
        <v>0</v>
      </c>
      <c r="DR236" s="399">
        <v>0</v>
      </c>
      <c r="DS236" s="399"/>
      <c r="DT236" s="399"/>
      <c r="DU236" s="399"/>
      <c r="DV236" s="399">
        <v>0</v>
      </c>
      <c r="DW236" s="399">
        <v>0</v>
      </c>
      <c r="DX236" s="399">
        <v>0</v>
      </c>
      <c r="DY236" s="399">
        <v>-12.204679999999996</v>
      </c>
      <c r="DZ236" s="399">
        <v>7.697119999999984</v>
      </c>
      <c r="EA236" s="399">
        <v>0</v>
      </c>
      <c r="EB236" s="399">
        <v>0</v>
      </c>
      <c r="EC236" s="399">
        <v>0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225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957</v>
      </c>
      <c r="C237" s="399" t="s">
        <v>2366</v>
      </c>
      <c r="D237" s="399" t="s">
        <v>534</v>
      </c>
      <c r="E237" s="399" t="s">
        <v>2370</v>
      </c>
      <c r="F237" s="399" t="s">
        <v>1240</v>
      </c>
      <c r="G237" s="399" t="s">
        <v>1240</v>
      </c>
      <c r="H237" s="399" t="s">
        <v>1240</v>
      </c>
      <c r="I237" s="399" t="s">
        <v>1240</v>
      </c>
      <c r="J237" s="399" t="s">
        <v>2358</v>
      </c>
      <c r="K237" s="789">
        <v>44562</v>
      </c>
      <c r="L237" s="399">
        <v>75</v>
      </c>
      <c r="M237" s="399">
        <v>75</v>
      </c>
      <c r="N237" s="399">
        <v>0</v>
      </c>
      <c r="O237" s="399">
        <v>0</v>
      </c>
      <c r="P237" s="399">
        <v>0</v>
      </c>
      <c r="Q237" s="399">
        <v>0</v>
      </c>
      <c r="R237" s="399">
        <v>34.950000000000003</v>
      </c>
      <c r="S237" s="399"/>
      <c r="T237" s="399"/>
      <c r="U237" s="399">
        <v>2621.25</v>
      </c>
      <c r="V237" s="399"/>
      <c r="W237" s="399">
        <v>2621.25</v>
      </c>
      <c r="X237" s="399">
        <v>2585.9999999999995</v>
      </c>
      <c r="Y237" s="399">
        <v>0</v>
      </c>
      <c r="Z237" s="399">
        <v>0</v>
      </c>
      <c r="AA237" s="399">
        <v>0</v>
      </c>
      <c r="AB237" s="399">
        <v>0</v>
      </c>
      <c r="AC237" s="399">
        <v>0</v>
      </c>
      <c r="AD237" s="399">
        <v>950.23346335777501</v>
      </c>
      <c r="AE237" s="399">
        <v>1671.3605994444974</v>
      </c>
      <c r="AF237" s="399"/>
      <c r="AG237" s="399"/>
      <c r="AH237" s="399"/>
      <c r="AI237" s="399">
        <v>0</v>
      </c>
      <c r="AJ237" s="399">
        <v>0</v>
      </c>
      <c r="AK237" s="399">
        <v>0</v>
      </c>
      <c r="AL237" s="399">
        <v>0</v>
      </c>
      <c r="AM237" s="399"/>
      <c r="AN237" s="399">
        <v>0</v>
      </c>
      <c r="AO237" s="399">
        <v>0</v>
      </c>
      <c r="AP237" s="399">
        <v>0</v>
      </c>
      <c r="AQ237" s="399">
        <v>0</v>
      </c>
      <c r="AR237" s="399">
        <v>0</v>
      </c>
      <c r="AS237" s="399"/>
      <c r="AT237" s="399"/>
      <c r="AU237" s="399">
        <v>0</v>
      </c>
      <c r="AV237" s="399">
        <v>0</v>
      </c>
      <c r="AW237" s="399">
        <v>0</v>
      </c>
      <c r="AX237" s="399"/>
      <c r="AY237" s="399"/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/>
      <c r="BG237" s="399">
        <v>0</v>
      </c>
      <c r="BH237" s="399">
        <v>0</v>
      </c>
      <c r="BI237" s="399">
        <v>20.97</v>
      </c>
      <c r="BJ237" s="399">
        <v>96.81</v>
      </c>
      <c r="BK237" s="399">
        <v>577.09</v>
      </c>
      <c r="BL237" s="399">
        <v>1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0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2585.9999999999995</v>
      </c>
      <c r="CJ237" s="399">
        <v>-35.28000000000111</v>
      </c>
      <c r="CK237" s="399"/>
      <c r="CL237" s="399"/>
      <c r="CM237" s="399"/>
      <c r="CN237" s="399"/>
      <c r="CO237" s="399">
        <v>-35.250000000000448</v>
      </c>
      <c r="CP237" s="399">
        <v>0</v>
      </c>
      <c r="CQ237" s="399">
        <v>31</v>
      </c>
      <c r="CR237" s="399">
        <v>39.768554794177476</v>
      </c>
      <c r="CS237" s="399">
        <v>0</v>
      </c>
      <c r="CT237" s="399">
        <v>0</v>
      </c>
      <c r="CU237" s="399">
        <v>0</v>
      </c>
      <c r="CV237" s="399">
        <v>0</v>
      </c>
      <c r="CW237" s="399"/>
      <c r="CX237" s="399"/>
      <c r="CY237" s="399"/>
      <c r="CZ237" s="399">
        <v>39.768554794177476</v>
      </c>
      <c r="DA237" s="399">
        <v>0</v>
      </c>
      <c r="DB237" s="399">
        <v>0</v>
      </c>
      <c r="DC237" s="399"/>
      <c r="DD237" s="399"/>
      <c r="DE237" s="399">
        <v>0</v>
      </c>
      <c r="DF237" s="399">
        <v>0</v>
      </c>
      <c r="DG237" s="399">
        <v>0</v>
      </c>
      <c r="DH237" s="399">
        <v>0</v>
      </c>
      <c r="DI237" s="399">
        <v>0</v>
      </c>
      <c r="DJ237" s="399"/>
      <c r="DK237" s="399">
        <v>0</v>
      </c>
      <c r="DL237" s="399">
        <v>0</v>
      </c>
      <c r="DM237" s="399"/>
      <c r="DN237" s="399">
        <v>0</v>
      </c>
      <c r="DO237" s="399">
        <v>0</v>
      </c>
      <c r="DP237" s="399">
        <v>0</v>
      </c>
      <c r="DQ237" s="399">
        <v>0</v>
      </c>
      <c r="DR237" s="399">
        <v>0</v>
      </c>
      <c r="DS237" s="399"/>
      <c r="DT237" s="399"/>
      <c r="DU237" s="399">
        <v>1671.3605994444974</v>
      </c>
      <c r="DV237" s="399"/>
      <c r="DW237" s="399">
        <v>0</v>
      </c>
      <c r="DX237" s="399">
        <v>0</v>
      </c>
      <c r="DY237" s="399">
        <v>-35.250000000000455</v>
      </c>
      <c r="DZ237" s="399"/>
      <c r="EA237" s="399">
        <v>0</v>
      </c>
      <c r="EB237" s="399"/>
      <c r="EC237" s="399">
        <v>-75.273452581462379</v>
      </c>
      <c r="ED237" s="399"/>
      <c r="EE237" s="399">
        <v>0</v>
      </c>
      <c r="EF237" s="399">
        <v>0</v>
      </c>
      <c r="EG237" s="399"/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/>
      <c r="EN237" s="399"/>
      <c r="EO237" s="399">
        <v>0</v>
      </c>
      <c r="EP237" s="399">
        <v>0</v>
      </c>
      <c r="EQ237" s="399"/>
      <c r="ER237" s="399">
        <v>0</v>
      </c>
      <c r="ES237" s="399"/>
      <c r="ET237" s="399">
        <v>0</v>
      </c>
      <c r="EU237" s="399"/>
      <c r="EV237" s="399">
        <v>225</v>
      </c>
      <c r="EW237" s="399"/>
      <c r="EX237" s="399"/>
      <c r="EY237" s="399"/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957</v>
      </c>
      <c r="C238" s="399" t="s">
        <v>2357</v>
      </c>
      <c r="D238" s="399" t="s">
        <v>2371</v>
      </c>
      <c r="E238" s="399" t="s">
        <v>2372</v>
      </c>
      <c r="F238" s="399" t="s">
        <v>2373</v>
      </c>
      <c r="G238" s="399" t="s">
        <v>1240</v>
      </c>
      <c r="H238" s="399" t="s">
        <v>1240</v>
      </c>
      <c r="I238" s="399" t="s">
        <v>1240</v>
      </c>
      <c r="J238" s="399" t="s">
        <v>2358</v>
      </c>
      <c r="K238" s="789">
        <v>44562</v>
      </c>
      <c r="L238" s="399">
        <v>0</v>
      </c>
      <c r="M238" s="399">
        <v>0</v>
      </c>
      <c r="N238" s="399">
        <v>364.65699999999998</v>
      </c>
      <c r="O238" s="399">
        <v>364.65699999999998</v>
      </c>
      <c r="P238" s="399">
        <v>364.65699999999998</v>
      </c>
      <c r="Q238" s="399">
        <v>364.65699999999998</v>
      </c>
      <c r="R238" s="399"/>
      <c r="S238" s="399">
        <v>287.3</v>
      </c>
      <c r="T238" s="399">
        <v>79.430000000000007</v>
      </c>
      <c r="U238" s="399"/>
      <c r="V238" s="399">
        <v>133730.66161000001</v>
      </c>
      <c r="W238" s="399">
        <v>133730.66161000001</v>
      </c>
      <c r="X238" s="399">
        <v>130714.94821999999</v>
      </c>
      <c r="Y238" s="399">
        <v>0</v>
      </c>
      <c r="Z238" s="399">
        <v>12314.662524575715</v>
      </c>
      <c r="AA238" s="399">
        <v>0</v>
      </c>
      <c r="AB238" s="399">
        <v>0</v>
      </c>
      <c r="AC238" s="399">
        <v>0</v>
      </c>
      <c r="AD238" s="399">
        <v>20449.967989002544</v>
      </c>
      <c r="AE238" s="399">
        <v>66567.759797398176</v>
      </c>
      <c r="AF238" s="399">
        <v>28965.435916792241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1901.8742754805421</v>
      </c>
      <c r="AM238" s="399"/>
      <c r="AN238" s="399">
        <v>291.78772100292298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3240.7353366118941</v>
      </c>
      <c r="BH238" s="399">
        <v>0</v>
      </c>
      <c r="BI238" s="399">
        <v>846.37</v>
      </c>
      <c r="BJ238" s="399">
        <v>3906.5</v>
      </c>
      <c r="BK238" s="399">
        <v>43405.48</v>
      </c>
      <c r="BL238" s="399">
        <v>6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32206.171253404136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130716.0236</v>
      </c>
      <c r="CJ238" s="399">
        <v>-3014.6680099999794</v>
      </c>
      <c r="CK238" s="399"/>
      <c r="CL238" s="399"/>
      <c r="CM238" s="399"/>
      <c r="CN238" s="399"/>
      <c r="CO238" s="399">
        <v>-4186.2623600000061</v>
      </c>
      <c r="CP238" s="399">
        <v>1170.5489699999976</v>
      </c>
      <c r="CQ238" s="399">
        <v>31</v>
      </c>
      <c r="CR238" s="399">
        <v>-19.249628768346156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855.85880088468184</v>
      </c>
      <c r="DA238" s="399">
        <v>0</v>
      </c>
      <c r="DB238" s="399">
        <v>0</v>
      </c>
      <c r="DC238" s="399">
        <v>1171.2366471306668</v>
      </c>
      <c r="DD238" s="399">
        <v>0</v>
      </c>
      <c r="DE238" s="399">
        <v>0</v>
      </c>
      <c r="DF238" s="399">
        <v>0</v>
      </c>
      <c r="DG238" s="399">
        <v>131.0412866146703</v>
      </c>
      <c r="DH238" s="399">
        <v>0</v>
      </c>
      <c r="DI238" s="399">
        <v>-1891.915335220172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-250.25728909159784</v>
      </c>
      <c r="DP238" s="399">
        <v>-35.213739086592966</v>
      </c>
      <c r="DQ238" s="399">
        <v>0</v>
      </c>
      <c r="DR238" s="399">
        <v>0</v>
      </c>
      <c r="DS238" s="399"/>
      <c r="DT238" s="399"/>
      <c r="DU238" s="399"/>
      <c r="DV238" s="399">
        <v>66567.759797398176</v>
      </c>
      <c r="DW238" s="399">
        <v>0</v>
      </c>
      <c r="DX238" s="399">
        <v>0</v>
      </c>
      <c r="DY238" s="399">
        <v>-4186.2623600000079</v>
      </c>
      <c r="DZ238" s="399">
        <v>1170.5489699999998</v>
      </c>
      <c r="EA238" s="399">
        <v>0</v>
      </c>
      <c r="EB238" s="399">
        <v>0</v>
      </c>
      <c r="EC238" s="399">
        <v>-2998.0275424879073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225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957</v>
      </c>
      <c r="C239" s="399" t="s">
        <v>2357</v>
      </c>
      <c r="D239" s="399" t="s">
        <v>1826</v>
      </c>
      <c r="E239" s="399" t="s">
        <v>922</v>
      </c>
      <c r="F239" s="399" t="s">
        <v>2374</v>
      </c>
      <c r="G239" s="399" t="s">
        <v>1240</v>
      </c>
      <c r="H239" s="399" t="s">
        <v>1240</v>
      </c>
      <c r="I239" s="399" t="s">
        <v>1240</v>
      </c>
      <c r="J239" s="399" t="s">
        <v>2358</v>
      </c>
      <c r="K239" s="789">
        <v>44562</v>
      </c>
      <c r="L239" s="399">
        <v>0</v>
      </c>
      <c r="M239" s="399">
        <v>0</v>
      </c>
      <c r="N239" s="399">
        <v>21.271999999999998</v>
      </c>
      <c r="O239" s="399">
        <v>19.99568</v>
      </c>
      <c r="P239" s="399">
        <v>21.271999999999998</v>
      </c>
      <c r="Q239" s="399">
        <v>19.99568</v>
      </c>
      <c r="R239" s="399"/>
      <c r="S239" s="399">
        <v>522.37</v>
      </c>
      <c r="T239" s="399">
        <v>144.41999999999999</v>
      </c>
      <c r="U239" s="399"/>
      <c r="V239" s="399">
        <v>14183.95688</v>
      </c>
      <c r="W239" s="399">
        <v>14183.95688</v>
      </c>
      <c r="X239" s="399">
        <v>13863.81328</v>
      </c>
      <c r="Y239" s="399">
        <v>0</v>
      </c>
      <c r="Z239" s="399">
        <v>1306.1215494549408</v>
      </c>
      <c r="AA239" s="399">
        <v>0</v>
      </c>
      <c r="AB239" s="399">
        <v>0</v>
      </c>
      <c r="AC239" s="399">
        <v>0</v>
      </c>
      <c r="AD239" s="399">
        <v>2168.970836415202</v>
      </c>
      <c r="AE239" s="399">
        <v>7060.3303498418554</v>
      </c>
      <c r="AF239" s="399">
        <v>3072.1410322676979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201.71717825005715</v>
      </c>
      <c r="AM239" s="399"/>
      <c r="AN239" s="399">
        <v>30.947679606136269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343.71987464388371</v>
      </c>
      <c r="BH239" s="399">
        <v>0</v>
      </c>
      <c r="BI239" s="399">
        <v>84.05</v>
      </c>
      <c r="BJ239" s="399">
        <v>388.62</v>
      </c>
      <c r="BK239" s="399">
        <v>4574.96</v>
      </c>
      <c r="BL239" s="399">
        <v>35</v>
      </c>
      <c r="BM239" s="399"/>
      <c r="BN239" s="399"/>
      <c r="BO239" s="399"/>
      <c r="BP239" s="399"/>
      <c r="BQ239" s="399">
        <v>831.82879679999894</v>
      </c>
      <c r="BR239" s="399"/>
      <c r="BS239" s="399"/>
      <c r="BT239" s="399"/>
      <c r="BU239" s="399"/>
      <c r="BV239" s="399">
        <v>3415.8609069115819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13034.8</v>
      </c>
      <c r="CJ239" s="399">
        <v>-298.1494672000008</v>
      </c>
      <c r="CK239" s="399"/>
      <c r="CL239" s="399"/>
      <c r="CM239" s="399"/>
      <c r="CN239" s="399"/>
      <c r="CO239" s="399">
        <v>-444.3720799999997</v>
      </c>
      <c r="CP239" s="399">
        <v>124.22848000000006</v>
      </c>
      <c r="CQ239" s="399">
        <v>31</v>
      </c>
      <c r="CR239" s="399">
        <v>-2.0416600863309213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90.774361124019833</v>
      </c>
      <c r="DA239" s="399">
        <v>0</v>
      </c>
      <c r="DB239" s="399">
        <v>0</v>
      </c>
      <c r="DC239" s="399">
        <v>124.22406389748858</v>
      </c>
      <c r="DD239" s="399">
        <v>0</v>
      </c>
      <c r="DE239" s="399">
        <v>0</v>
      </c>
      <c r="DF239" s="399">
        <v>0</v>
      </c>
      <c r="DG239" s="399">
        <v>13.898541512944917</v>
      </c>
      <c r="DH239" s="399">
        <v>0</v>
      </c>
      <c r="DI239" s="399">
        <v>-200.66091004475106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-26.542866078417006</v>
      </c>
      <c r="DP239" s="399">
        <v>-3.734850497615728</v>
      </c>
      <c r="DQ239" s="399">
        <v>0</v>
      </c>
      <c r="DR239" s="399">
        <v>0</v>
      </c>
      <c r="DS239" s="399"/>
      <c r="DT239" s="399"/>
      <c r="DU239" s="399"/>
      <c r="DV239" s="399">
        <v>7060.3303498418554</v>
      </c>
      <c r="DW239" s="399">
        <v>0</v>
      </c>
      <c r="DX239" s="399">
        <v>0</v>
      </c>
      <c r="DY239" s="399">
        <v>-444.37207999999919</v>
      </c>
      <c r="DZ239" s="399">
        <v>124.22847999999976</v>
      </c>
      <c r="EA239" s="399">
        <v>0</v>
      </c>
      <c r="EB239" s="399">
        <v>0</v>
      </c>
      <c r="EC239" s="399">
        <v>-317.97772543814881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225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957</v>
      </c>
      <c r="C240" s="399" t="s">
        <v>2366</v>
      </c>
      <c r="D240" s="399" t="s">
        <v>534</v>
      </c>
      <c r="E240" s="399" t="s">
        <v>922</v>
      </c>
      <c r="F240" s="399" t="s">
        <v>2374</v>
      </c>
      <c r="G240" s="399" t="s">
        <v>1240</v>
      </c>
      <c r="H240" s="399" t="s">
        <v>1240</v>
      </c>
      <c r="I240" s="399" t="s">
        <v>894</v>
      </c>
      <c r="J240" s="399" t="s">
        <v>2358</v>
      </c>
      <c r="K240" s="789">
        <v>44562</v>
      </c>
      <c r="L240" s="399">
        <v>0</v>
      </c>
      <c r="M240" s="399">
        <v>0</v>
      </c>
      <c r="N240" s="399">
        <v>0.48099999999999998</v>
      </c>
      <c r="O240" s="399">
        <v>0.45213999999999999</v>
      </c>
      <c r="P240" s="399">
        <v>0.48099999999999998</v>
      </c>
      <c r="Q240" s="399">
        <v>0.45213999999999999</v>
      </c>
      <c r="R240" s="399"/>
      <c r="S240" s="399">
        <v>2740.31</v>
      </c>
      <c r="T240" s="399">
        <v>144.41999999999999</v>
      </c>
      <c r="U240" s="399"/>
      <c r="V240" s="399">
        <v>1387.55513</v>
      </c>
      <c r="W240" s="399">
        <v>1387.55513</v>
      </c>
      <c r="X240" s="399">
        <v>1359.5080199999998</v>
      </c>
      <c r="Y240" s="399">
        <v>0</v>
      </c>
      <c r="Z240" s="399">
        <v>25.694466190316341</v>
      </c>
      <c r="AA240" s="399">
        <v>0</v>
      </c>
      <c r="AB240" s="399">
        <v>0</v>
      </c>
      <c r="AC240" s="399">
        <v>0</v>
      </c>
      <c r="AD240" s="399">
        <v>362.0308131719782</v>
      </c>
      <c r="AE240" s="399">
        <v>922.56163924387874</v>
      </c>
      <c r="AF240" s="399">
        <v>69.466897166263763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4.5612054690803641</v>
      </c>
      <c r="AM240" s="399"/>
      <c r="AN240" s="399">
        <v>0.2393865828595183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3.0007677521551104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>
        <v>81.570481199999989</v>
      </c>
      <c r="BR240" s="399"/>
      <c r="BS240" s="399"/>
      <c r="BT240" s="399"/>
      <c r="BU240" s="399"/>
      <c r="BV240" s="399">
        <v>72.467664918418876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1271.8889999999999</v>
      </c>
      <c r="CJ240" s="399">
        <v>-32.442822200000137</v>
      </c>
      <c r="CK240" s="399"/>
      <c r="CL240" s="399"/>
      <c r="CM240" s="399"/>
      <c r="CN240" s="399"/>
      <c r="CO240" s="399">
        <v>-30.856150000000042</v>
      </c>
      <c r="CP240" s="399">
        <v>2.8090400000000018</v>
      </c>
      <c r="CQ240" s="399">
        <v>31</v>
      </c>
      <c r="CR240" s="399">
        <v>13.505213508609415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15.151478858612279</v>
      </c>
      <c r="DA240" s="399">
        <v>0</v>
      </c>
      <c r="DB240" s="399">
        <v>0</v>
      </c>
      <c r="DC240" s="399">
        <v>2.8089401436015464</v>
      </c>
      <c r="DD240" s="399">
        <v>0</v>
      </c>
      <c r="DE240" s="399">
        <v>0</v>
      </c>
      <c r="DF240" s="399">
        <v>0</v>
      </c>
      <c r="DG240" s="399">
        <v>0.12133803789275488</v>
      </c>
      <c r="DH240" s="399">
        <v>0</v>
      </c>
      <c r="DI240" s="399">
        <v>-3.9474694916522459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-0.60018421322483029</v>
      </c>
      <c r="DP240" s="399">
        <v>-2.8889826620091597E-2</v>
      </c>
      <c r="DQ240" s="399">
        <v>0</v>
      </c>
      <c r="DR240" s="399">
        <v>0</v>
      </c>
      <c r="DS240" s="399"/>
      <c r="DT240" s="399"/>
      <c r="DU240" s="399"/>
      <c r="DV240" s="399">
        <v>922.56163924387874</v>
      </c>
      <c r="DW240" s="399">
        <v>0</v>
      </c>
      <c r="DX240" s="399">
        <v>0</v>
      </c>
      <c r="DY240" s="399">
        <v>-30.856150000000071</v>
      </c>
      <c r="DZ240" s="399">
        <v>2.8090400000000102</v>
      </c>
      <c r="EA240" s="399">
        <v>0</v>
      </c>
      <c r="EB240" s="399">
        <v>0</v>
      </c>
      <c r="EC240" s="399">
        <v>-41.54962120573407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225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957</v>
      </c>
      <c r="C241" s="399" t="s">
        <v>2366</v>
      </c>
      <c r="D241" s="399" t="s">
        <v>534</v>
      </c>
      <c r="E241" s="399" t="s">
        <v>922</v>
      </c>
      <c r="F241" s="399" t="s">
        <v>2374</v>
      </c>
      <c r="G241" s="399" t="s">
        <v>1240</v>
      </c>
      <c r="H241" s="399" t="s">
        <v>1240</v>
      </c>
      <c r="I241" s="399" t="s">
        <v>2328</v>
      </c>
      <c r="J241" s="399" t="s">
        <v>2358</v>
      </c>
      <c r="K241" s="789">
        <v>44562</v>
      </c>
      <c r="L241" s="399">
        <v>0</v>
      </c>
      <c r="M241" s="399">
        <v>0</v>
      </c>
      <c r="N241" s="399">
        <v>2.5019999999999998</v>
      </c>
      <c r="O241" s="399">
        <v>2.35188</v>
      </c>
      <c r="P241" s="399">
        <v>2.5019999999999998</v>
      </c>
      <c r="Q241" s="399">
        <v>2.35188</v>
      </c>
      <c r="R241" s="399"/>
      <c r="S241" s="399">
        <v>69.64</v>
      </c>
      <c r="T241" s="399">
        <v>144.41999999999999</v>
      </c>
      <c r="U241" s="399"/>
      <c r="V241" s="399">
        <v>535.5781199999999</v>
      </c>
      <c r="W241" s="399">
        <v>535.5781199999999</v>
      </c>
      <c r="X241" s="399">
        <v>527.02127999999993</v>
      </c>
      <c r="Y241" s="399">
        <v>0</v>
      </c>
      <c r="Z241" s="399">
        <v>133.65395926854777</v>
      </c>
      <c r="AA241" s="399">
        <v>0</v>
      </c>
      <c r="AB241" s="399">
        <v>0</v>
      </c>
      <c r="AC241" s="399">
        <v>0</v>
      </c>
      <c r="AD241" s="399">
        <v>0</v>
      </c>
      <c r="AE241" s="399">
        <v>0</v>
      </c>
      <c r="AF241" s="399">
        <v>361.34340272347589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23.72585464374027</v>
      </c>
      <c r="AM241" s="399"/>
      <c r="AN241" s="399">
        <v>1.2452083790322552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15.608983193122839</v>
      </c>
      <c r="BH241" s="399">
        <v>0</v>
      </c>
      <c r="BI241" s="399">
        <v>0</v>
      </c>
      <c r="BJ241" s="399">
        <v>0</v>
      </c>
      <c r="BK241" s="399">
        <v>0</v>
      </c>
      <c r="BL241" s="399">
        <v>0</v>
      </c>
      <c r="BM241" s="399"/>
      <c r="BN241" s="399"/>
      <c r="BO241" s="399"/>
      <c r="BP241" s="399"/>
      <c r="BQ241" s="399">
        <v>31.621276799999958</v>
      </c>
      <c r="BR241" s="399"/>
      <c r="BS241" s="399"/>
      <c r="BT241" s="399"/>
      <c r="BU241" s="399"/>
      <c r="BV241" s="399">
        <v>376.9523859165987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495.00400000000002</v>
      </c>
      <c r="CJ241" s="399">
        <v>-8.4694327999999359</v>
      </c>
      <c r="CK241" s="399"/>
      <c r="CL241" s="399"/>
      <c r="CM241" s="399"/>
      <c r="CN241" s="399"/>
      <c r="CO241" s="399">
        <v>-23.168519999999994</v>
      </c>
      <c r="CP241" s="399">
        <v>14.611680000000007</v>
      </c>
      <c r="CQ241" s="399">
        <v>31</v>
      </c>
      <c r="CR241" s="399">
        <v>-8.5633178912830772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0</v>
      </c>
      <c r="DA241" s="399">
        <v>0</v>
      </c>
      <c r="DB241" s="399">
        <v>0</v>
      </c>
      <c r="DC241" s="399">
        <v>14.611160580646754</v>
      </c>
      <c r="DD241" s="399">
        <v>0</v>
      </c>
      <c r="DE241" s="399">
        <v>0</v>
      </c>
      <c r="DF241" s="399">
        <v>0</v>
      </c>
      <c r="DG241" s="399">
        <v>0.63115960666875637</v>
      </c>
      <c r="DH241" s="399">
        <v>0</v>
      </c>
      <c r="DI241" s="399">
        <v>-20.533406794415626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-3.1219561361507786</v>
      </c>
      <c r="DP241" s="399">
        <v>-0.15027514803216047</v>
      </c>
      <c r="DQ241" s="399">
        <v>0</v>
      </c>
      <c r="DR241" s="399">
        <v>0</v>
      </c>
      <c r="DS241" s="399"/>
      <c r="DT241" s="399"/>
      <c r="DU241" s="399"/>
      <c r="DV241" s="399">
        <v>0</v>
      </c>
      <c r="DW241" s="399">
        <v>0</v>
      </c>
      <c r="DX241" s="399">
        <v>0</v>
      </c>
      <c r="DY241" s="399">
        <v>-23.168519999999972</v>
      </c>
      <c r="DZ241" s="399">
        <v>14.611679999999978</v>
      </c>
      <c r="EA241" s="399">
        <v>0</v>
      </c>
      <c r="EB241" s="399">
        <v>0</v>
      </c>
      <c r="EC241" s="399">
        <v>0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225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957</v>
      </c>
      <c r="C242" s="399" t="s">
        <v>2366</v>
      </c>
      <c r="D242" s="399" t="s">
        <v>534</v>
      </c>
      <c r="E242" s="399" t="s">
        <v>922</v>
      </c>
      <c r="F242" s="399" t="s">
        <v>2374</v>
      </c>
      <c r="G242" s="399" t="s">
        <v>1240</v>
      </c>
      <c r="H242" s="399" t="s">
        <v>1240</v>
      </c>
      <c r="I242" s="399" t="s">
        <v>1240</v>
      </c>
      <c r="J242" s="399" t="s">
        <v>2358</v>
      </c>
      <c r="K242" s="789">
        <v>44562</v>
      </c>
      <c r="L242" s="399">
        <v>78</v>
      </c>
      <c r="M242" s="399">
        <v>73.319999999999993</v>
      </c>
      <c r="N242" s="399">
        <v>0</v>
      </c>
      <c r="O242" s="399">
        <v>0</v>
      </c>
      <c r="P242" s="399">
        <v>0</v>
      </c>
      <c r="Q242" s="399">
        <v>0</v>
      </c>
      <c r="R242" s="399">
        <v>34.950000000000003</v>
      </c>
      <c r="S242" s="399"/>
      <c r="T242" s="399"/>
      <c r="U242" s="399">
        <v>2726.1000000000004</v>
      </c>
      <c r="V242" s="399"/>
      <c r="W242" s="399">
        <v>2726.1000000000004</v>
      </c>
      <c r="X242" s="399">
        <v>2689.4399999999996</v>
      </c>
      <c r="Y242" s="399">
        <v>0</v>
      </c>
      <c r="Z242" s="399">
        <v>0</v>
      </c>
      <c r="AA242" s="399">
        <v>0</v>
      </c>
      <c r="AB242" s="399">
        <v>0</v>
      </c>
      <c r="AC242" s="399">
        <v>0</v>
      </c>
      <c r="AD242" s="399">
        <v>988.24280189208594</v>
      </c>
      <c r="AE242" s="399">
        <v>1738.2150234222775</v>
      </c>
      <c r="AF242" s="399"/>
      <c r="AG242" s="399"/>
      <c r="AH242" s="399"/>
      <c r="AI242" s="399">
        <v>0</v>
      </c>
      <c r="AJ242" s="399">
        <v>0</v>
      </c>
      <c r="AK242" s="399">
        <v>0</v>
      </c>
      <c r="AL242" s="399">
        <v>0</v>
      </c>
      <c r="AM242" s="399"/>
      <c r="AN242" s="399">
        <v>0</v>
      </c>
      <c r="AO242" s="399">
        <v>0</v>
      </c>
      <c r="AP242" s="399">
        <v>0</v>
      </c>
      <c r="AQ242" s="399">
        <v>0</v>
      </c>
      <c r="AR242" s="399">
        <v>0</v>
      </c>
      <c r="AS242" s="399"/>
      <c r="AT242" s="399"/>
      <c r="AU242" s="399">
        <v>0</v>
      </c>
      <c r="AV242" s="399">
        <v>0</v>
      </c>
      <c r="AW242" s="399">
        <v>0</v>
      </c>
      <c r="AX242" s="399"/>
      <c r="AY242" s="399"/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/>
      <c r="BG242" s="399">
        <v>0</v>
      </c>
      <c r="BH242" s="399">
        <v>0</v>
      </c>
      <c r="BI242" s="399">
        <v>29.86</v>
      </c>
      <c r="BJ242" s="399">
        <v>137.83000000000001</v>
      </c>
      <c r="BK242" s="399">
        <v>955.13</v>
      </c>
      <c r="BL242" s="399">
        <v>1</v>
      </c>
      <c r="BM242" s="399"/>
      <c r="BN242" s="399"/>
      <c r="BO242" s="399"/>
      <c r="BP242" s="399"/>
      <c r="BQ242" s="399">
        <v>161.36640000000023</v>
      </c>
      <c r="BR242" s="399"/>
      <c r="BS242" s="399"/>
      <c r="BT242" s="399"/>
      <c r="BU242" s="399"/>
      <c r="BV242" s="399">
        <v>0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2528.0735999999997</v>
      </c>
      <c r="CJ242" s="399">
        <v>-34.490400000001046</v>
      </c>
      <c r="CK242" s="399"/>
      <c r="CL242" s="399"/>
      <c r="CM242" s="399"/>
      <c r="CN242" s="399"/>
      <c r="CO242" s="399">
        <v>-36.660000000000466</v>
      </c>
      <c r="CP242" s="399">
        <v>0</v>
      </c>
      <c r="CQ242" s="399">
        <v>31</v>
      </c>
      <c r="CR242" s="399">
        <v>41.359296985944638</v>
      </c>
      <c r="CS242" s="399">
        <v>0</v>
      </c>
      <c r="CT242" s="399">
        <v>0</v>
      </c>
      <c r="CU242" s="399">
        <v>0</v>
      </c>
      <c r="CV242" s="399">
        <v>0</v>
      </c>
      <c r="CW242" s="399"/>
      <c r="CX242" s="399"/>
      <c r="CY242" s="399"/>
      <c r="CZ242" s="399">
        <v>41.359296985944638</v>
      </c>
      <c r="DA242" s="399">
        <v>0</v>
      </c>
      <c r="DB242" s="399">
        <v>0</v>
      </c>
      <c r="DC242" s="399"/>
      <c r="DD242" s="399"/>
      <c r="DE242" s="399">
        <v>0</v>
      </c>
      <c r="DF242" s="399">
        <v>0</v>
      </c>
      <c r="DG242" s="399">
        <v>0</v>
      </c>
      <c r="DH242" s="399">
        <v>0</v>
      </c>
      <c r="DI242" s="399">
        <v>0</v>
      </c>
      <c r="DJ242" s="399"/>
      <c r="DK242" s="399">
        <v>0</v>
      </c>
      <c r="DL242" s="399">
        <v>0</v>
      </c>
      <c r="DM242" s="399"/>
      <c r="DN242" s="399">
        <v>0</v>
      </c>
      <c r="DO242" s="399">
        <v>0</v>
      </c>
      <c r="DP242" s="399">
        <v>0</v>
      </c>
      <c r="DQ242" s="399">
        <v>0</v>
      </c>
      <c r="DR242" s="399">
        <v>0</v>
      </c>
      <c r="DS242" s="399"/>
      <c r="DT242" s="399"/>
      <c r="DU242" s="399">
        <v>1738.2150234222775</v>
      </c>
      <c r="DV242" s="399"/>
      <c r="DW242" s="399">
        <v>0</v>
      </c>
      <c r="DX242" s="399">
        <v>0</v>
      </c>
      <c r="DY242" s="399">
        <v>-36.660000000000764</v>
      </c>
      <c r="DZ242" s="399"/>
      <c r="EA242" s="399">
        <v>0</v>
      </c>
      <c r="EB242" s="399"/>
      <c r="EC242" s="399">
        <v>-78.284390684721075</v>
      </c>
      <c r="ED242" s="399"/>
      <c r="EE242" s="399">
        <v>0</v>
      </c>
      <c r="EF242" s="399">
        <v>0</v>
      </c>
      <c r="EG242" s="399"/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/>
      <c r="EN242" s="399"/>
      <c r="EO242" s="399">
        <v>0</v>
      </c>
      <c r="EP242" s="399">
        <v>0</v>
      </c>
      <c r="EQ242" s="399"/>
      <c r="ER242" s="399">
        <v>0</v>
      </c>
      <c r="ES242" s="399"/>
      <c r="ET242" s="399">
        <v>0</v>
      </c>
      <c r="EU242" s="399"/>
      <c r="EV242" s="399">
        <v>225</v>
      </c>
      <c r="EW242" s="399"/>
      <c r="EX242" s="399"/>
      <c r="EY242" s="399"/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957</v>
      </c>
      <c r="C243" s="399" t="s">
        <v>2357</v>
      </c>
      <c r="D243" s="399" t="s">
        <v>1826</v>
      </c>
      <c r="E243" s="399" t="s">
        <v>2375</v>
      </c>
      <c r="F243" s="399" t="s">
        <v>1240</v>
      </c>
      <c r="G243" s="399" t="s">
        <v>1240</v>
      </c>
      <c r="H243" s="399" t="s">
        <v>1240</v>
      </c>
      <c r="I243" s="399" t="s">
        <v>1240</v>
      </c>
      <c r="J243" s="399" t="s">
        <v>2358</v>
      </c>
      <c r="K243" s="789">
        <v>44562</v>
      </c>
      <c r="L243" s="399">
        <v>0</v>
      </c>
      <c r="M243" s="399">
        <v>0</v>
      </c>
      <c r="N243" s="399">
        <v>10.233000000000001</v>
      </c>
      <c r="O243" s="399">
        <v>10.233000000000001</v>
      </c>
      <c r="P243" s="399">
        <v>10.233000000000001</v>
      </c>
      <c r="Q243" s="399">
        <v>10.233000000000001</v>
      </c>
      <c r="R243" s="399"/>
      <c r="S243" s="399">
        <v>522.37</v>
      </c>
      <c r="T243" s="399">
        <v>144.41999999999999</v>
      </c>
      <c r="U243" s="399"/>
      <c r="V243" s="399">
        <v>6823.2620700000007</v>
      </c>
      <c r="W243" s="399">
        <v>6823.2620700000007</v>
      </c>
      <c r="X243" s="399">
        <v>6669.2554200000013</v>
      </c>
      <c r="Y243" s="399">
        <v>0</v>
      </c>
      <c r="Z243" s="399">
        <v>628.31618162713482</v>
      </c>
      <c r="AA243" s="399">
        <v>0</v>
      </c>
      <c r="AB243" s="399">
        <v>0</v>
      </c>
      <c r="AC243" s="399">
        <v>0</v>
      </c>
      <c r="AD243" s="399">
        <v>1043.3940658629542</v>
      </c>
      <c r="AE243" s="399">
        <v>3396.4065659050261</v>
      </c>
      <c r="AF243" s="399">
        <v>1477.8685212107632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97.03703859688018</v>
      </c>
      <c r="AM243" s="399"/>
      <c r="AN243" s="399">
        <v>14.887533161413712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165.34813262649786</v>
      </c>
      <c r="BH243" s="399">
        <v>0</v>
      </c>
      <c r="BI243" s="399">
        <v>0</v>
      </c>
      <c r="BJ243" s="399">
        <v>0</v>
      </c>
      <c r="BK243" s="399">
        <v>0</v>
      </c>
      <c r="BL243" s="399">
        <v>3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1643.216653837261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6667.3001999999997</v>
      </c>
      <c r="CJ243" s="399">
        <v>-155.99187000000165</v>
      </c>
      <c r="CK243" s="399"/>
      <c r="CL243" s="399"/>
      <c r="CM243" s="399"/>
      <c r="CN243" s="399"/>
      <c r="CO243" s="399">
        <v>-213.76736999999986</v>
      </c>
      <c r="CP243" s="399">
        <v>59.760720000000035</v>
      </c>
      <c r="CQ243" s="399">
        <v>31</v>
      </c>
      <c r="CR243" s="399">
        <v>-0.98215060471011384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43.667451926574813</v>
      </c>
      <c r="DA243" s="399">
        <v>0</v>
      </c>
      <c r="DB243" s="399">
        <v>0</v>
      </c>
      <c r="DC243" s="399">
        <v>59.758595612213412</v>
      </c>
      <c r="DD243" s="399">
        <v>0</v>
      </c>
      <c r="DE243" s="399">
        <v>0</v>
      </c>
      <c r="DF243" s="399">
        <v>0</v>
      </c>
      <c r="DG243" s="399">
        <v>6.6859616068994683</v>
      </c>
      <c r="DH243" s="399">
        <v>0</v>
      </c>
      <c r="DI243" s="399">
        <v>-96.528915592701082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-12.768575995695812</v>
      </c>
      <c r="DP243" s="399">
        <v>-1.7966681620017741</v>
      </c>
      <c r="DQ243" s="399">
        <v>0</v>
      </c>
      <c r="DR243" s="399">
        <v>0</v>
      </c>
      <c r="DS243" s="399"/>
      <c r="DT243" s="399"/>
      <c r="DU243" s="399"/>
      <c r="DV243" s="399">
        <v>3396.4065659050261</v>
      </c>
      <c r="DW243" s="399">
        <v>0</v>
      </c>
      <c r="DX243" s="399">
        <v>0</v>
      </c>
      <c r="DY243" s="399">
        <v>-213.76736999999957</v>
      </c>
      <c r="DZ243" s="399">
        <v>59.760719999999992</v>
      </c>
      <c r="EA243" s="399">
        <v>0</v>
      </c>
      <c r="EB243" s="399">
        <v>0</v>
      </c>
      <c r="EC243" s="399">
        <v>-152.96474541221232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225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957</v>
      </c>
      <c r="C244" s="399" t="s">
        <v>2357</v>
      </c>
      <c r="D244" s="399" t="s">
        <v>2369</v>
      </c>
      <c r="E244" s="399" t="s">
        <v>895</v>
      </c>
      <c r="F244" s="399" t="s">
        <v>2376</v>
      </c>
      <c r="G244" s="399" t="s">
        <v>2377</v>
      </c>
      <c r="H244" s="399" t="s">
        <v>1240</v>
      </c>
      <c r="I244" s="399" t="s">
        <v>1240</v>
      </c>
      <c r="J244" s="399" t="s">
        <v>2358</v>
      </c>
      <c r="K244" s="789">
        <v>44562</v>
      </c>
      <c r="L244" s="399">
        <v>0</v>
      </c>
      <c r="M244" s="399">
        <v>0</v>
      </c>
      <c r="N244" s="399">
        <v>0</v>
      </c>
      <c r="O244" s="399">
        <v>0</v>
      </c>
      <c r="P244" s="399">
        <v>0</v>
      </c>
      <c r="Q244" s="399">
        <v>0</v>
      </c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>
        <v>0</v>
      </c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>
        <v>0</v>
      </c>
      <c r="BA244" s="399"/>
      <c r="BB244" s="399"/>
      <c r="BC244" s="399"/>
      <c r="BD244" s="399"/>
      <c r="BE244" s="399"/>
      <c r="BF244" s="399"/>
      <c r="BG244" s="399"/>
      <c r="BH244" s="399"/>
      <c r="BI244" s="399">
        <v>0</v>
      </c>
      <c r="BJ244" s="399">
        <v>0</v>
      </c>
      <c r="BK244" s="399">
        <v>467.17</v>
      </c>
      <c r="BL244" s="399">
        <v>2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/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/>
      <c r="CJ244" s="399">
        <v>-0.03</v>
      </c>
      <c r="CK244" s="399"/>
      <c r="CL244" s="399"/>
      <c r="CM244" s="399"/>
      <c r="CN244" s="399"/>
      <c r="CO244" s="399">
        <v>0</v>
      </c>
      <c r="CP244" s="399">
        <v>0</v>
      </c>
      <c r="CQ244" s="399">
        <v>31</v>
      </c>
      <c r="CR244" s="399"/>
      <c r="CS244" s="399"/>
      <c r="CT244" s="399"/>
      <c r="CU244" s="399"/>
      <c r="CV244" s="399"/>
      <c r="CW244" s="399"/>
      <c r="CX244" s="399"/>
      <c r="CY244" s="399"/>
      <c r="CZ244" s="399"/>
      <c r="DA244" s="399"/>
      <c r="DB244" s="399"/>
      <c r="DC244" s="399"/>
      <c r="DD244" s="399"/>
      <c r="DE244" s="399"/>
      <c r="DF244" s="399"/>
      <c r="DG244" s="399"/>
      <c r="DH244" s="399"/>
      <c r="DI244" s="399"/>
      <c r="DJ244" s="399"/>
      <c r="DK244" s="399">
        <v>0</v>
      </c>
      <c r="DL244" s="399"/>
      <c r="DM244" s="399"/>
      <c r="DN244" s="399"/>
      <c r="DO244" s="399"/>
      <c r="DP244" s="399"/>
      <c r="DQ244" s="399"/>
      <c r="DR244" s="399"/>
      <c r="DS244" s="399"/>
      <c r="DT244" s="399"/>
      <c r="DU244" s="399"/>
      <c r="DV244" s="399"/>
      <c r="DW244" s="399"/>
      <c r="DX244" s="399"/>
      <c r="DY244" s="399"/>
      <c r="DZ244" s="399"/>
      <c r="EA244" s="399"/>
      <c r="EB244" s="399"/>
      <c r="EC244" s="399"/>
      <c r="ED244" s="399"/>
      <c r="EE244" s="399"/>
      <c r="EF244" s="399"/>
      <c r="EG244" s="399"/>
      <c r="EH244" s="399"/>
      <c r="EI244" s="399"/>
      <c r="EJ244" s="399"/>
      <c r="EK244" s="399"/>
      <c r="EL244" s="399"/>
      <c r="EM244" s="399"/>
      <c r="EN244" s="399"/>
      <c r="EO244" s="399"/>
      <c r="EP244" s="399"/>
      <c r="EQ244" s="399"/>
      <c r="ER244" s="399"/>
      <c r="ES244" s="399"/>
      <c r="ET244" s="399"/>
      <c r="EU244" s="399"/>
      <c r="EV244" s="399">
        <v>225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957</v>
      </c>
      <c r="C245" s="399" t="s">
        <v>2357</v>
      </c>
      <c r="D245" s="399" t="s">
        <v>2369</v>
      </c>
      <c r="E245" s="399" t="s">
        <v>895</v>
      </c>
      <c r="F245" s="399" t="s">
        <v>2376</v>
      </c>
      <c r="G245" s="399" t="s">
        <v>2377</v>
      </c>
      <c r="H245" s="399" t="s">
        <v>1240</v>
      </c>
      <c r="I245" s="399" t="s">
        <v>1240</v>
      </c>
      <c r="J245" s="399" t="s">
        <v>2358</v>
      </c>
      <c r="K245" s="789">
        <v>44562</v>
      </c>
      <c r="L245" s="399">
        <v>0</v>
      </c>
      <c r="M245" s="399">
        <v>0</v>
      </c>
      <c r="N245" s="399">
        <v>2.536</v>
      </c>
      <c r="O245" s="399">
        <v>2.536</v>
      </c>
      <c r="P245" s="399">
        <v>2.536</v>
      </c>
      <c r="Q245" s="399">
        <v>2.536</v>
      </c>
      <c r="R245" s="399"/>
      <c r="S245" s="399">
        <v>522.37</v>
      </c>
      <c r="T245" s="399">
        <v>144.41999999999999</v>
      </c>
      <c r="U245" s="399"/>
      <c r="V245" s="399">
        <v>1690.9794400000001</v>
      </c>
      <c r="W245" s="399">
        <v>1690.9794400000001</v>
      </c>
      <c r="X245" s="399">
        <v>1652.8126400000001</v>
      </c>
      <c r="Y245" s="399">
        <v>0</v>
      </c>
      <c r="Z245" s="399">
        <v>155.71287370335324</v>
      </c>
      <c r="AA245" s="399">
        <v>0</v>
      </c>
      <c r="AB245" s="399">
        <v>0</v>
      </c>
      <c r="AC245" s="399">
        <v>0</v>
      </c>
      <c r="AD245" s="399">
        <v>258.57982517623884</v>
      </c>
      <c r="AE245" s="399">
        <v>841.71670586681773</v>
      </c>
      <c r="AF245" s="399">
        <v>366.25374472691249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24.048268335941376</v>
      </c>
      <c r="AM245" s="399"/>
      <c r="AN245" s="399">
        <v>3.6895127623712667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40.977510440809006</v>
      </c>
      <c r="BH245" s="399">
        <v>0</v>
      </c>
      <c r="BI245" s="399">
        <v>0</v>
      </c>
      <c r="BJ245" s="399">
        <v>0</v>
      </c>
      <c r="BK245" s="399">
        <v>0</v>
      </c>
      <c r="BL245" s="399">
        <v>0</v>
      </c>
      <c r="BM245" s="399"/>
      <c r="BN245" s="399"/>
      <c r="BO245" s="399"/>
      <c r="BP245" s="399"/>
      <c r="BQ245" s="399"/>
      <c r="BR245" s="399">
        <v>198.31520000000006</v>
      </c>
      <c r="BS245" s="399"/>
      <c r="BT245" s="399"/>
      <c r="BU245" s="399"/>
      <c r="BV245" s="399">
        <v>407.23125516772149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1456.7916</v>
      </c>
      <c r="CJ245" s="399">
        <v>-31.287119999999959</v>
      </c>
      <c r="CK245" s="399"/>
      <c r="CL245" s="399"/>
      <c r="CM245" s="399"/>
      <c r="CN245" s="399"/>
      <c r="CO245" s="399">
        <v>-52.977039999999967</v>
      </c>
      <c r="CP245" s="399">
        <v>14.810240000000009</v>
      </c>
      <c r="CQ245" s="399">
        <v>31</v>
      </c>
      <c r="CR245" s="399">
        <v>-0.24340212386880467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10.82191518477407</v>
      </c>
      <c r="DA245" s="399">
        <v>0</v>
      </c>
      <c r="DB245" s="399">
        <v>0</v>
      </c>
      <c r="DC245" s="399">
        <v>14.809713522190293</v>
      </c>
      <c r="DD245" s="399">
        <v>0</v>
      </c>
      <c r="DE245" s="399">
        <v>0</v>
      </c>
      <c r="DF245" s="399">
        <v>0</v>
      </c>
      <c r="DG245" s="399">
        <v>1.6569528618290832</v>
      </c>
      <c r="DH245" s="399">
        <v>0</v>
      </c>
      <c r="DI245" s="399">
        <v>-23.922342416015823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-3.1643807998714522</v>
      </c>
      <c r="DP245" s="399">
        <v>-0.44526047677479719</v>
      </c>
      <c r="DQ245" s="399">
        <v>0</v>
      </c>
      <c r="DR245" s="399">
        <v>0</v>
      </c>
      <c r="DS245" s="399"/>
      <c r="DT245" s="399"/>
      <c r="DU245" s="399"/>
      <c r="DV245" s="399">
        <v>841.71670586681773</v>
      </c>
      <c r="DW245" s="399">
        <v>0</v>
      </c>
      <c r="DX245" s="399">
        <v>0</v>
      </c>
      <c r="DY245" s="399">
        <v>-52.977039999999988</v>
      </c>
      <c r="DZ245" s="399">
        <v>14.810240000000022</v>
      </c>
      <c r="EA245" s="399">
        <v>0</v>
      </c>
      <c r="EB245" s="399">
        <v>0</v>
      </c>
      <c r="EC245" s="399">
        <v>-37.908589305713917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225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957</v>
      </c>
      <c r="C246" s="399" t="s">
        <v>2357</v>
      </c>
      <c r="D246" s="399" t="s">
        <v>2369</v>
      </c>
      <c r="E246" s="399" t="s">
        <v>895</v>
      </c>
      <c r="F246" s="399" t="s">
        <v>2376</v>
      </c>
      <c r="G246" s="399" t="s">
        <v>2378</v>
      </c>
      <c r="H246" s="399" t="s">
        <v>1240</v>
      </c>
      <c r="I246" s="399" t="s">
        <v>1240</v>
      </c>
      <c r="J246" s="399" t="s">
        <v>2358</v>
      </c>
      <c r="K246" s="789">
        <v>44562</v>
      </c>
      <c r="L246" s="399">
        <v>0</v>
      </c>
      <c r="M246" s="399">
        <v>0</v>
      </c>
      <c r="N246" s="399">
        <v>0.436</v>
      </c>
      <c r="O246" s="399">
        <v>0.1744</v>
      </c>
      <c r="P246" s="399">
        <v>0.436</v>
      </c>
      <c r="Q246" s="399">
        <v>0.1744</v>
      </c>
      <c r="R246" s="399"/>
      <c r="S246" s="399">
        <v>522.37</v>
      </c>
      <c r="T246" s="399">
        <v>144.41999999999999</v>
      </c>
      <c r="U246" s="399"/>
      <c r="V246" s="399">
        <v>290.72044</v>
      </c>
      <c r="W246" s="399">
        <v>290.72044</v>
      </c>
      <c r="X246" s="399">
        <v>284.15863999999999</v>
      </c>
      <c r="Y246" s="399">
        <v>0</v>
      </c>
      <c r="Z246" s="399">
        <v>26.770825289693221</v>
      </c>
      <c r="AA246" s="399">
        <v>0</v>
      </c>
      <c r="AB246" s="399">
        <v>0</v>
      </c>
      <c r="AC246" s="399">
        <v>0</v>
      </c>
      <c r="AD246" s="399">
        <v>44.45615290884863</v>
      </c>
      <c r="AE246" s="399">
        <v>144.7115472231595</v>
      </c>
      <c r="AF246" s="399">
        <v>62.967915102891894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4.1344814646965462</v>
      </c>
      <c r="AM246" s="399"/>
      <c r="AN246" s="399">
        <v>0.6343168629313376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7.0450293975523373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>
        <v>184.133264</v>
      </c>
      <c r="BT246" s="399"/>
      <c r="BU246" s="399"/>
      <c r="BV246" s="399">
        <v>70.012944500444235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97.501800000000003</v>
      </c>
      <c r="CJ246" s="399">
        <v>-4.860888000000017</v>
      </c>
      <c r="CK246" s="399"/>
      <c r="CL246" s="399"/>
      <c r="CM246" s="399"/>
      <c r="CN246" s="399"/>
      <c r="CO246" s="399">
        <v>-9.1080399999999937</v>
      </c>
      <c r="CP246" s="399">
        <v>2.5462400000000014</v>
      </c>
      <c r="CQ246" s="399">
        <v>31</v>
      </c>
      <c r="CR246" s="399">
        <v>-4.1846737384332755E-2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1.8605500869722036</v>
      </c>
      <c r="DA246" s="399">
        <v>0</v>
      </c>
      <c r="DB246" s="399">
        <v>0</v>
      </c>
      <c r="DC246" s="399">
        <v>2.5461494856762528</v>
      </c>
      <c r="DD246" s="399">
        <v>0</v>
      </c>
      <c r="DE246" s="399">
        <v>0</v>
      </c>
      <c r="DF246" s="399">
        <v>0</v>
      </c>
      <c r="DG246" s="399">
        <v>0.28487044469932155</v>
      </c>
      <c r="DH246" s="399">
        <v>0</v>
      </c>
      <c r="DI246" s="399">
        <v>-4.1128317402929397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-0.54403392300629116</v>
      </c>
      <c r="DP246" s="399">
        <v>-7.6551091432890961E-2</v>
      </c>
      <c r="DQ246" s="399">
        <v>0</v>
      </c>
      <c r="DR246" s="399">
        <v>0</v>
      </c>
      <c r="DS246" s="399"/>
      <c r="DT246" s="399"/>
      <c r="DU246" s="399"/>
      <c r="DV246" s="399">
        <v>144.7115472231595</v>
      </c>
      <c r="DW246" s="399">
        <v>0</v>
      </c>
      <c r="DX246" s="399">
        <v>0</v>
      </c>
      <c r="DY246" s="399">
        <v>-9.1080399999999884</v>
      </c>
      <c r="DZ246" s="399">
        <v>2.5462399999999974</v>
      </c>
      <c r="EA246" s="399">
        <v>0</v>
      </c>
      <c r="EB246" s="399">
        <v>0</v>
      </c>
      <c r="EC246" s="399">
        <v>-6.5174073096574148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225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957</v>
      </c>
      <c r="C247" s="399" t="s">
        <v>2357</v>
      </c>
      <c r="D247" s="399" t="s">
        <v>1823</v>
      </c>
      <c r="E247" s="399" t="s">
        <v>890</v>
      </c>
      <c r="F247" s="399" t="s">
        <v>890</v>
      </c>
      <c r="G247" s="399" t="s">
        <v>1240</v>
      </c>
      <c r="H247" s="399" t="s">
        <v>1240</v>
      </c>
      <c r="I247" s="399" t="s">
        <v>1240</v>
      </c>
      <c r="J247" s="399" t="s">
        <v>2358</v>
      </c>
      <c r="K247" s="789">
        <v>44593</v>
      </c>
      <c r="L247" s="399">
        <v>0</v>
      </c>
      <c r="M247" s="399">
        <v>0</v>
      </c>
      <c r="N247" s="399">
        <v>3002.5219999999999</v>
      </c>
      <c r="O247" s="399">
        <v>3002.5219999999999</v>
      </c>
      <c r="P247" s="399">
        <v>3002.5219999999999</v>
      </c>
      <c r="Q247" s="399">
        <v>3002.5219999999999</v>
      </c>
      <c r="R247" s="399"/>
      <c r="S247" s="399">
        <v>522.37</v>
      </c>
      <c r="T247" s="399">
        <v>144.41999999999999</v>
      </c>
      <c r="U247" s="399"/>
      <c r="V247" s="399">
        <v>2002051.64438</v>
      </c>
      <c r="W247" s="399">
        <v>2002051.64438</v>
      </c>
      <c r="X247" s="399">
        <v>1956863.6882799999</v>
      </c>
      <c r="Y247" s="399">
        <v>0</v>
      </c>
      <c r="Z247" s="399">
        <v>184357.77956527585</v>
      </c>
      <c r="AA247" s="399">
        <v>0</v>
      </c>
      <c r="AB247" s="399">
        <v>0</v>
      </c>
      <c r="AC247" s="399">
        <v>0</v>
      </c>
      <c r="AD247" s="399">
        <v>306148.1127160138</v>
      </c>
      <c r="AE247" s="399">
        <v>996558.72521003522</v>
      </c>
      <c r="AF247" s="399">
        <v>433629.70273065404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28472.182468677987</v>
      </c>
      <c r="AM247" s="399"/>
      <c r="AN247" s="399">
        <v>4368.234715418178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48515.724212838621</v>
      </c>
      <c r="BH247" s="399">
        <v>0</v>
      </c>
      <c r="BI247" s="399">
        <v>680.81</v>
      </c>
      <c r="BJ247" s="399">
        <v>3158.67</v>
      </c>
      <c r="BK247" s="399">
        <v>496430.66</v>
      </c>
      <c r="BL247" s="399">
        <v>11991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482145.42694349267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1956862.3847999999</v>
      </c>
      <c r="CJ247" s="399">
        <v>-45189.289580000099</v>
      </c>
      <c r="CK247" s="399"/>
      <c r="CL247" s="399"/>
      <c r="CM247" s="399"/>
      <c r="CN247" s="399"/>
      <c r="CO247" s="399">
        <v>-62722.684579999957</v>
      </c>
      <c r="CP247" s="399">
        <v>17534.728480000009</v>
      </c>
      <c r="CQ247" s="399">
        <v>29</v>
      </c>
      <c r="CR247" s="399">
        <v>-288.17832482745871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12812.712312467746</v>
      </c>
      <c r="DA247" s="399">
        <v>0</v>
      </c>
      <c r="DB247" s="399">
        <v>0</v>
      </c>
      <c r="DC247" s="399">
        <v>17534.10515144869</v>
      </c>
      <c r="DD247" s="399">
        <v>0</v>
      </c>
      <c r="DE247" s="399">
        <v>0</v>
      </c>
      <c r="DF247" s="399">
        <v>0</v>
      </c>
      <c r="DG247" s="399">
        <v>1961.7655444025149</v>
      </c>
      <c r="DH247" s="399">
        <v>0</v>
      </c>
      <c r="DI247" s="399">
        <v>-28323.091244329902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-3746.4995930566365</v>
      </c>
      <c r="DP247" s="399">
        <v>-527.17049575978581</v>
      </c>
      <c r="DQ247" s="399">
        <v>0</v>
      </c>
      <c r="DR247" s="399">
        <v>0</v>
      </c>
      <c r="DS247" s="399"/>
      <c r="DT247" s="399"/>
      <c r="DU247" s="399"/>
      <c r="DV247" s="399">
        <v>996558.72521003522</v>
      </c>
      <c r="DW247" s="399">
        <v>0</v>
      </c>
      <c r="DX247" s="399">
        <v>0</v>
      </c>
      <c r="DY247" s="399">
        <v>-62722.684580000117</v>
      </c>
      <c r="DZ247" s="399">
        <v>17534.728479999991</v>
      </c>
      <c r="EA247" s="399">
        <v>0</v>
      </c>
      <c r="EB247" s="399">
        <v>0</v>
      </c>
      <c r="EC247" s="399">
        <v>-44882.245023411117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225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2359</v>
      </c>
      <c r="C248" s="399" t="s">
        <v>2357</v>
      </c>
      <c r="D248" s="399" t="s">
        <v>1823</v>
      </c>
      <c r="E248" s="399" t="s">
        <v>890</v>
      </c>
      <c r="F248" s="399" t="s">
        <v>890</v>
      </c>
      <c r="G248" s="399" t="s">
        <v>1240</v>
      </c>
      <c r="H248" s="399" t="s">
        <v>1240</v>
      </c>
      <c r="I248" s="399" t="s">
        <v>1240</v>
      </c>
      <c r="J248" s="399" t="s">
        <v>2358</v>
      </c>
      <c r="K248" s="789">
        <v>44593</v>
      </c>
      <c r="L248" s="399">
        <v>0</v>
      </c>
      <c r="M248" s="399">
        <v>0</v>
      </c>
      <c r="N248" s="399">
        <v>-2.105</v>
      </c>
      <c r="O248" s="399">
        <v>-2.105</v>
      </c>
      <c r="P248" s="399">
        <v>-2.105</v>
      </c>
      <c r="Q248" s="399">
        <v>-2.105</v>
      </c>
      <c r="R248" s="399"/>
      <c r="S248" s="399">
        <v>522.37</v>
      </c>
      <c r="T248" s="399">
        <v>144.41999999999999</v>
      </c>
      <c r="U248" s="399"/>
      <c r="V248" s="399">
        <v>-1403.5929500000002</v>
      </c>
      <c r="W248" s="399">
        <v>-1403.5929500000002</v>
      </c>
      <c r="X248" s="399">
        <v>-1371.9127000000001</v>
      </c>
      <c r="Y248" s="399">
        <v>0</v>
      </c>
      <c r="Z248" s="399">
        <v>-129.24905329083541</v>
      </c>
      <c r="AA248" s="399">
        <v>0</v>
      </c>
      <c r="AB248" s="399">
        <v>0</v>
      </c>
      <c r="AC248" s="399">
        <v>0</v>
      </c>
      <c r="AD248" s="399">
        <v>-214.63349053469352</v>
      </c>
      <c r="AE248" s="399">
        <v>-698.6646947356669</v>
      </c>
      <c r="AF248" s="399">
        <v>-304.007938742173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-19.961200649509699</v>
      </c>
      <c r="AM248" s="399"/>
      <c r="AN248" s="399">
        <v>-3.0624701753909762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-34.013272664788232</v>
      </c>
      <c r="BH248" s="399">
        <v>0</v>
      </c>
      <c r="BI248" s="399">
        <v>0</v>
      </c>
      <c r="BJ248" s="399">
        <v>0</v>
      </c>
      <c r="BK248" s="399">
        <v>-314.89</v>
      </c>
      <c r="BL248" s="399">
        <v>0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-338.02121140696124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-1375.1713999999997</v>
      </c>
      <c r="CJ248" s="399">
        <v>28.391550000000507</v>
      </c>
      <c r="CK248" s="399"/>
      <c r="CL248" s="399"/>
      <c r="CM248" s="399"/>
      <c r="CN248" s="399"/>
      <c r="CO248" s="399">
        <v>43.973449999999971</v>
      </c>
      <c r="CP248" s="399">
        <v>-12.293200000000008</v>
      </c>
      <c r="CQ248" s="399">
        <v>29</v>
      </c>
      <c r="CR248" s="399">
        <v>0.20203528026161166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-8.98270168136807</v>
      </c>
      <c r="DA248" s="399">
        <v>0</v>
      </c>
      <c r="DB248" s="399">
        <v>0</v>
      </c>
      <c r="DC248" s="399">
        <v>-12.292762998505737</v>
      </c>
      <c r="DD248" s="399">
        <v>0</v>
      </c>
      <c r="DE248" s="399">
        <v>0</v>
      </c>
      <c r="DF248" s="399">
        <v>0</v>
      </c>
      <c r="DG248" s="399">
        <v>-1.3753492800276916</v>
      </c>
      <c r="DH248" s="399">
        <v>0</v>
      </c>
      <c r="DI248" s="399">
        <v>19.856676177331749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2.6265857980005549</v>
      </c>
      <c r="DP248" s="399">
        <v>0.36958726483081517</v>
      </c>
      <c r="DQ248" s="399">
        <v>0</v>
      </c>
      <c r="DR248" s="399">
        <v>0</v>
      </c>
      <c r="DS248" s="399"/>
      <c r="DT248" s="399"/>
      <c r="DU248" s="399"/>
      <c r="DV248" s="399">
        <v>-698.6646947356669</v>
      </c>
      <c r="DW248" s="399">
        <v>0</v>
      </c>
      <c r="DX248" s="399">
        <v>0</v>
      </c>
      <c r="DY248" s="399">
        <v>43.973449999999957</v>
      </c>
      <c r="DZ248" s="399">
        <v>-12.293199999999956</v>
      </c>
      <c r="EA248" s="399">
        <v>0</v>
      </c>
      <c r="EB248" s="399">
        <v>0</v>
      </c>
      <c r="EC248" s="399">
        <v>31.465922905570892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225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2360</v>
      </c>
      <c r="C249" s="399" t="s">
        <v>2357</v>
      </c>
      <c r="D249" s="399" t="s">
        <v>1823</v>
      </c>
      <c r="E249" s="399" t="s">
        <v>890</v>
      </c>
      <c r="F249" s="399" t="s">
        <v>890</v>
      </c>
      <c r="G249" s="399" t="s">
        <v>1240</v>
      </c>
      <c r="H249" s="399" t="s">
        <v>1240</v>
      </c>
      <c r="I249" s="399" t="s">
        <v>1240</v>
      </c>
      <c r="J249" s="399" t="s">
        <v>2358</v>
      </c>
      <c r="K249" s="789">
        <v>44593</v>
      </c>
      <c r="L249" s="399">
        <v>0</v>
      </c>
      <c r="M249" s="399">
        <v>0</v>
      </c>
      <c r="N249" s="399">
        <v>11.693</v>
      </c>
      <c r="O249" s="399">
        <v>11.693</v>
      </c>
      <c r="P249" s="399">
        <v>11.693</v>
      </c>
      <c r="Q249" s="399">
        <v>11.693</v>
      </c>
      <c r="R249" s="399"/>
      <c r="S249" s="399">
        <v>522.37</v>
      </c>
      <c r="T249" s="399">
        <v>144.41999999999999</v>
      </c>
      <c r="U249" s="399"/>
      <c r="V249" s="399">
        <v>7796.7754699999996</v>
      </c>
      <c r="W249" s="399">
        <v>7796.7754699999996</v>
      </c>
      <c r="X249" s="399">
        <v>7620.7958199999994</v>
      </c>
      <c r="Y249" s="399">
        <v>0</v>
      </c>
      <c r="Z249" s="399">
        <v>717.96160576234593</v>
      </c>
      <c r="AA249" s="399">
        <v>0</v>
      </c>
      <c r="AB249" s="399">
        <v>0</v>
      </c>
      <c r="AC249" s="399">
        <v>0</v>
      </c>
      <c r="AD249" s="399">
        <v>1192.2609999155206</v>
      </c>
      <c r="AE249" s="399">
        <v>3880.9911047715691</v>
      </c>
      <c r="AF249" s="399">
        <v>1688.7243837112726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110.88186185022181</v>
      </c>
      <c r="AM249" s="399"/>
      <c r="AN249" s="399">
        <v>17.011621739119565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188.93928611371439</v>
      </c>
      <c r="BH249" s="399">
        <v>0</v>
      </c>
      <c r="BI249" s="399">
        <v>3.42</v>
      </c>
      <c r="BJ249" s="399">
        <v>15.9</v>
      </c>
      <c r="BK249" s="399">
        <v>6758.05</v>
      </c>
      <c r="BL249" s="399">
        <v>82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1877.663669824987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7618.8405999999995</v>
      </c>
      <c r="CJ249" s="399">
        <v>-177.9648700000007</v>
      </c>
      <c r="CK249" s="399"/>
      <c r="CL249" s="399"/>
      <c r="CM249" s="399"/>
      <c r="CN249" s="399"/>
      <c r="CO249" s="399">
        <v>-244.26676999999984</v>
      </c>
      <c r="CP249" s="399">
        <v>68.287120000000044</v>
      </c>
      <c r="CQ249" s="399">
        <v>29</v>
      </c>
      <c r="CR249" s="399">
        <v>-1.1222795876956297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49.897734327903663</v>
      </c>
      <c r="DA249" s="399">
        <v>0</v>
      </c>
      <c r="DB249" s="399">
        <v>0</v>
      </c>
      <c r="DC249" s="399">
        <v>68.284692513789878</v>
      </c>
      <c r="DD249" s="399">
        <v>0</v>
      </c>
      <c r="DE249" s="399">
        <v>0</v>
      </c>
      <c r="DF249" s="399">
        <v>0</v>
      </c>
      <c r="DG249" s="399">
        <v>7.6398855730944319</v>
      </c>
      <c r="DH249" s="399">
        <v>0</v>
      </c>
      <c r="DI249" s="399">
        <v>-110.30124206248934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-14.590340967230631</v>
      </c>
      <c r="DP249" s="399">
        <v>-2.0530089727632888</v>
      </c>
      <c r="DQ249" s="399">
        <v>0</v>
      </c>
      <c r="DR249" s="399">
        <v>0</v>
      </c>
      <c r="DS249" s="399"/>
      <c r="DT249" s="399"/>
      <c r="DU249" s="399"/>
      <c r="DV249" s="399">
        <v>3880.9911047715691</v>
      </c>
      <c r="DW249" s="399">
        <v>0</v>
      </c>
      <c r="DX249" s="399">
        <v>0</v>
      </c>
      <c r="DY249" s="399">
        <v>-244.26677000000018</v>
      </c>
      <c r="DZ249" s="399">
        <v>68.287119999999959</v>
      </c>
      <c r="EA249" s="399">
        <v>0</v>
      </c>
      <c r="EB249" s="399">
        <v>0</v>
      </c>
      <c r="EC249" s="399">
        <v>-174.78909099042266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225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957</v>
      </c>
      <c r="C250" s="399" t="s">
        <v>2357</v>
      </c>
      <c r="D250" s="399" t="s">
        <v>1823</v>
      </c>
      <c r="E250" s="399" t="s">
        <v>890</v>
      </c>
      <c r="F250" s="399" t="s">
        <v>2361</v>
      </c>
      <c r="G250" s="399" t="s">
        <v>1240</v>
      </c>
      <c r="H250" s="399" t="s">
        <v>1240</v>
      </c>
      <c r="I250" s="399" t="s">
        <v>1240</v>
      </c>
      <c r="J250" s="399" t="s">
        <v>2358</v>
      </c>
      <c r="K250" s="789">
        <v>44593</v>
      </c>
      <c r="L250" s="399">
        <v>0</v>
      </c>
      <c r="M250" s="399">
        <v>0</v>
      </c>
      <c r="N250" s="399">
        <v>15.72</v>
      </c>
      <c r="O250" s="399">
        <v>15.72</v>
      </c>
      <c r="P250" s="399">
        <v>15.72</v>
      </c>
      <c r="Q250" s="399">
        <v>15.72</v>
      </c>
      <c r="R250" s="399"/>
      <c r="S250" s="399">
        <v>451.48</v>
      </c>
      <c r="T250" s="399">
        <v>144.41999999999999</v>
      </c>
      <c r="U250" s="399"/>
      <c r="V250" s="399">
        <v>9367.5480000000007</v>
      </c>
      <c r="W250" s="399">
        <v>9367.5480000000007</v>
      </c>
      <c r="X250" s="399">
        <v>9299.0087999999996</v>
      </c>
      <c r="Y250" s="399">
        <v>0</v>
      </c>
      <c r="Z250" s="399">
        <v>0</v>
      </c>
      <c r="AA250" s="399">
        <v>0</v>
      </c>
      <c r="AB250" s="399">
        <v>0</v>
      </c>
      <c r="AC250" s="399">
        <v>0</v>
      </c>
      <c r="AD250" s="399">
        <v>1602.8686324016066</v>
      </c>
      <c r="AE250" s="399">
        <v>5217.5814732753843</v>
      </c>
      <c r="AF250" s="399">
        <v>2270.3110674712398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0</v>
      </c>
      <c r="AM250" s="399"/>
      <c r="AN250" s="399">
        <v>22.870323590093182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254.00885809523567</v>
      </c>
      <c r="BH250" s="399">
        <v>0</v>
      </c>
      <c r="BI250" s="399">
        <v>0.95</v>
      </c>
      <c r="BJ250" s="399">
        <v>4.05</v>
      </c>
      <c r="BK250" s="399">
        <v>393.5</v>
      </c>
      <c r="BL250" s="399">
        <v>9</v>
      </c>
      <c r="BM250" s="399"/>
      <c r="BN250" s="399"/>
      <c r="BO250" s="399"/>
      <c r="BP250" s="399"/>
      <c r="BQ250" s="399"/>
      <c r="BR250" s="399"/>
      <c r="BS250" s="399"/>
      <c r="BT250" s="399">
        <v>6044.34</v>
      </c>
      <c r="BU250" s="399"/>
      <c r="BV250" s="399">
        <v>2524.3199255664754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3254.6687999999999</v>
      </c>
      <c r="CJ250" s="399">
        <v>-24.08160000000089</v>
      </c>
      <c r="CK250" s="399"/>
      <c r="CL250" s="399"/>
      <c r="CM250" s="399"/>
      <c r="CN250" s="399"/>
      <c r="CO250" s="399">
        <v>-160.34400000000073</v>
      </c>
      <c r="CP250" s="399">
        <v>91.804800000000057</v>
      </c>
      <c r="CQ250" s="399">
        <v>29</v>
      </c>
      <c r="CR250" s="399">
        <v>166.39471907197731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67.082218732117099</v>
      </c>
      <c r="DA250" s="399">
        <v>0</v>
      </c>
      <c r="DB250" s="399">
        <v>0</v>
      </c>
      <c r="DC250" s="399">
        <v>91.801536501905048</v>
      </c>
      <c r="DD250" s="399">
        <v>0</v>
      </c>
      <c r="DE250" s="399">
        <v>0</v>
      </c>
      <c r="DF250" s="399">
        <v>0</v>
      </c>
      <c r="DG250" s="399">
        <v>10.271016951085642</v>
      </c>
      <c r="DH250" s="399">
        <v>0</v>
      </c>
      <c r="DI250" s="399">
        <v>0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0</v>
      </c>
      <c r="DP250" s="399">
        <v>-2.7600531131308372</v>
      </c>
      <c r="DQ250" s="399">
        <v>0</v>
      </c>
      <c r="DR250" s="399">
        <v>0</v>
      </c>
      <c r="DS250" s="399"/>
      <c r="DT250" s="399"/>
      <c r="DU250" s="399"/>
      <c r="DV250" s="399">
        <v>5217.5814732753843</v>
      </c>
      <c r="DW250" s="399">
        <v>0</v>
      </c>
      <c r="DX250" s="399">
        <v>0</v>
      </c>
      <c r="DY250" s="399">
        <v>-160.34400000000096</v>
      </c>
      <c r="DZ250" s="399">
        <v>91.804799999999886</v>
      </c>
      <c r="EA250" s="399">
        <v>0</v>
      </c>
      <c r="EB250" s="399">
        <v>0</v>
      </c>
      <c r="EC250" s="399">
        <v>-234.98541951333664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225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957</v>
      </c>
      <c r="C251" s="399" t="s">
        <v>2357</v>
      </c>
      <c r="D251" s="399" t="s">
        <v>1823</v>
      </c>
      <c r="E251" s="399" t="s">
        <v>890</v>
      </c>
      <c r="F251" s="399" t="s">
        <v>2362</v>
      </c>
      <c r="G251" s="399" t="s">
        <v>1240</v>
      </c>
      <c r="H251" s="399" t="s">
        <v>1240</v>
      </c>
      <c r="I251" s="399" t="s">
        <v>1240</v>
      </c>
      <c r="J251" s="399" t="s">
        <v>2358</v>
      </c>
      <c r="K251" s="789">
        <v>44593</v>
      </c>
      <c r="L251" s="399">
        <v>0</v>
      </c>
      <c r="M251" s="399">
        <v>0</v>
      </c>
      <c r="N251" s="399">
        <v>35.380000000000003</v>
      </c>
      <c r="O251" s="399">
        <v>35.380000000000003</v>
      </c>
      <c r="P251" s="399">
        <v>35.380000000000003</v>
      </c>
      <c r="Q251" s="399">
        <v>35.380000000000003</v>
      </c>
      <c r="R251" s="399"/>
      <c r="S251" s="399">
        <v>451.48</v>
      </c>
      <c r="T251" s="399">
        <v>144.41999999999999</v>
      </c>
      <c r="U251" s="399"/>
      <c r="V251" s="399">
        <v>21082.942000000003</v>
      </c>
      <c r="W251" s="399">
        <v>21082.942000000003</v>
      </c>
      <c r="X251" s="399">
        <v>20928.6852</v>
      </c>
      <c r="Y251" s="399">
        <v>0</v>
      </c>
      <c r="Z251" s="399">
        <v>0</v>
      </c>
      <c r="AA251" s="399">
        <v>0</v>
      </c>
      <c r="AB251" s="399">
        <v>0</v>
      </c>
      <c r="AC251" s="399">
        <v>0</v>
      </c>
      <c r="AD251" s="399">
        <v>3607.474059438222</v>
      </c>
      <c r="AE251" s="399">
        <v>11742.877387053633</v>
      </c>
      <c r="AF251" s="399">
        <v>5109.6441200465943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0</v>
      </c>
      <c r="AM251" s="399"/>
      <c r="AN251" s="399">
        <v>51.472776629611758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571.68151395734333</v>
      </c>
      <c r="BH251" s="399">
        <v>0</v>
      </c>
      <c r="BI251" s="399">
        <v>3.4</v>
      </c>
      <c r="BJ251" s="399">
        <v>15.76</v>
      </c>
      <c r="BK251" s="399">
        <v>1519.37</v>
      </c>
      <c r="BL251" s="399">
        <v>43</v>
      </c>
      <c r="BM251" s="399"/>
      <c r="BN251" s="399"/>
      <c r="BO251" s="399"/>
      <c r="BP251" s="399"/>
      <c r="BQ251" s="399"/>
      <c r="BR251" s="399"/>
      <c r="BS251" s="399"/>
      <c r="BT251" s="399">
        <v>8371.2618000000002</v>
      </c>
      <c r="BU251" s="399"/>
      <c r="BV251" s="399">
        <v>5681.3256340039379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12557.4234</v>
      </c>
      <c r="CJ251" s="399">
        <v>-92.371800000002622</v>
      </c>
      <c r="CK251" s="399"/>
      <c r="CL251" s="399"/>
      <c r="CM251" s="399"/>
      <c r="CN251" s="399"/>
      <c r="CO251" s="399">
        <v>-360.87600000000162</v>
      </c>
      <c r="CP251" s="399">
        <v>206.61920000000015</v>
      </c>
      <c r="CQ251" s="399">
        <v>29</v>
      </c>
      <c r="CR251" s="399">
        <v>374.49396696988151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150.97766531439584</v>
      </c>
      <c r="DA251" s="399">
        <v>0</v>
      </c>
      <c r="DB251" s="399">
        <v>0</v>
      </c>
      <c r="DC251" s="399">
        <v>206.61185505327012</v>
      </c>
      <c r="DD251" s="399">
        <v>0</v>
      </c>
      <c r="DE251" s="399">
        <v>0</v>
      </c>
      <c r="DF251" s="399">
        <v>0</v>
      </c>
      <c r="DG251" s="399">
        <v>23.116321865738541</v>
      </c>
      <c r="DH251" s="399">
        <v>0</v>
      </c>
      <c r="DI251" s="399">
        <v>0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0</v>
      </c>
      <c r="DP251" s="399">
        <v>-6.2118752635222094</v>
      </c>
      <c r="DQ251" s="399">
        <v>0</v>
      </c>
      <c r="DR251" s="399">
        <v>0</v>
      </c>
      <c r="DS251" s="399"/>
      <c r="DT251" s="399"/>
      <c r="DU251" s="399"/>
      <c r="DV251" s="399">
        <v>11742.877387053633</v>
      </c>
      <c r="DW251" s="399">
        <v>0</v>
      </c>
      <c r="DX251" s="399">
        <v>0</v>
      </c>
      <c r="DY251" s="399">
        <v>-360.87600000000202</v>
      </c>
      <c r="DZ251" s="399">
        <v>206.61920000000009</v>
      </c>
      <c r="EA251" s="399">
        <v>0</v>
      </c>
      <c r="EB251" s="399">
        <v>0</v>
      </c>
      <c r="EC251" s="399">
        <v>-528.86667572403712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225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957</v>
      </c>
      <c r="C252" s="399" t="s">
        <v>2357</v>
      </c>
      <c r="D252" s="399" t="s">
        <v>1823</v>
      </c>
      <c r="E252" s="399" t="s">
        <v>890</v>
      </c>
      <c r="F252" s="399" t="s">
        <v>2363</v>
      </c>
      <c r="G252" s="399" t="s">
        <v>1240</v>
      </c>
      <c r="H252" s="399" t="s">
        <v>1240</v>
      </c>
      <c r="I252" s="399" t="s">
        <v>1240</v>
      </c>
      <c r="J252" s="399" t="s">
        <v>2358</v>
      </c>
      <c r="K252" s="789">
        <v>44593</v>
      </c>
      <c r="L252" s="399">
        <v>0</v>
      </c>
      <c r="M252" s="399">
        <v>0</v>
      </c>
      <c r="N252" s="399">
        <v>45.088000000000001</v>
      </c>
      <c r="O252" s="399">
        <v>45.088000000000001</v>
      </c>
      <c r="P252" s="399">
        <v>45.088000000000001</v>
      </c>
      <c r="Q252" s="399">
        <v>45.088000000000001</v>
      </c>
      <c r="R252" s="399"/>
      <c r="S252" s="399">
        <v>451.48</v>
      </c>
      <c r="T252" s="399">
        <v>144.41999999999999</v>
      </c>
      <c r="U252" s="399"/>
      <c r="V252" s="399">
        <v>26867.939200000001</v>
      </c>
      <c r="W252" s="399">
        <v>26867.939200000001</v>
      </c>
      <c r="X252" s="399">
        <v>26671.355519999997</v>
      </c>
      <c r="Y252" s="399">
        <v>0</v>
      </c>
      <c r="Z252" s="399">
        <v>0</v>
      </c>
      <c r="AA252" s="399">
        <v>0</v>
      </c>
      <c r="AB252" s="399">
        <v>0</v>
      </c>
      <c r="AC252" s="399">
        <v>0</v>
      </c>
      <c r="AD252" s="399">
        <v>4597.3372072343282</v>
      </c>
      <c r="AE252" s="399">
        <v>14965.032663297743</v>
      </c>
      <c r="AF252" s="399">
        <v>6511.6911838513524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0</v>
      </c>
      <c r="AM252" s="399"/>
      <c r="AN252" s="399">
        <v>65.596510816165491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728.54652632302702</v>
      </c>
      <c r="BH252" s="399">
        <v>0</v>
      </c>
      <c r="BI252" s="399">
        <v>5.63</v>
      </c>
      <c r="BJ252" s="399">
        <v>26.55</v>
      </c>
      <c r="BK252" s="399">
        <v>5065.51</v>
      </c>
      <c r="BL252" s="399">
        <v>218</v>
      </c>
      <c r="BM252" s="399"/>
      <c r="BN252" s="399"/>
      <c r="BO252" s="399"/>
      <c r="BP252" s="399"/>
      <c r="BQ252" s="399"/>
      <c r="BR252" s="399"/>
      <c r="BS252" s="399"/>
      <c r="BT252" s="399">
        <v>2666.955199999999</v>
      </c>
      <c r="BU252" s="399"/>
      <c r="BV252" s="399">
        <v>7240.2377101743796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24005.465100000001</v>
      </c>
      <c r="CJ252" s="399">
        <v>-176.1610599999949</v>
      </c>
      <c r="CK252" s="399"/>
      <c r="CL252" s="399"/>
      <c r="CM252" s="399"/>
      <c r="CN252" s="399"/>
      <c r="CO252" s="399">
        <v>-459.89760000000206</v>
      </c>
      <c r="CP252" s="399">
        <v>263.31392000000017</v>
      </c>
      <c r="CQ252" s="399">
        <v>29</v>
      </c>
      <c r="CR252" s="399">
        <v>477.25223241204367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192.40477596651999</v>
      </c>
      <c r="DA252" s="399">
        <v>0</v>
      </c>
      <c r="DB252" s="399">
        <v>0</v>
      </c>
      <c r="DC252" s="399">
        <v>263.3045596563552</v>
      </c>
      <c r="DD252" s="399">
        <v>0</v>
      </c>
      <c r="DE252" s="399">
        <v>0</v>
      </c>
      <c r="DF252" s="399">
        <v>0</v>
      </c>
      <c r="DG252" s="399">
        <v>29.459262868355495</v>
      </c>
      <c r="DH252" s="399">
        <v>0</v>
      </c>
      <c r="DI252" s="399">
        <v>0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0</v>
      </c>
      <c r="DP252" s="399">
        <v>-7.9163660791885135</v>
      </c>
      <c r="DQ252" s="399">
        <v>0</v>
      </c>
      <c r="DR252" s="399">
        <v>0</v>
      </c>
      <c r="DS252" s="399"/>
      <c r="DT252" s="399"/>
      <c r="DU252" s="399"/>
      <c r="DV252" s="399">
        <v>14965.032663297743</v>
      </c>
      <c r="DW252" s="399">
        <v>0</v>
      </c>
      <c r="DX252" s="399">
        <v>0</v>
      </c>
      <c r="DY252" s="399">
        <v>-459.89760000000388</v>
      </c>
      <c r="DZ252" s="399">
        <v>263.31392000000051</v>
      </c>
      <c r="EA252" s="399">
        <v>0</v>
      </c>
      <c r="EB252" s="399">
        <v>0</v>
      </c>
      <c r="EC252" s="399">
        <v>-673.98362563723458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225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957</v>
      </c>
      <c r="C253" s="399" t="s">
        <v>2357</v>
      </c>
      <c r="D253" s="399" t="s">
        <v>1823</v>
      </c>
      <c r="E253" s="399" t="s">
        <v>890</v>
      </c>
      <c r="F253" s="399" t="s">
        <v>2364</v>
      </c>
      <c r="G253" s="399" t="s">
        <v>1240</v>
      </c>
      <c r="H253" s="399" t="s">
        <v>1240</v>
      </c>
      <c r="I253" s="399" t="s">
        <v>1240</v>
      </c>
      <c r="J253" s="399" t="s">
        <v>2358</v>
      </c>
      <c r="K253" s="789">
        <v>44593</v>
      </c>
      <c r="L253" s="399">
        <v>0</v>
      </c>
      <c r="M253" s="399">
        <v>0</v>
      </c>
      <c r="N253" s="399">
        <v>28.343</v>
      </c>
      <c r="O253" s="399">
        <v>28.343</v>
      </c>
      <c r="P253" s="399">
        <v>28.343</v>
      </c>
      <c r="Q253" s="399">
        <v>28.343</v>
      </c>
      <c r="R253" s="399"/>
      <c r="S253" s="399">
        <v>451.48</v>
      </c>
      <c r="T253" s="399">
        <v>144.41999999999999</v>
      </c>
      <c r="U253" s="399"/>
      <c r="V253" s="399">
        <v>16889.593700000001</v>
      </c>
      <c r="W253" s="399">
        <v>16889.593700000001</v>
      </c>
      <c r="X253" s="399">
        <v>16766.018219999998</v>
      </c>
      <c r="Y253" s="399">
        <v>0</v>
      </c>
      <c r="Z253" s="399">
        <v>0</v>
      </c>
      <c r="AA253" s="399">
        <v>0</v>
      </c>
      <c r="AB253" s="399">
        <v>0</v>
      </c>
      <c r="AC253" s="399">
        <v>0</v>
      </c>
      <c r="AD253" s="399">
        <v>2889.9558300355429</v>
      </c>
      <c r="AE253" s="399">
        <v>9407.2462911605744</v>
      </c>
      <c r="AF253" s="399">
        <v>4093.3477471588644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0</v>
      </c>
      <c r="AM253" s="399"/>
      <c r="AN253" s="399">
        <v>41.234960656107575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457.97538581382088</v>
      </c>
      <c r="BH253" s="399">
        <v>0</v>
      </c>
      <c r="BI253" s="399">
        <v>2.0499999999999998</v>
      </c>
      <c r="BJ253" s="399">
        <v>9.75</v>
      </c>
      <c r="BK253" s="399">
        <v>4969.51</v>
      </c>
      <c r="BL253" s="399">
        <v>255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4551.323132972685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16764.243599999998</v>
      </c>
      <c r="CJ253" s="399">
        <v>-125.38010000000213</v>
      </c>
      <c r="CK253" s="399"/>
      <c r="CL253" s="399"/>
      <c r="CM253" s="399"/>
      <c r="CN253" s="399"/>
      <c r="CO253" s="399">
        <v>-289.09860000000128</v>
      </c>
      <c r="CP253" s="399">
        <v>165.52312000000009</v>
      </c>
      <c r="CQ253" s="399">
        <v>29</v>
      </c>
      <c r="CR253" s="399">
        <v>300.00798490184752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120.94855760333303</v>
      </c>
      <c r="DA253" s="399">
        <v>0</v>
      </c>
      <c r="DB253" s="399">
        <v>0</v>
      </c>
      <c r="DC253" s="399">
        <v>165.51723594615078</v>
      </c>
      <c r="DD253" s="399">
        <v>0</v>
      </c>
      <c r="DE253" s="399">
        <v>0</v>
      </c>
      <c r="DF253" s="399">
        <v>0</v>
      </c>
      <c r="DG253" s="399">
        <v>18.518539023194649</v>
      </c>
      <c r="DH253" s="399">
        <v>0</v>
      </c>
      <c r="DI253" s="399">
        <v>0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0</v>
      </c>
      <c r="DP253" s="399">
        <v>-4.9763476708312595</v>
      </c>
      <c r="DQ253" s="399">
        <v>0</v>
      </c>
      <c r="DR253" s="399">
        <v>0</v>
      </c>
      <c r="DS253" s="399"/>
      <c r="DT253" s="399"/>
      <c r="DU253" s="399"/>
      <c r="DV253" s="399">
        <v>9407.2462911605744</v>
      </c>
      <c r="DW253" s="399">
        <v>0</v>
      </c>
      <c r="DX253" s="399">
        <v>0</v>
      </c>
      <c r="DY253" s="399">
        <v>-289.09860000000117</v>
      </c>
      <c r="DZ253" s="399">
        <v>165.52311999999984</v>
      </c>
      <c r="EA253" s="399">
        <v>0</v>
      </c>
      <c r="EB253" s="399">
        <v>0</v>
      </c>
      <c r="EC253" s="399">
        <v>-423.67631967344278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225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957</v>
      </c>
      <c r="C254" s="399" t="s">
        <v>2357</v>
      </c>
      <c r="D254" s="399" t="s">
        <v>1826</v>
      </c>
      <c r="E254" s="399" t="s">
        <v>891</v>
      </c>
      <c r="F254" s="399" t="s">
        <v>1240</v>
      </c>
      <c r="G254" s="399" t="s">
        <v>1240</v>
      </c>
      <c r="H254" s="399" t="s">
        <v>1240</v>
      </c>
      <c r="I254" s="399" t="s">
        <v>1240</v>
      </c>
      <c r="J254" s="399" t="s">
        <v>2358</v>
      </c>
      <c r="K254" s="789">
        <v>44593</v>
      </c>
      <c r="L254" s="399">
        <v>0</v>
      </c>
      <c r="M254" s="399">
        <v>0</v>
      </c>
      <c r="N254" s="399">
        <v>433.52</v>
      </c>
      <c r="O254" s="399">
        <v>433.52</v>
      </c>
      <c r="P254" s="399">
        <v>433.52</v>
      </c>
      <c r="Q254" s="399">
        <v>433.52</v>
      </c>
      <c r="R254" s="399"/>
      <c r="S254" s="399">
        <v>522.37</v>
      </c>
      <c r="T254" s="399">
        <v>144.41999999999999</v>
      </c>
      <c r="U254" s="399"/>
      <c r="V254" s="399">
        <v>289066.80079999997</v>
      </c>
      <c r="W254" s="399">
        <v>289066.80079999997</v>
      </c>
      <c r="X254" s="399">
        <v>282542.3248</v>
      </c>
      <c r="Y254" s="399">
        <v>0</v>
      </c>
      <c r="Z254" s="399">
        <v>26618.550870614232</v>
      </c>
      <c r="AA254" s="399">
        <v>0</v>
      </c>
      <c r="AB254" s="399">
        <v>0</v>
      </c>
      <c r="AC254" s="399">
        <v>0</v>
      </c>
      <c r="AD254" s="399">
        <v>44203.283048266188</v>
      </c>
      <c r="AE254" s="399">
        <v>143888.41732152319</v>
      </c>
      <c r="AF254" s="399">
        <v>62609.748980288285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4110.9642306771711</v>
      </c>
      <c r="AM254" s="399"/>
      <c r="AN254" s="399">
        <v>630.708822059618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7004.9567532726815</v>
      </c>
      <c r="BH254" s="399">
        <v>0</v>
      </c>
      <c r="BI254" s="399">
        <v>32.46</v>
      </c>
      <c r="BJ254" s="399">
        <v>152.03</v>
      </c>
      <c r="BK254" s="399">
        <v>104654.99</v>
      </c>
      <c r="BL254" s="399">
        <v>562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>
        <v>69614.705733560972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282542.3248</v>
      </c>
      <c r="CJ254" s="399">
        <v>-6524.5059999999939</v>
      </c>
      <c r="CK254" s="399"/>
      <c r="CL254" s="399"/>
      <c r="CM254" s="399"/>
      <c r="CN254" s="399"/>
      <c r="CO254" s="399">
        <v>-9056.2327999999943</v>
      </c>
      <c r="CP254" s="399">
        <v>2531.7568000000015</v>
      </c>
      <c r="CQ254" s="399">
        <v>29</v>
      </c>
      <c r="CR254" s="399">
        <v>-41.608710070780944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1849.9671415233679</v>
      </c>
      <c r="DA254" s="399">
        <v>0</v>
      </c>
      <c r="DB254" s="399">
        <v>0</v>
      </c>
      <c r="DC254" s="399">
        <v>2531.6668005283645</v>
      </c>
      <c r="DD254" s="399">
        <v>0</v>
      </c>
      <c r="DE254" s="399">
        <v>0</v>
      </c>
      <c r="DF254" s="399">
        <v>0</v>
      </c>
      <c r="DG254" s="399">
        <v>283.25008070194963</v>
      </c>
      <c r="DH254" s="399">
        <v>0</v>
      </c>
      <c r="DI254" s="399">
        <v>-4089.4376514949436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-540.93941812313597</v>
      </c>
      <c r="DP254" s="399">
        <v>-76.115663206391901</v>
      </c>
      <c r="DQ254" s="399">
        <v>0</v>
      </c>
      <c r="DR254" s="399">
        <v>0</v>
      </c>
      <c r="DS254" s="399"/>
      <c r="DT254" s="399"/>
      <c r="DU254" s="399"/>
      <c r="DV254" s="399">
        <v>143888.41732152319</v>
      </c>
      <c r="DW254" s="399">
        <v>0</v>
      </c>
      <c r="DX254" s="399">
        <v>0</v>
      </c>
      <c r="DY254" s="399">
        <v>-9056.232799999998</v>
      </c>
      <c r="DZ254" s="399">
        <v>2531.7568000000028</v>
      </c>
      <c r="EA254" s="399">
        <v>0</v>
      </c>
      <c r="EB254" s="399">
        <v>0</v>
      </c>
      <c r="EC254" s="399">
        <v>-6480.3358185382676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225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2359</v>
      </c>
      <c r="C255" s="399" t="s">
        <v>2357</v>
      </c>
      <c r="D255" s="399" t="s">
        <v>1826</v>
      </c>
      <c r="E255" s="399" t="s">
        <v>891</v>
      </c>
      <c r="F255" s="399" t="s">
        <v>1240</v>
      </c>
      <c r="G255" s="399" t="s">
        <v>1240</v>
      </c>
      <c r="H255" s="399" t="s">
        <v>1240</v>
      </c>
      <c r="I255" s="399" t="s">
        <v>1240</v>
      </c>
      <c r="J255" s="399" t="s">
        <v>2358</v>
      </c>
      <c r="K255" s="789">
        <v>44593</v>
      </c>
      <c r="L255" s="399">
        <v>0</v>
      </c>
      <c r="M255" s="399">
        <v>0</v>
      </c>
      <c r="N255" s="399">
        <v>-0.42799999999999999</v>
      </c>
      <c r="O255" s="399">
        <v>-0.42799999999999999</v>
      </c>
      <c r="P255" s="399">
        <v>-0.42799999999999999</v>
      </c>
      <c r="Q255" s="399">
        <v>-0.42799999999999999</v>
      </c>
      <c r="R255" s="399"/>
      <c r="S255" s="399">
        <v>522.37</v>
      </c>
      <c r="T255" s="399">
        <v>144.41999999999999</v>
      </c>
      <c r="U255" s="399"/>
      <c r="V255" s="399">
        <v>-285.38612000000001</v>
      </c>
      <c r="W255" s="399">
        <v>-285.38612000000001</v>
      </c>
      <c r="X255" s="399">
        <v>-278.94472000000002</v>
      </c>
      <c r="Y255" s="399">
        <v>0</v>
      </c>
      <c r="Z255" s="399">
        <v>-26.279617486212612</v>
      </c>
      <c r="AA255" s="399">
        <v>0</v>
      </c>
      <c r="AB255" s="399">
        <v>0</v>
      </c>
      <c r="AC255" s="399">
        <v>0</v>
      </c>
      <c r="AD255" s="399">
        <v>-43.640443681163333</v>
      </c>
      <c r="AE255" s="399">
        <v>-142.05628947594556</v>
      </c>
      <c r="AF255" s="399">
        <v>-61.812540513847999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-4.0586194194727563</v>
      </c>
      <c r="AM255" s="399"/>
      <c r="AN255" s="399">
        <v>-0.62267802140966166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-6.9157628031018357</v>
      </c>
      <c r="BH255" s="399">
        <v>0</v>
      </c>
      <c r="BI255" s="399">
        <v>0</v>
      </c>
      <c r="BJ255" s="399">
        <v>0</v>
      </c>
      <c r="BK255" s="399">
        <v>-88.15</v>
      </c>
      <c r="BL255" s="399">
        <v>0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-68.728303316949834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-280.2482</v>
      </c>
      <c r="CJ255" s="399">
        <v>5.1079200000000355</v>
      </c>
      <c r="CK255" s="399"/>
      <c r="CL255" s="399"/>
      <c r="CM255" s="399"/>
      <c r="CN255" s="399"/>
      <c r="CO255" s="399">
        <v>8.9409199999999949</v>
      </c>
      <c r="CP255" s="399">
        <v>-2.4995200000000013</v>
      </c>
      <c r="CQ255" s="399">
        <v>29</v>
      </c>
      <c r="CR255" s="399">
        <v>4.1078907340590831E-2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-1.826411553266297</v>
      </c>
      <c r="DA255" s="399">
        <v>0</v>
      </c>
      <c r="DB255" s="399">
        <v>0</v>
      </c>
      <c r="DC255" s="399">
        <v>-2.4994311464895347</v>
      </c>
      <c r="DD255" s="399">
        <v>0</v>
      </c>
      <c r="DE255" s="399">
        <v>0</v>
      </c>
      <c r="DF255" s="399">
        <v>0</v>
      </c>
      <c r="DG255" s="399">
        <v>-0.2796434640626364</v>
      </c>
      <c r="DH255" s="399">
        <v>0</v>
      </c>
      <c r="DI255" s="399">
        <v>4.0373669377187582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0.53405164918966186</v>
      </c>
      <c r="DP255" s="399">
        <v>7.5146484250636081E-2</v>
      </c>
      <c r="DQ255" s="399">
        <v>0</v>
      </c>
      <c r="DR255" s="399">
        <v>0</v>
      </c>
      <c r="DS255" s="399"/>
      <c r="DT255" s="399"/>
      <c r="DU255" s="399"/>
      <c r="DV255" s="399">
        <v>-142.05628947594556</v>
      </c>
      <c r="DW255" s="399">
        <v>0</v>
      </c>
      <c r="DX255" s="399">
        <v>0</v>
      </c>
      <c r="DY255" s="399">
        <v>8.9409199999999771</v>
      </c>
      <c r="DZ255" s="399">
        <v>-2.499520000000004</v>
      </c>
      <c r="EA255" s="399">
        <v>0</v>
      </c>
      <c r="EB255" s="399">
        <v>0</v>
      </c>
      <c r="EC255" s="399">
        <v>6.3978218544343406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225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2360</v>
      </c>
      <c r="C256" s="399" t="s">
        <v>2357</v>
      </c>
      <c r="D256" s="399" t="s">
        <v>1826</v>
      </c>
      <c r="E256" s="399" t="s">
        <v>891</v>
      </c>
      <c r="F256" s="399" t="s">
        <v>1240</v>
      </c>
      <c r="G256" s="399" t="s">
        <v>1240</v>
      </c>
      <c r="H256" s="399" t="s">
        <v>1240</v>
      </c>
      <c r="I256" s="399" t="s">
        <v>1240</v>
      </c>
      <c r="J256" s="399" t="s">
        <v>2358</v>
      </c>
      <c r="K256" s="789">
        <v>44593</v>
      </c>
      <c r="L256" s="399">
        <v>0</v>
      </c>
      <c r="M256" s="399">
        <v>0</v>
      </c>
      <c r="N256" s="399">
        <v>0.9</v>
      </c>
      <c r="O256" s="399">
        <v>0.9</v>
      </c>
      <c r="P256" s="399">
        <v>0.9</v>
      </c>
      <c r="Q256" s="399">
        <v>0.9</v>
      </c>
      <c r="R256" s="399"/>
      <c r="S256" s="399">
        <v>522.37</v>
      </c>
      <c r="T256" s="399">
        <v>144.41999999999999</v>
      </c>
      <c r="U256" s="399"/>
      <c r="V256" s="399">
        <v>600.11099999999999</v>
      </c>
      <c r="W256" s="399">
        <v>600.11099999999999</v>
      </c>
      <c r="X256" s="399">
        <v>586.56600000000003</v>
      </c>
      <c r="Y256" s="399">
        <v>0</v>
      </c>
      <c r="Z256" s="399">
        <v>55.260877891568576</v>
      </c>
      <c r="AA256" s="399">
        <v>0</v>
      </c>
      <c r="AB256" s="399">
        <v>0</v>
      </c>
      <c r="AC256" s="399">
        <v>0</v>
      </c>
      <c r="AD256" s="399">
        <v>91.7672881145958</v>
      </c>
      <c r="AE256" s="399">
        <v>298.71649656156779</v>
      </c>
      <c r="AF256" s="399">
        <v>129.97964126743739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8.5344800876763571</v>
      </c>
      <c r="AM256" s="399"/>
      <c r="AN256" s="399">
        <v>1.309369671188541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14.54249187568143</v>
      </c>
      <c r="BH256" s="399">
        <v>0</v>
      </c>
      <c r="BI256" s="399">
        <v>0</v>
      </c>
      <c r="BJ256" s="399">
        <v>0</v>
      </c>
      <c r="BK256" s="399">
        <v>3758.25</v>
      </c>
      <c r="BL256" s="399">
        <v>9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144.52213314311882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586.56600000000003</v>
      </c>
      <c r="CJ256" s="399">
        <v>-13.574999999999932</v>
      </c>
      <c r="CK256" s="399"/>
      <c r="CL256" s="399"/>
      <c r="CM256" s="399"/>
      <c r="CN256" s="399"/>
      <c r="CO256" s="399">
        <v>-18.800999999999988</v>
      </c>
      <c r="CP256" s="399">
        <v>5.2560000000000029</v>
      </c>
      <c r="CQ256" s="399">
        <v>29</v>
      </c>
      <c r="CR256" s="399">
        <v>-8.638087992187593E-2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3.8405850419151051</v>
      </c>
      <c r="DA256" s="399">
        <v>0</v>
      </c>
      <c r="DB256" s="399">
        <v>0</v>
      </c>
      <c r="DC256" s="399">
        <v>5.2558131585060153</v>
      </c>
      <c r="DD256" s="399">
        <v>0</v>
      </c>
      <c r="DE256" s="399">
        <v>0</v>
      </c>
      <c r="DF256" s="399">
        <v>0</v>
      </c>
      <c r="DG256" s="399">
        <v>0.58803532162704109</v>
      </c>
      <c r="DH256" s="399">
        <v>0</v>
      </c>
      <c r="DI256" s="399">
        <v>-8.4897902895955184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-1.1230058043707842</v>
      </c>
      <c r="DP256" s="399">
        <v>-0.15801830800367389</v>
      </c>
      <c r="DQ256" s="399">
        <v>0</v>
      </c>
      <c r="DR256" s="399">
        <v>0</v>
      </c>
      <c r="DS256" s="399"/>
      <c r="DT256" s="399"/>
      <c r="DU256" s="399"/>
      <c r="DV256" s="399">
        <v>298.71649656156779</v>
      </c>
      <c r="DW256" s="399">
        <v>0</v>
      </c>
      <c r="DX256" s="399">
        <v>0</v>
      </c>
      <c r="DY256" s="399">
        <v>-18.800999999999988</v>
      </c>
      <c r="DZ256" s="399">
        <v>5.2560000000000286</v>
      </c>
      <c r="EA256" s="399">
        <v>0</v>
      </c>
      <c r="EB256" s="399">
        <v>0</v>
      </c>
      <c r="EC256" s="399">
        <v>-13.453363712595603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225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957</v>
      </c>
      <c r="C257" s="399" t="s">
        <v>2365</v>
      </c>
      <c r="D257" s="399" t="s">
        <v>534</v>
      </c>
      <c r="E257" s="399" t="s">
        <v>891</v>
      </c>
      <c r="F257" s="399" t="s">
        <v>1240</v>
      </c>
      <c r="G257" s="399" t="s">
        <v>1240</v>
      </c>
      <c r="H257" s="399" t="s">
        <v>1240</v>
      </c>
      <c r="I257" s="399" t="s">
        <v>894</v>
      </c>
      <c r="J257" s="399" t="s">
        <v>2358</v>
      </c>
      <c r="K257" s="789">
        <v>44593</v>
      </c>
      <c r="L257" s="399">
        <v>108</v>
      </c>
      <c r="M257" s="399">
        <v>108</v>
      </c>
      <c r="N257" s="399">
        <v>3.2130000000000001</v>
      </c>
      <c r="O257" s="399">
        <v>3.2130000000000001</v>
      </c>
      <c r="P257" s="399">
        <v>3.2130000000000001</v>
      </c>
      <c r="Q257" s="399">
        <v>3.2130000000000001</v>
      </c>
      <c r="R257" s="399">
        <v>111</v>
      </c>
      <c r="S257" s="399">
        <v>69.64</v>
      </c>
      <c r="T257" s="399">
        <v>144.41999999999999</v>
      </c>
      <c r="U257" s="399">
        <v>11988</v>
      </c>
      <c r="V257" s="399">
        <v>687.77477999999996</v>
      </c>
      <c r="W257" s="399">
        <v>12675.77478</v>
      </c>
      <c r="X257" s="399">
        <v>12417.466319999998</v>
      </c>
      <c r="Y257" s="399">
        <v>0</v>
      </c>
      <c r="Z257" s="399">
        <v>171.63476064342288</v>
      </c>
      <c r="AA257" s="399">
        <v>0</v>
      </c>
      <c r="AB257" s="399">
        <v>0</v>
      </c>
      <c r="AC257" s="399">
        <v>0</v>
      </c>
      <c r="AD257" s="399">
        <v>3374.4935579379949</v>
      </c>
      <c r="AE257" s="399">
        <v>8613.1161360501519</v>
      </c>
      <c r="AF257" s="399">
        <v>464.02731932475149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30.468093913004594</v>
      </c>
      <c r="AM257" s="399"/>
      <c r="AN257" s="399">
        <v>1.5990625586853062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20.044629496204511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484.07194882095598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12416.834399999998</v>
      </c>
      <c r="CJ257" s="399">
        <v>-258.97038000000248</v>
      </c>
      <c r="CK257" s="399"/>
      <c r="CL257" s="399"/>
      <c r="CM257" s="399"/>
      <c r="CN257" s="399"/>
      <c r="CO257" s="399">
        <v>-277.07238000000069</v>
      </c>
      <c r="CP257" s="399">
        <v>18.763920000000013</v>
      </c>
      <c r="CQ257" s="399">
        <v>29</v>
      </c>
      <c r="CR257" s="399">
        <v>130.23033769506173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141.22711642595414</v>
      </c>
      <c r="DA257" s="399">
        <v>0</v>
      </c>
      <c r="DB257" s="399">
        <v>0</v>
      </c>
      <c r="DC257" s="399">
        <v>18.763252975866521</v>
      </c>
      <c r="DD257" s="399">
        <v>0</v>
      </c>
      <c r="DE257" s="399">
        <v>0</v>
      </c>
      <c r="DF257" s="399">
        <v>0</v>
      </c>
      <c r="DG257" s="399">
        <v>0.81051791216095737</v>
      </c>
      <c r="DH257" s="399">
        <v>0</v>
      </c>
      <c r="DI257" s="399">
        <v>-26.368439660454612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-4.0091307216037002</v>
      </c>
      <c r="DP257" s="399">
        <v>-0.19297923686144336</v>
      </c>
      <c r="DQ257" s="399">
        <v>0</v>
      </c>
      <c r="DR257" s="399">
        <v>0</v>
      </c>
      <c r="DS257" s="399"/>
      <c r="DT257" s="399"/>
      <c r="DU257" s="399">
        <v>8613.1161360501519</v>
      </c>
      <c r="DV257" s="399">
        <v>0</v>
      </c>
      <c r="DW257" s="399">
        <v>0</v>
      </c>
      <c r="DX257" s="399">
        <v>0</v>
      </c>
      <c r="DY257" s="399">
        <v>-277.07238000000143</v>
      </c>
      <c r="DZ257" s="399">
        <v>18.763919999999985</v>
      </c>
      <c r="EA257" s="399">
        <v>0</v>
      </c>
      <c r="EB257" s="399">
        <v>0</v>
      </c>
      <c r="EC257" s="399">
        <v>-387.9108968233104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225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957</v>
      </c>
      <c r="C258" s="399" t="s">
        <v>2365</v>
      </c>
      <c r="D258" s="399" t="s">
        <v>534</v>
      </c>
      <c r="E258" s="399" t="s">
        <v>891</v>
      </c>
      <c r="F258" s="399" t="s">
        <v>1240</v>
      </c>
      <c r="G258" s="399" t="s">
        <v>1240</v>
      </c>
      <c r="H258" s="399" t="s">
        <v>1240</v>
      </c>
      <c r="I258" s="399" t="s">
        <v>2328</v>
      </c>
      <c r="J258" s="399" t="s">
        <v>2358</v>
      </c>
      <c r="K258" s="789">
        <v>44593</v>
      </c>
      <c r="L258" s="399">
        <v>4000</v>
      </c>
      <c r="M258" s="399">
        <v>4000</v>
      </c>
      <c r="N258" s="399">
        <v>1242.145</v>
      </c>
      <c r="O258" s="399">
        <v>1242.145</v>
      </c>
      <c r="P258" s="399">
        <v>1242.145</v>
      </c>
      <c r="Q258" s="399">
        <v>1242.145</v>
      </c>
      <c r="R258" s="399">
        <v>34.950000000000003</v>
      </c>
      <c r="S258" s="399">
        <v>69.64</v>
      </c>
      <c r="T258" s="399">
        <v>144.41999999999999</v>
      </c>
      <c r="U258" s="399">
        <v>139800</v>
      </c>
      <c r="V258" s="399">
        <v>265893.55869999994</v>
      </c>
      <c r="W258" s="399">
        <v>405693.55869999994</v>
      </c>
      <c r="X258" s="399">
        <v>399565.4228</v>
      </c>
      <c r="Y258" s="399">
        <v>0</v>
      </c>
      <c r="Z258" s="399">
        <v>66353.955729668378</v>
      </c>
      <c r="AA258" s="399">
        <v>0</v>
      </c>
      <c r="AB258" s="399">
        <v>0</v>
      </c>
      <c r="AC258" s="399">
        <v>0</v>
      </c>
      <c r="AD258" s="399">
        <v>50679.118045748</v>
      </c>
      <c r="AE258" s="399">
        <v>89139.231970373206</v>
      </c>
      <c r="AF258" s="399">
        <v>179392.84611349003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11778.957520563054</v>
      </c>
      <c r="AM258" s="399"/>
      <c r="AN258" s="399">
        <v>618.19718703957665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7749.2487723507475</v>
      </c>
      <c r="BH258" s="399">
        <v>0</v>
      </c>
      <c r="BI258" s="399">
        <v>0</v>
      </c>
      <c r="BJ258" s="399">
        <v>0</v>
      </c>
      <c r="BK258" s="399">
        <v>0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187142.09488584078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399566.47600000002</v>
      </c>
      <c r="CJ258" s="399">
        <v>-6127.1126999999397</v>
      </c>
      <c r="CK258" s="399"/>
      <c r="CL258" s="399"/>
      <c r="CM258" s="399"/>
      <c r="CN258" s="399"/>
      <c r="CO258" s="399">
        <v>-13382.262700000021</v>
      </c>
      <c r="CP258" s="399">
        <v>7254.1268000000046</v>
      </c>
      <c r="CQ258" s="399">
        <v>29</v>
      </c>
      <c r="CR258" s="399">
        <v>-2130.3623302688939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2120.9895890227926</v>
      </c>
      <c r="DA258" s="399">
        <v>0</v>
      </c>
      <c r="DB258" s="399">
        <v>0</v>
      </c>
      <c r="DC258" s="399">
        <v>7253.8689286360459</v>
      </c>
      <c r="DD258" s="399">
        <v>0</v>
      </c>
      <c r="DE258" s="399">
        <v>0</v>
      </c>
      <c r="DF258" s="399">
        <v>0</v>
      </c>
      <c r="DG258" s="399">
        <v>313.34602303180054</v>
      </c>
      <c r="DH258" s="399">
        <v>0</v>
      </c>
      <c r="DI258" s="399">
        <v>-10194.032207293923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-1549.9289387446079</v>
      </c>
      <c r="DP258" s="399">
        <v>-74.605724921026308</v>
      </c>
      <c r="DQ258" s="399">
        <v>0</v>
      </c>
      <c r="DR258" s="399">
        <v>0</v>
      </c>
      <c r="DS258" s="399"/>
      <c r="DT258" s="399"/>
      <c r="DU258" s="399">
        <v>89139.231970373206</v>
      </c>
      <c r="DV258" s="399">
        <v>0</v>
      </c>
      <c r="DW258" s="399">
        <v>0</v>
      </c>
      <c r="DX258" s="399">
        <v>0</v>
      </c>
      <c r="DY258" s="399">
        <v>-13382.262699999992</v>
      </c>
      <c r="DZ258" s="399">
        <v>7254.1268000000273</v>
      </c>
      <c r="EA258" s="399">
        <v>0</v>
      </c>
      <c r="EB258" s="399">
        <v>0</v>
      </c>
      <c r="EC258" s="399">
        <v>-4014.5841376780008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225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957</v>
      </c>
      <c r="C259" s="399" t="s">
        <v>2365</v>
      </c>
      <c r="D259" s="399" t="s">
        <v>534</v>
      </c>
      <c r="E259" s="399" t="s">
        <v>891</v>
      </c>
      <c r="F259" s="399" t="s">
        <v>1240</v>
      </c>
      <c r="G259" s="399" t="s">
        <v>1240</v>
      </c>
      <c r="H259" s="399" t="s">
        <v>1240</v>
      </c>
      <c r="I259" s="399" t="s">
        <v>1240</v>
      </c>
      <c r="J259" s="399" t="s">
        <v>2358</v>
      </c>
      <c r="K259" s="789">
        <v>44593</v>
      </c>
      <c r="L259" s="399">
        <v>0</v>
      </c>
      <c r="M259" s="399">
        <v>0</v>
      </c>
      <c r="N259" s="399">
        <v>0</v>
      </c>
      <c r="O259" s="399">
        <v>0</v>
      </c>
      <c r="P259" s="399">
        <v>0</v>
      </c>
      <c r="Q259" s="399">
        <v>0</v>
      </c>
      <c r="R259" s="399"/>
      <c r="S259" s="399"/>
      <c r="T259" s="399"/>
      <c r="U259" s="399"/>
      <c r="V259" s="399"/>
      <c r="W259" s="399"/>
      <c r="X259" s="399"/>
      <c r="Y259" s="399"/>
      <c r="Z259" s="399"/>
      <c r="AA259" s="399">
        <v>0</v>
      </c>
      <c r="AB259" s="399"/>
      <c r="AC259" s="399"/>
      <c r="AD259" s="399"/>
      <c r="AE259" s="399"/>
      <c r="AF259" s="399"/>
      <c r="AG259" s="399"/>
      <c r="AH259" s="399"/>
      <c r="AI259" s="399"/>
      <c r="AJ259" s="399"/>
      <c r="AK259" s="399"/>
      <c r="AL259" s="399"/>
      <c r="AM259" s="399"/>
      <c r="AN259" s="399"/>
      <c r="AO259" s="399"/>
      <c r="AP259" s="399"/>
      <c r="AQ259" s="399"/>
      <c r="AR259" s="399"/>
      <c r="AS259" s="399"/>
      <c r="AT259" s="399"/>
      <c r="AU259" s="399"/>
      <c r="AV259" s="399"/>
      <c r="AW259" s="399"/>
      <c r="AX259" s="399"/>
      <c r="AY259" s="399"/>
      <c r="AZ259" s="399">
        <v>0</v>
      </c>
      <c r="BA259" s="399"/>
      <c r="BB259" s="399"/>
      <c r="BC259" s="399"/>
      <c r="BD259" s="399"/>
      <c r="BE259" s="399"/>
      <c r="BF259" s="399"/>
      <c r="BG259" s="399"/>
      <c r="BH259" s="399"/>
      <c r="BI259" s="399">
        <v>0</v>
      </c>
      <c r="BJ259" s="399">
        <v>0</v>
      </c>
      <c r="BK259" s="399">
        <v>183256.33</v>
      </c>
      <c r="BL259" s="399">
        <v>2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/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/>
      <c r="CJ259" s="399">
        <v>-0.03</v>
      </c>
      <c r="CK259" s="399"/>
      <c r="CL259" s="399"/>
      <c r="CM259" s="399"/>
      <c r="CN259" s="399"/>
      <c r="CO259" s="399">
        <v>0</v>
      </c>
      <c r="CP259" s="399">
        <v>0</v>
      </c>
      <c r="CQ259" s="399">
        <v>29</v>
      </c>
      <c r="CR259" s="399"/>
      <c r="CS259" s="399"/>
      <c r="CT259" s="399"/>
      <c r="CU259" s="399"/>
      <c r="CV259" s="399"/>
      <c r="CW259" s="399"/>
      <c r="CX259" s="399"/>
      <c r="CY259" s="399"/>
      <c r="CZ259" s="399"/>
      <c r="DA259" s="399"/>
      <c r="DB259" s="399"/>
      <c r="DC259" s="399"/>
      <c r="DD259" s="399"/>
      <c r="DE259" s="399"/>
      <c r="DF259" s="399"/>
      <c r="DG259" s="399"/>
      <c r="DH259" s="399"/>
      <c r="DI259" s="399"/>
      <c r="DJ259" s="399"/>
      <c r="DK259" s="399">
        <v>0</v>
      </c>
      <c r="DL259" s="399"/>
      <c r="DM259" s="399"/>
      <c r="DN259" s="399"/>
      <c r="DO259" s="399"/>
      <c r="DP259" s="399"/>
      <c r="DQ259" s="399"/>
      <c r="DR259" s="399"/>
      <c r="DS259" s="399"/>
      <c r="DT259" s="399"/>
      <c r="DU259" s="399"/>
      <c r="DV259" s="399"/>
      <c r="DW259" s="399"/>
      <c r="DX259" s="399"/>
      <c r="DY259" s="399"/>
      <c r="DZ259" s="399"/>
      <c r="EA259" s="399"/>
      <c r="EB259" s="399"/>
      <c r="EC259" s="399"/>
      <c r="ED259" s="399"/>
      <c r="EE259" s="399"/>
      <c r="EF259" s="399"/>
      <c r="EG259" s="399"/>
      <c r="EH259" s="399"/>
      <c r="EI259" s="399"/>
      <c r="EJ259" s="399"/>
      <c r="EK259" s="399"/>
      <c r="EL259" s="399"/>
      <c r="EM259" s="399"/>
      <c r="EN259" s="399"/>
      <c r="EO259" s="399"/>
      <c r="EP259" s="399"/>
      <c r="EQ259" s="399"/>
      <c r="ER259" s="399"/>
      <c r="ES259" s="399"/>
      <c r="ET259" s="399"/>
      <c r="EU259" s="399"/>
      <c r="EV259" s="399">
        <v>225</v>
      </c>
      <c r="EW259" s="399"/>
      <c r="EX259" s="399"/>
      <c r="EY259" s="399"/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957</v>
      </c>
      <c r="C260" s="399" t="s">
        <v>2366</v>
      </c>
      <c r="D260" s="399" t="s">
        <v>534</v>
      </c>
      <c r="E260" s="399" t="s">
        <v>891</v>
      </c>
      <c r="F260" s="399" t="s">
        <v>1240</v>
      </c>
      <c r="G260" s="399" t="s">
        <v>1240</v>
      </c>
      <c r="H260" s="399" t="s">
        <v>1240</v>
      </c>
      <c r="I260" s="399" t="s">
        <v>894</v>
      </c>
      <c r="J260" s="399" t="s">
        <v>2358</v>
      </c>
      <c r="K260" s="789">
        <v>44593</v>
      </c>
      <c r="L260" s="399">
        <v>0</v>
      </c>
      <c r="M260" s="399">
        <v>0</v>
      </c>
      <c r="N260" s="399">
        <v>85.513999999999996</v>
      </c>
      <c r="O260" s="399">
        <v>85.513999999999996</v>
      </c>
      <c r="P260" s="399">
        <v>85.513999999999996</v>
      </c>
      <c r="Q260" s="399">
        <v>85.513999999999996</v>
      </c>
      <c r="R260" s="399"/>
      <c r="S260" s="399">
        <v>2740.31</v>
      </c>
      <c r="T260" s="399">
        <v>144.41999999999999</v>
      </c>
      <c r="U260" s="399"/>
      <c r="V260" s="399">
        <v>246684.80121999996</v>
      </c>
      <c r="W260" s="399">
        <v>246684.80121999996</v>
      </c>
      <c r="X260" s="399">
        <v>241698.47987999997</v>
      </c>
      <c r="Y260" s="399">
        <v>0</v>
      </c>
      <c r="Z260" s="399">
        <v>4568.0594216189429</v>
      </c>
      <c r="AA260" s="399">
        <v>0</v>
      </c>
      <c r="AB260" s="399">
        <v>0</v>
      </c>
      <c r="AC260" s="399">
        <v>0</v>
      </c>
      <c r="AD260" s="399">
        <v>64363.207812034394</v>
      </c>
      <c r="AE260" s="399">
        <v>164016.49899854689</v>
      </c>
      <c r="AF260" s="399">
        <v>12350.087825937379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810.90836690839546</v>
      </c>
      <c r="AM260" s="399"/>
      <c r="AN260" s="399">
        <v>42.559052487835444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533.48784523449501</v>
      </c>
      <c r="BH260" s="399">
        <v>0</v>
      </c>
      <c r="BI260" s="399">
        <v>0</v>
      </c>
      <c r="BJ260" s="399">
        <v>0</v>
      </c>
      <c r="BK260" s="399">
        <v>0</v>
      </c>
      <c r="BL260" s="399">
        <v>0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12883.575671171873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241687.17419999998</v>
      </c>
      <c r="CJ260" s="399">
        <v>-4997.6570200000133</v>
      </c>
      <c r="CK260" s="399"/>
      <c r="CL260" s="399"/>
      <c r="CM260" s="399"/>
      <c r="CN260" s="399"/>
      <c r="CO260" s="399">
        <v>-5485.7231000000074</v>
      </c>
      <c r="CP260" s="399">
        <v>499.40176000000025</v>
      </c>
      <c r="CQ260" s="399">
        <v>29</v>
      </c>
      <c r="CR260" s="399">
        <v>2401.0079583684565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2693.687241404099</v>
      </c>
      <c r="DA260" s="399">
        <v>0</v>
      </c>
      <c r="DB260" s="399">
        <v>0</v>
      </c>
      <c r="DC260" s="399">
        <v>499.38400715164789</v>
      </c>
      <c r="DD260" s="399">
        <v>0</v>
      </c>
      <c r="DE260" s="399">
        <v>0</v>
      </c>
      <c r="DF260" s="399">
        <v>0</v>
      </c>
      <c r="DG260" s="399">
        <v>21.571935493474029</v>
      </c>
      <c r="DH260" s="399">
        <v>0</v>
      </c>
      <c r="DI260" s="399">
        <v>-701.79606259698585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-106.70302039440355</v>
      </c>
      <c r="DP260" s="399">
        <v>-5.1361426893773654</v>
      </c>
      <c r="DQ260" s="399">
        <v>0</v>
      </c>
      <c r="DR260" s="399">
        <v>0</v>
      </c>
      <c r="DS260" s="399"/>
      <c r="DT260" s="399"/>
      <c r="DU260" s="399"/>
      <c r="DV260" s="399">
        <v>164016.49899854689</v>
      </c>
      <c r="DW260" s="399">
        <v>0</v>
      </c>
      <c r="DX260" s="399">
        <v>0</v>
      </c>
      <c r="DY260" s="399">
        <v>-5485.7231000000029</v>
      </c>
      <c r="DZ260" s="399">
        <v>499.40176000000065</v>
      </c>
      <c r="EA260" s="399">
        <v>0</v>
      </c>
      <c r="EB260" s="399">
        <v>0</v>
      </c>
      <c r="EC260" s="399">
        <v>-7386.8488727383665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225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957</v>
      </c>
      <c r="C261" s="399" t="s">
        <v>2366</v>
      </c>
      <c r="D261" s="399" t="s">
        <v>534</v>
      </c>
      <c r="E261" s="399" t="s">
        <v>891</v>
      </c>
      <c r="F261" s="399" t="s">
        <v>1240</v>
      </c>
      <c r="G261" s="399" t="s">
        <v>1240</v>
      </c>
      <c r="H261" s="399" t="s">
        <v>1240</v>
      </c>
      <c r="I261" s="399" t="s">
        <v>2328</v>
      </c>
      <c r="J261" s="399" t="s">
        <v>2358</v>
      </c>
      <c r="K261" s="789">
        <v>44593</v>
      </c>
      <c r="L261" s="399">
        <v>0</v>
      </c>
      <c r="M261" s="399">
        <v>0</v>
      </c>
      <c r="N261" s="399">
        <v>5092.2809999999999</v>
      </c>
      <c r="O261" s="399">
        <v>5092.2809999999999</v>
      </c>
      <c r="P261" s="399">
        <v>5092.2809999999999</v>
      </c>
      <c r="Q261" s="399">
        <v>5092.2809999999999</v>
      </c>
      <c r="R261" s="399"/>
      <c r="S261" s="399">
        <v>69.64</v>
      </c>
      <c r="T261" s="399">
        <v>144.41999999999999</v>
      </c>
      <c r="U261" s="399"/>
      <c r="V261" s="399">
        <v>1090053.67086</v>
      </c>
      <c r="W261" s="399">
        <v>1090053.67086</v>
      </c>
      <c r="X261" s="399">
        <v>1072638.06984</v>
      </c>
      <c r="Y261" s="399">
        <v>0</v>
      </c>
      <c r="Z261" s="399">
        <v>272023.78791286959</v>
      </c>
      <c r="AA261" s="399">
        <v>0</v>
      </c>
      <c r="AB261" s="399">
        <v>0</v>
      </c>
      <c r="AC261" s="399">
        <v>0</v>
      </c>
      <c r="AD261" s="399">
        <v>0</v>
      </c>
      <c r="AE261" s="399">
        <v>0</v>
      </c>
      <c r="AF261" s="399">
        <v>735436.50845887477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48288.856439280717</v>
      </c>
      <c r="AM261" s="399"/>
      <c r="AN261" s="399">
        <v>2534.3529055102927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31768.716444308062</v>
      </c>
      <c r="BH261" s="399">
        <v>0</v>
      </c>
      <c r="BI261" s="399">
        <v>0</v>
      </c>
      <c r="BJ261" s="399">
        <v>0</v>
      </c>
      <c r="BK261" s="399">
        <v>0</v>
      </c>
      <c r="BL261" s="399">
        <v>0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767205.22490318283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1072637.8591999998</v>
      </c>
      <c r="CJ261" s="399">
        <v>-17415.841660000151</v>
      </c>
      <c r="CK261" s="399"/>
      <c r="CL261" s="399"/>
      <c r="CM261" s="399"/>
      <c r="CN261" s="399"/>
      <c r="CO261" s="399">
        <v>-47154.522059999988</v>
      </c>
      <c r="CP261" s="399">
        <v>29738.921040000016</v>
      </c>
      <c r="CQ261" s="399">
        <v>29</v>
      </c>
      <c r="CR261" s="399">
        <v>-17428.785369600635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0</v>
      </c>
      <c r="DA261" s="399">
        <v>0</v>
      </c>
      <c r="DB261" s="399">
        <v>0</v>
      </c>
      <c r="DC261" s="399">
        <v>29737.863874011324</v>
      </c>
      <c r="DD261" s="399">
        <v>0</v>
      </c>
      <c r="DE261" s="399">
        <v>0</v>
      </c>
      <c r="DF261" s="399">
        <v>0</v>
      </c>
      <c r="DG261" s="399">
        <v>1284.5891578764131</v>
      </c>
      <c r="DH261" s="399">
        <v>0</v>
      </c>
      <c r="DI261" s="399">
        <v>-41791.31785950184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-6354.0679116522879</v>
      </c>
      <c r="DP261" s="399">
        <v>-305.85263033427555</v>
      </c>
      <c r="DQ261" s="399">
        <v>0</v>
      </c>
      <c r="DR261" s="399">
        <v>0</v>
      </c>
      <c r="DS261" s="399"/>
      <c r="DT261" s="399"/>
      <c r="DU261" s="399"/>
      <c r="DV261" s="399">
        <v>0</v>
      </c>
      <c r="DW261" s="399">
        <v>0</v>
      </c>
      <c r="DX261" s="399">
        <v>0</v>
      </c>
      <c r="DY261" s="399">
        <v>-47154.522059999988</v>
      </c>
      <c r="DZ261" s="399">
        <v>29738.921039999928</v>
      </c>
      <c r="EA261" s="399">
        <v>0</v>
      </c>
      <c r="EB261" s="399">
        <v>0</v>
      </c>
      <c r="EC261" s="399">
        <v>0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225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957</v>
      </c>
      <c r="C262" s="399" t="s">
        <v>2366</v>
      </c>
      <c r="D262" s="399" t="s">
        <v>534</v>
      </c>
      <c r="E262" s="399" t="s">
        <v>891</v>
      </c>
      <c r="F262" s="399" t="s">
        <v>1240</v>
      </c>
      <c r="G262" s="399" t="s">
        <v>1240</v>
      </c>
      <c r="H262" s="399" t="s">
        <v>1240</v>
      </c>
      <c r="I262" s="399" t="s">
        <v>1240</v>
      </c>
      <c r="J262" s="399" t="s">
        <v>2358</v>
      </c>
      <c r="K262" s="789">
        <v>44593</v>
      </c>
      <c r="L262" s="399">
        <v>21312</v>
      </c>
      <c r="M262" s="399">
        <v>21312</v>
      </c>
      <c r="N262" s="399">
        <v>0</v>
      </c>
      <c r="O262" s="399">
        <v>0</v>
      </c>
      <c r="P262" s="399">
        <v>0</v>
      </c>
      <c r="Q262" s="399">
        <v>0</v>
      </c>
      <c r="R262" s="399">
        <v>34.950000000000003</v>
      </c>
      <c r="S262" s="399"/>
      <c r="T262" s="399"/>
      <c r="U262" s="399">
        <v>744854.4</v>
      </c>
      <c r="V262" s="399"/>
      <c r="W262" s="399">
        <v>744854.4</v>
      </c>
      <c r="X262" s="399">
        <v>734837.75999999989</v>
      </c>
      <c r="Y262" s="399">
        <v>0</v>
      </c>
      <c r="Z262" s="399">
        <v>0</v>
      </c>
      <c r="AA262" s="399">
        <v>0</v>
      </c>
      <c r="AB262" s="399">
        <v>0</v>
      </c>
      <c r="AC262" s="399">
        <v>0</v>
      </c>
      <c r="AD262" s="399">
        <v>270018.34094774531</v>
      </c>
      <c r="AE262" s="399">
        <v>474933.8279381484</v>
      </c>
      <c r="AF262" s="399"/>
      <c r="AG262" s="399"/>
      <c r="AH262" s="399"/>
      <c r="AI262" s="399">
        <v>0</v>
      </c>
      <c r="AJ262" s="399">
        <v>0</v>
      </c>
      <c r="AK262" s="399">
        <v>0</v>
      </c>
      <c r="AL262" s="399">
        <v>0</v>
      </c>
      <c r="AM262" s="399"/>
      <c r="AN262" s="399">
        <v>0</v>
      </c>
      <c r="AO262" s="399">
        <v>0</v>
      </c>
      <c r="AP262" s="399">
        <v>0</v>
      </c>
      <c r="AQ262" s="399">
        <v>0</v>
      </c>
      <c r="AR262" s="399">
        <v>0</v>
      </c>
      <c r="AS262" s="399"/>
      <c r="AT262" s="399"/>
      <c r="AU262" s="399">
        <v>0</v>
      </c>
      <c r="AV262" s="399">
        <v>0</v>
      </c>
      <c r="AW262" s="399">
        <v>0</v>
      </c>
      <c r="AX262" s="399"/>
      <c r="AY262" s="399"/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/>
      <c r="BG262" s="399">
        <v>0</v>
      </c>
      <c r="BH262" s="399">
        <v>0</v>
      </c>
      <c r="BI262" s="399">
        <v>183.67</v>
      </c>
      <c r="BJ262" s="399">
        <v>847.77</v>
      </c>
      <c r="BK262" s="399">
        <v>873665.98</v>
      </c>
      <c r="BL262" s="399">
        <v>69</v>
      </c>
      <c r="BM262" s="399"/>
      <c r="BN262" s="399"/>
      <c r="BO262" s="399"/>
      <c r="BP262" s="399"/>
      <c r="BQ262" s="399"/>
      <c r="BR262" s="399"/>
      <c r="BS262" s="399"/>
      <c r="BT262" s="399"/>
      <c r="BU262" s="399"/>
      <c r="BV262" s="399">
        <v>0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734837.75999999989</v>
      </c>
      <c r="CJ262" s="399">
        <v>-10016.670000000158</v>
      </c>
      <c r="CK262" s="399"/>
      <c r="CL262" s="399"/>
      <c r="CM262" s="399"/>
      <c r="CN262" s="399"/>
      <c r="CO262" s="399">
        <v>-10016.640000000127</v>
      </c>
      <c r="CP262" s="399">
        <v>0</v>
      </c>
      <c r="CQ262" s="399">
        <v>29</v>
      </c>
      <c r="CR262" s="399">
        <v>11300.632530313509</v>
      </c>
      <c r="CS262" s="399">
        <v>0</v>
      </c>
      <c r="CT262" s="399">
        <v>0</v>
      </c>
      <c r="CU262" s="399">
        <v>0</v>
      </c>
      <c r="CV262" s="399">
        <v>0</v>
      </c>
      <c r="CW262" s="399"/>
      <c r="CX262" s="399"/>
      <c r="CY262" s="399"/>
      <c r="CZ262" s="399">
        <v>11300.632530313509</v>
      </c>
      <c r="DA262" s="399">
        <v>0</v>
      </c>
      <c r="DB262" s="399">
        <v>0</v>
      </c>
      <c r="DC262" s="399"/>
      <c r="DD262" s="399"/>
      <c r="DE262" s="399">
        <v>0</v>
      </c>
      <c r="DF262" s="399">
        <v>0</v>
      </c>
      <c r="DG262" s="399">
        <v>0</v>
      </c>
      <c r="DH262" s="399">
        <v>0</v>
      </c>
      <c r="DI262" s="399">
        <v>0</v>
      </c>
      <c r="DJ262" s="399"/>
      <c r="DK262" s="399">
        <v>0</v>
      </c>
      <c r="DL262" s="399">
        <v>0</v>
      </c>
      <c r="DM262" s="399"/>
      <c r="DN262" s="399">
        <v>0</v>
      </c>
      <c r="DO262" s="399">
        <v>0</v>
      </c>
      <c r="DP262" s="399">
        <v>0</v>
      </c>
      <c r="DQ262" s="399">
        <v>0</v>
      </c>
      <c r="DR262" s="399">
        <v>0</v>
      </c>
      <c r="DS262" s="399"/>
      <c r="DT262" s="399"/>
      <c r="DU262" s="399">
        <v>474933.8279381484</v>
      </c>
      <c r="DV262" s="399"/>
      <c r="DW262" s="399">
        <v>0</v>
      </c>
      <c r="DX262" s="399">
        <v>0</v>
      </c>
      <c r="DY262" s="399">
        <v>-10016.64000000013</v>
      </c>
      <c r="DZ262" s="399"/>
      <c r="EA262" s="399">
        <v>0</v>
      </c>
      <c r="EB262" s="399"/>
      <c r="EC262" s="399">
        <v>-21389.70428554836</v>
      </c>
      <c r="ED262" s="399"/>
      <c r="EE262" s="399">
        <v>0</v>
      </c>
      <c r="EF262" s="399">
        <v>0</v>
      </c>
      <c r="EG262" s="399"/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/>
      <c r="EN262" s="399"/>
      <c r="EO262" s="399">
        <v>0</v>
      </c>
      <c r="EP262" s="399">
        <v>0</v>
      </c>
      <c r="EQ262" s="399"/>
      <c r="ER262" s="399">
        <v>0</v>
      </c>
      <c r="ES262" s="399"/>
      <c r="ET262" s="399">
        <v>0</v>
      </c>
      <c r="EU262" s="399"/>
      <c r="EV262" s="399">
        <v>225</v>
      </c>
      <c r="EW262" s="399"/>
      <c r="EX262" s="399"/>
      <c r="EY262" s="399"/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2360</v>
      </c>
      <c r="C263" s="399" t="s">
        <v>2366</v>
      </c>
      <c r="D263" s="399" t="s">
        <v>534</v>
      </c>
      <c r="E263" s="399" t="s">
        <v>891</v>
      </c>
      <c r="F263" s="399" t="s">
        <v>1240</v>
      </c>
      <c r="G263" s="399" t="s">
        <v>1240</v>
      </c>
      <c r="H263" s="399" t="s">
        <v>1240</v>
      </c>
      <c r="I263" s="399" t="s">
        <v>1240</v>
      </c>
      <c r="J263" s="399" t="s">
        <v>2358</v>
      </c>
      <c r="K263" s="789">
        <v>44593</v>
      </c>
      <c r="L263" s="399">
        <v>130</v>
      </c>
      <c r="M263" s="399">
        <v>130</v>
      </c>
      <c r="N263" s="399">
        <v>0</v>
      </c>
      <c r="O263" s="399">
        <v>0</v>
      </c>
      <c r="P263" s="399">
        <v>0</v>
      </c>
      <c r="Q263" s="399">
        <v>0</v>
      </c>
      <c r="R263" s="399">
        <v>34.950000000000003</v>
      </c>
      <c r="S263" s="399"/>
      <c r="T263" s="399"/>
      <c r="U263" s="399">
        <v>4543.5</v>
      </c>
      <c r="V263" s="399"/>
      <c r="W263" s="399">
        <v>4543.5</v>
      </c>
      <c r="X263" s="399">
        <v>4482.3999999999996</v>
      </c>
      <c r="Y263" s="399">
        <v>0</v>
      </c>
      <c r="Z263" s="399">
        <v>0</v>
      </c>
      <c r="AA263" s="399">
        <v>0</v>
      </c>
      <c r="AB263" s="399">
        <v>0</v>
      </c>
      <c r="AC263" s="399">
        <v>0</v>
      </c>
      <c r="AD263" s="399">
        <v>1647.07133648681</v>
      </c>
      <c r="AE263" s="399">
        <v>2897.0250390371293</v>
      </c>
      <c r="AF263" s="399"/>
      <c r="AG263" s="399"/>
      <c r="AH263" s="399"/>
      <c r="AI263" s="399">
        <v>0</v>
      </c>
      <c r="AJ263" s="399">
        <v>0</v>
      </c>
      <c r="AK263" s="399">
        <v>0</v>
      </c>
      <c r="AL263" s="399">
        <v>0</v>
      </c>
      <c r="AM263" s="399"/>
      <c r="AN263" s="399">
        <v>0</v>
      </c>
      <c r="AO263" s="399">
        <v>0</v>
      </c>
      <c r="AP263" s="399">
        <v>0</v>
      </c>
      <c r="AQ263" s="399">
        <v>0</v>
      </c>
      <c r="AR263" s="399">
        <v>0</v>
      </c>
      <c r="AS263" s="399"/>
      <c r="AT263" s="399"/>
      <c r="AU263" s="399">
        <v>0</v>
      </c>
      <c r="AV263" s="399">
        <v>0</v>
      </c>
      <c r="AW263" s="399">
        <v>0</v>
      </c>
      <c r="AX263" s="399"/>
      <c r="AY263" s="399"/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/>
      <c r="BG263" s="399">
        <v>0</v>
      </c>
      <c r="BH263" s="399">
        <v>0</v>
      </c>
      <c r="BI263" s="399">
        <v>0</v>
      </c>
      <c r="BJ263" s="399">
        <v>0</v>
      </c>
      <c r="BK263" s="399">
        <v>2131.2800000000002</v>
      </c>
      <c r="BL263" s="399">
        <v>1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0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4482.3999999999996</v>
      </c>
      <c r="CJ263" s="399">
        <v>-61.130000000001019</v>
      </c>
      <c r="CK263" s="399"/>
      <c r="CL263" s="399"/>
      <c r="CM263" s="399"/>
      <c r="CN263" s="399"/>
      <c r="CO263" s="399">
        <v>-61.100000000000776</v>
      </c>
      <c r="CP263" s="399">
        <v>0</v>
      </c>
      <c r="CQ263" s="399">
        <v>29</v>
      </c>
      <c r="CR263" s="399">
        <v>68.932161643240988</v>
      </c>
      <c r="CS263" s="399">
        <v>0</v>
      </c>
      <c r="CT263" s="399">
        <v>0</v>
      </c>
      <c r="CU263" s="399">
        <v>0</v>
      </c>
      <c r="CV263" s="399">
        <v>0</v>
      </c>
      <c r="CW263" s="399"/>
      <c r="CX263" s="399"/>
      <c r="CY263" s="399"/>
      <c r="CZ263" s="399">
        <v>68.932161643240988</v>
      </c>
      <c r="DA263" s="399">
        <v>0</v>
      </c>
      <c r="DB263" s="399">
        <v>0</v>
      </c>
      <c r="DC263" s="399"/>
      <c r="DD263" s="399"/>
      <c r="DE263" s="399">
        <v>0</v>
      </c>
      <c r="DF263" s="399">
        <v>0</v>
      </c>
      <c r="DG263" s="399">
        <v>0</v>
      </c>
      <c r="DH263" s="399">
        <v>0</v>
      </c>
      <c r="DI263" s="399">
        <v>0</v>
      </c>
      <c r="DJ263" s="399"/>
      <c r="DK263" s="399">
        <v>0</v>
      </c>
      <c r="DL263" s="399">
        <v>0</v>
      </c>
      <c r="DM263" s="399"/>
      <c r="DN263" s="399">
        <v>0</v>
      </c>
      <c r="DO263" s="399">
        <v>0</v>
      </c>
      <c r="DP263" s="399">
        <v>0</v>
      </c>
      <c r="DQ263" s="399">
        <v>0</v>
      </c>
      <c r="DR263" s="399">
        <v>0</v>
      </c>
      <c r="DS263" s="399"/>
      <c r="DT263" s="399"/>
      <c r="DU263" s="399">
        <v>2897.0250390371293</v>
      </c>
      <c r="DV263" s="399"/>
      <c r="DW263" s="399">
        <v>0</v>
      </c>
      <c r="DX263" s="399">
        <v>0</v>
      </c>
      <c r="DY263" s="399">
        <v>-61.100000000000364</v>
      </c>
      <c r="DZ263" s="399"/>
      <c r="EA263" s="399">
        <v>0</v>
      </c>
      <c r="EB263" s="399"/>
      <c r="EC263" s="399">
        <v>-130.47398447453543</v>
      </c>
      <c r="ED263" s="399"/>
      <c r="EE263" s="399">
        <v>0</v>
      </c>
      <c r="EF263" s="399">
        <v>0</v>
      </c>
      <c r="EG263" s="399"/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/>
      <c r="EN263" s="399"/>
      <c r="EO263" s="399">
        <v>0</v>
      </c>
      <c r="EP263" s="399">
        <v>0</v>
      </c>
      <c r="EQ263" s="399"/>
      <c r="ER263" s="399">
        <v>0</v>
      </c>
      <c r="ES263" s="399"/>
      <c r="ET263" s="399">
        <v>0</v>
      </c>
      <c r="EU263" s="399"/>
      <c r="EV263" s="399">
        <v>225</v>
      </c>
      <c r="EW263" s="399"/>
      <c r="EX263" s="399"/>
      <c r="EY263" s="399"/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957</v>
      </c>
      <c r="C264" s="399" t="s">
        <v>2357</v>
      </c>
      <c r="D264" s="399" t="s">
        <v>1826</v>
      </c>
      <c r="E264" s="399" t="s">
        <v>919</v>
      </c>
      <c r="F264" s="399" t="s">
        <v>1240</v>
      </c>
      <c r="G264" s="399" t="s">
        <v>1240</v>
      </c>
      <c r="H264" s="399" t="s">
        <v>1240</v>
      </c>
      <c r="I264" s="399" t="s">
        <v>1240</v>
      </c>
      <c r="J264" s="399" t="s">
        <v>2358</v>
      </c>
      <c r="K264" s="789">
        <v>44593</v>
      </c>
      <c r="L264" s="399">
        <v>0</v>
      </c>
      <c r="M264" s="399">
        <v>0</v>
      </c>
      <c r="N264" s="399">
        <v>885.84</v>
      </c>
      <c r="O264" s="399">
        <v>885.84</v>
      </c>
      <c r="P264" s="399">
        <v>885.84</v>
      </c>
      <c r="Q264" s="399">
        <v>885.84</v>
      </c>
      <c r="R264" s="399"/>
      <c r="S264" s="399">
        <v>522.37</v>
      </c>
      <c r="T264" s="399">
        <v>144.41999999999999</v>
      </c>
      <c r="U264" s="399"/>
      <c r="V264" s="399">
        <v>590669.25360000005</v>
      </c>
      <c r="W264" s="399">
        <v>590669.25360000005</v>
      </c>
      <c r="X264" s="399">
        <v>577337.36159999995</v>
      </c>
      <c r="Y264" s="399">
        <v>0</v>
      </c>
      <c r="Z264" s="399">
        <v>54391.440079407905</v>
      </c>
      <c r="AA264" s="399">
        <v>0</v>
      </c>
      <c r="AB264" s="399">
        <v>0</v>
      </c>
      <c r="AC264" s="399">
        <v>0</v>
      </c>
      <c r="AD264" s="399">
        <v>90323.482781592829</v>
      </c>
      <c r="AE264" s="399">
        <v>294016.69034899917</v>
      </c>
      <c r="AF264" s="399">
        <v>127934.62824482971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8400.2042676302481</v>
      </c>
      <c r="AM264" s="399"/>
      <c r="AN264" s="399">
        <v>1288.7689216951746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14313.690003504043</v>
      </c>
      <c r="BH264" s="399">
        <v>0</v>
      </c>
      <c r="BI264" s="399">
        <v>305.68</v>
      </c>
      <c r="BJ264" s="399">
        <v>1413</v>
      </c>
      <c r="BK264" s="399">
        <v>212590.37</v>
      </c>
      <c r="BL264" s="399">
        <v>1213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142248.31824833376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577337.36159999995</v>
      </c>
      <c r="CJ264" s="399">
        <v>-13331.922000000137</v>
      </c>
      <c r="CK264" s="399"/>
      <c r="CL264" s="399"/>
      <c r="CM264" s="399"/>
      <c r="CN264" s="399"/>
      <c r="CO264" s="399">
        <v>-18505.197599999989</v>
      </c>
      <c r="CP264" s="399">
        <v>5173.3056000000033</v>
      </c>
      <c r="CQ264" s="399">
        <v>29</v>
      </c>
      <c r="CR264" s="399">
        <v>-85.021820744383149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3780.1598372556327</v>
      </c>
      <c r="DA264" s="399">
        <v>0</v>
      </c>
      <c r="DB264" s="399">
        <v>0</v>
      </c>
      <c r="DC264" s="399">
        <v>5173.1216981455218</v>
      </c>
      <c r="DD264" s="399">
        <v>0</v>
      </c>
      <c r="DE264" s="399">
        <v>0</v>
      </c>
      <c r="DF264" s="399">
        <v>0</v>
      </c>
      <c r="DG264" s="399">
        <v>578.78356590010662</v>
      </c>
      <c r="DH264" s="399">
        <v>0</v>
      </c>
      <c r="DI264" s="399">
        <v>-8356.2175890392173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-1105.3371797153495</v>
      </c>
      <c r="DP264" s="399">
        <v>-155.53215329108298</v>
      </c>
      <c r="DQ264" s="399">
        <v>0</v>
      </c>
      <c r="DR264" s="399">
        <v>0</v>
      </c>
      <c r="DS264" s="399"/>
      <c r="DT264" s="399"/>
      <c r="DU264" s="399"/>
      <c r="DV264" s="399">
        <v>294016.69034899917</v>
      </c>
      <c r="DW264" s="399">
        <v>0</v>
      </c>
      <c r="DX264" s="399">
        <v>0</v>
      </c>
      <c r="DY264" s="399">
        <v>-18505.197600000014</v>
      </c>
      <c r="DZ264" s="399">
        <v>5173.3055999999924</v>
      </c>
      <c r="EA264" s="399">
        <v>0</v>
      </c>
      <c r="EB264" s="399">
        <v>0</v>
      </c>
      <c r="EC264" s="399">
        <v>-13241.697456850787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225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2359</v>
      </c>
      <c r="C265" s="399" t="s">
        <v>2357</v>
      </c>
      <c r="D265" s="399" t="s">
        <v>1826</v>
      </c>
      <c r="E265" s="399" t="s">
        <v>919</v>
      </c>
      <c r="F265" s="399" t="s">
        <v>1240</v>
      </c>
      <c r="G265" s="399" t="s">
        <v>1240</v>
      </c>
      <c r="H265" s="399" t="s">
        <v>1240</v>
      </c>
      <c r="I265" s="399" t="s">
        <v>1240</v>
      </c>
      <c r="J265" s="399" t="s">
        <v>2358</v>
      </c>
      <c r="K265" s="789">
        <v>44593</v>
      </c>
      <c r="L265" s="399">
        <v>0</v>
      </c>
      <c r="M265" s="399">
        <v>0</v>
      </c>
      <c r="N265" s="399">
        <v>-1.004</v>
      </c>
      <c r="O265" s="399">
        <v>-1.004</v>
      </c>
      <c r="P265" s="399">
        <v>-1.004</v>
      </c>
      <c r="Q265" s="399">
        <v>-1.004</v>
      </c>
      <c r="R265" s="399"/>
      <c r="S265" s="399">
        <v>522.37</v>
      </c>
      <c r="T265" s="399">
        <v>144.41999999999999</v>
      </c>
      <c r="U265" s="399"/>
      <c r="V265" s="399">
        <v>-669.45715999999993</v>
      </c>
      <c r="W265" s="399">
        <v>-669.45715999999993</v>
      </c>
      <c r="X265" s="399">
        <v>-654.34696000000008</v>
      </c>
      <c r="Y265" s="399">
        <v>0</v>
      </c>
      <c r="Z265" s="399">
        <v>-61.646579336816501</v>
      </c>
      <c r="AA265" s="399">
        <v>0</v>
      </c>
      <c r="AB265" s="399">
        <v>0</v>
      </c>
      <c r="AC265" s="399">
        <v>0</v>
      </c>
      <c r="AD265" s="399">
        <v>-102.37150807450465</v>
      </c>
      <c r="AE265" s="399">
        <v>-333.23484727534895</v>
      </c>
      <c r="AF265" s="399">
        <v>-144.99951092500794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-9.5206866755856243</v>
      </c>
      <c r="AM265" s="399"/>
      <c r="AN265" s="399">
        <v>-1.4606746109703279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-16.222957603537949</v>
      </c>
      <c r="BH265" s="399">
        <v>0</v>
      </c>
      <c r="BI265" s="399">
        <v>0</v>
      </c>
      <c r="BJ265" s="399">
        <v>0</v>
      </c>
      <c r="BK265" s="399">
        <v>-239.6</v>
      </c>
      <c r="BL265" s="399">
        <v>0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-161.2224685285459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-651.74</v>
      </c>
      <c r="CJ265" s="399">
        <v>17.687159999999949</v>
      </c>
      <c r="CK265" s="399"/>
      <c r="CL265" s="399"/>
      <c r="CM265" s="399"/>
      <c r="CN265" s="399"/>
      <c r="CO265" s="399">
        <v>20.973559999999985</v>
      </c>
      <c r="CP265" s="399">
        <v>-5.8633600000000037</v>
      </c>
      <c r="CQ265" s="399">
        <v>29</v>
      </c>
      <c r="CR265" s="399">
        <v>9.6362670490577784E-2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-4.2843859800919546</v>
      </c>
      <c r="DA265" s="399">
        <v>0</v>
      </c>
      <c r="DB265" s="399">
        <v>0</v>
      </c>
      <c r="DC265" s="399">
        <v>-5.8631515679333859</v>
      </c>
      <c r="DD265" s="399">
        <v>0</v>
      </c>
      <c r="DE265" s="399">
        <v>0</v>
      </c>
      <c r="DF265" s="399">
        <v>0</v>
      </c>
      <c r="DG265" s="399">
        <v>-0.65598606990394259</v>
      </c>
      <c r="DH265" s="399">
        <v>0</v>
      </c>
      <c r="DI265" s="399">
        <v>9.4708327230598854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1.252775363986963</v>
      </c>
      <c r="DP265" s="399">
        <v>0.17627820137298755</v>
      </c>
      <c r="DQ265" s="399">
        <v>0</v>
      </c>
      <c r="DR265" s="399">
        <v>0</v>
      </c>
      <c r="DS265" s="399"/>
      <c r="DT265" s="399"/>
      <c r="DU265" s="399"/>
      <c r="DV265" s="399">
        <v>-333.23484727534895</v>
      </c>
      <c r="DW265" s="399">
        <v>0</v>
      </c>
      <c r="DX265" s="399">
        <v>0</v>
      </c>
      <c r="DY265" s="399">
        <v>20.973559999999964</v>
      </c>
      <c r="DZ265" s="399">
        <v>-5.8633600000000285</v>
      </c>
      <c r="EA265" s="399">
        <v>0</v>
      </c>
      <c r="EB265" s="399">
        <v>0</v>
      </c>
      <c r="EC265" s="399">
        <v>15.007974630495539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225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2360</v>
      </c>
      <c r="C266" s="399" t="s">
        <v>2357</v>
      </c>
      <c r="D266" s="399" t="s">
        <v>1826</v>
      </c>
      <c r="E266" s="399" t="s">
        <v>919</v>
      </c>
      <c r="F266" s="399" t="s">
        <v>1240</v>
      </c>
      <c r="G266" s="399" t="s">
        <v>1240</v>
      </c>
      <c r="H266" s="399" t="s">
        <v>1240</v>
      </c>
      <c r="I266" s="399" t="s">
        <v>1240</v>
      </c>
      <c r="J266" s="399" t="s">
        <v>2358</v>
      </c>
      <c r="K266" s="789">
        <v>44593</v>
      </c>
      <c r="L266" s="399">
        <v>0</v>
      </c>
      <c r="M266" s="399">
        <v>0</v>
      </c>
      <c r="N266" s="399">
        <v>30.131</v>
      </c>
      <c r="O266" s="399">
        <v>30.131</v>
      </c>
      <c r="P266" s="399">
        <v>30.131</v>
      </c>
      <c r="Q266" s="399">
        <v>30.131</v>
      </c>
      <c r="R266" s="399"/>
      <c r="S266" s="399">
        <v>522.37</v>
      </c>
      <c r="T266" s="399">
        <v>144.41999999999999</v>
      </c>
      <c r="U266" s="399"/>
      <c r="V266" s="399">
        <v>20091.049489999998</v>
      </c>
      <c r="W266" s="399">
        <v>20091.049489999998</v>
      </c>
      <c r="X266" s="399">
        <v>19637.577939999999</v>
      </c>
      <c r="Y266" s="399">
        <v>0</v>
      </c>
      <c r="Z266" s="399">
        <v>1850.072790834281</v>
      </c>
      <c r="AA266" s="399">
        <v>0</v>
      </c>
      <c r="AB266" s="399">
        <v>0</v>
      </c>
      <c r="AC266" s="399">
        <v>0</v>
      </c>
      <c r="AD266" s="399">
        <v>3072.266842423207</v>
      </c>
      <c r="AE266" s="399">
        <v>10000.696397662889</v>
      </c>
      <c r="AF266" s="399">
        <v>4351.5739678101736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285.72491057975145</v>
      </c>
      <c r="AM266" s="399"/>
      <c r="AN266" s="399">
        <v>43.83624173620214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486.86646967350799</v>
      </c>
      <c r="BH266" s="399">
        <v>0</v>
      </c>
      <c r="BI266" s="399">
        <v>0.48</v>
      </c>
      <c r="BJ266" s="399">
        <v>2.2599999999999998</v>
      </c>
      <c r="BK266" s="399">
        <v>15540.83</v>
      </c>
      <c r="BL266" s="399">
        <v>46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4838.4404374836813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19636.926199999998</v>
      </c>
      <c r="CJ266" s="399">
        <v>-454.15329000000202</v>
      </c>
      <c r="CK266" s="399"/>
      <c r="CL266" s="399"/>
      <c r="CM266" s="399"/>
      <c r="CN266" s="399"/>
      <c r="CO266" s="399">
        <v>-629.43658999999957</v>
      </c>
      <c r="CP266" s="399">
        <v>175.9650400000001</v>
      </c>
      <c r="CQ266" s="399">
        <v>29</v>
      </c>
      <c r="CR266" s="399">
        <v>-2.891935881027166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128.57851988660423</v>
      </c>
      <c r="DA266" s="399">
        <v>0</v>
      </c>
      <c r="DB266" s="399">
        <v>0</v>
      </c>
      <c r="DC266" s="399">
        <v>175.95878475438258</v>
      </c>
      <c r="DD266" s="399">
        <v>0</v>
      </c>
      <c r="DE266" s="399">
        <v>0</v>
      </c>
      <c r="DF266" s="399">
        <v>0</v>
      </c>
      <c r="DG266" s="399">
        <v>19.686769195493696</v>
      </c>
      <c r="DH266" s="399">
        <v>0</v>
      </c>
      <c r="DI266" s="399">
        <v>-284.22874579533618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-37.596986546106763</v>
      </c>
      <c r="DP266" s="399">
        <v>-5.2902773760652195</v>
      </c>
      <c r="DQ266" s="399">
        <v>0</v>
      </c>
      <c r="DR266" s="399">
        <v>0</v>
      </c>
      <c r="DS266" s="399"/>
      <c r="DT266" s="399"/>
      <c r="DU266" s="399"/>
      <c r="DV266" s="399">
        <v>10000.696397662889</v>
      </c>
      <c r="DW266" s="399">
        <v>0</v>
      </c>
      <c r="DX266" s="399">
        <v>0</v>
      </c>
      <c r="DY266" s="399">
        <v>-629.43658999999934</v>
      </c>
      <c r="DZ266" s="399">
        <v>175.96504000000004</v>
      </c>
      <c r="EA266" s="399">
        <v>0</v>
      </c>
      <c r="EB266" s="399">
        <v>0</v>
      </c>
      <c r="EC266" s="399">
        <v>-450.40366891579833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225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957</v>
      </c>
      <c r="C267" s="399" t="s">
        <v>2366</v>
      </c>
      <c r="D267" s="399" t="s">
        <v>534</v>
      </c>
      <c r="E267" s="399" t="s">
        <v>919</v>
      </c>
      <c r="F267" s="399" t="s">
        <v>1240</v>
      </c>
      <c r="G267" s="399" t="s">
        <v>1240</v>
      </c>
      <c r="H267" s="399" t="s">
        <v>1240</v>
      </c>
      <c r="I267" s="399" t="s">
        <v>894</v>
      </c>
      <c r="J267" s="399" t="s">
        <v>2358</v>
      </c>
      <c r="K267" s="789">
        <v>44593</v>
      </c>
      <c r="L267" s="399">
        <v>0</v>
      </c>
      <c r="M267" s="399">
        <v>0</v>
      </c>
      <c r="N267" s="399">
        <v>8.3879999999999999</v>
      </c>
      <c r="O267" s="399">
        <v>8.3879999999999999</v>
      </c>
      <c r="P267" s="399">
        <v>8.3879999999999999</v>
      </c>
      <c r="Q267" s="399">
        <v>8.3879999999999999</v>
      </c>
      <c r="R267" s="399"/>
      <c r="S267" s="399">
        <v>2740.31</v>
      </c>
      <c r="T267" s="399">
        <v>144.41999999999999</v>
      </c>
      <c r="U267" s="399"/>
      <c r="V267" s="399">
        <v>24197.115239999999</v>
      </c>
      <c r="W267" s="399">
        <v>24197.115239999999</v>
      </c>
      <c r="X267" s="399">
        <v>23708.01096</v>
      </c>
      <c r="Y267" s="399">
        <v>0</v>
      </c>
      <c r="Z267" s="399">
        <v>448.07730229599474</v>
      </c>
      <c r="AA267" s="399">
        <v>0</v>
      </c>
      <c r="AB267" s="399">
        <v>0</v>
      </c>
      <c r="AC267" s="399">
        <v>0</v>
      </c>
      <c r="AD267" s="399">
        <v>6313.3356775188222</v>
      </c>
      <c r="AE267" s="399">
        <v>16088.24746357101</v>
      </c>
      <c r="AF267" s="399">
        <v>1211.4102566125164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79.541354417143637</v>
      </c>
      <c r="AM267" s="399"/>
      <c r="AN267" s="399">
        <v>4.1745834865397908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52.32939689205211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1263.7396535045684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23713.663800000002</v>
      </c>
      <c r="CJ267" s="399">
        <v>-483.48143999999229</v>
      </c>
      <c r="CK267" s="399"/>
      <c r="CL267" s="399"/>
      <c r="CM267" s="399"/>
      <c r="CN267" s="399"/>
      <c r="CO267" s="399">
        <v>-538.09020000000078</v>
      </c>
      <c r="CP267" s="399">
        <v>48.985920000000029</v>
      </c>
      <c r="CQ267" s="399">
        <v>29</v>
      </c>
      <c r="CR267" s="399">
        <v>235.51295407529415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264.22163132232799</v>
      </c>
      <c r="DA267" s="399">
        <v>0</v>
      </c>
      <c r="DB267" s="399">
        <v>0</v>
      </c>
      <c r="DC267" s="399">
        <v>48.984178637276273</v>
      </c>
      <c r="DD267" s="399">
        <v>0</v>
      </c>
      <c r="DE267" s="399">
        <v>0</v>
      </c>
      <c r="DF267" s="399">
        <v>0</v>
      </c>
      <c r="DG267" s="399">
        <v>2.1159739331484957</v>
      </c>
      <c r="DH267" s="399">
        <v>0</v>
      </c>
      <c r="DI267" s="399">
        <v>-68.838615584156003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-10.466414096735704</v>
      </c>
      <c r="DP267" s="399">
        <v>-0.50380013656824962</v>
      </c>
      <c r="DQ267" s="399">
        <v>0</v>
      </c>
      <c r="DR267" s="399">
        <v>0</v>
      </c>
      <c r="DS267" s="399"/>
      <c r="DT267" s="399"/>
      <c r="DU267" s="399"/>
      <c r="DV267" s="399">
        <v>16088.24746357101</v>
      </c>
      <c r="DW267" s="399">
        <v>0</v>
      </c>
      <c r="DX267" s="399">
        <v>0</v>
      </c>
      <c r="DY267" s="399">
        <v>-538.09019999999873</v>
      </c>
      <c r="DZ267" s="399">
        <v>48.985920000000078</v>
      </c>
      <c r="EA267" s="399">
        <v>0</v>
      </c>
      <c r="EB267" s="399">
        <v>0</v>
      </c>
      <c r="EC267" s="399">
        <v>-724.57010950872791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225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957</v>
      </c>
      <c r="C268" s="399" t="s">
        <v>2366</v>
      </c>
      <c r="D268" s="399" t="s">
        <v>534</v>
      </c>
      <c r="E268" s="399" t="s">
        <v>919</v>
      </c>
      <c r="F268" s="399" t="s">
        <v>1240</v>
      </c>
      <c r="G268" s="399" t="s">
        <v>1240</v>
      </c>
      <c r="H268" s="399" t="s">
        <v>1240</v>
      </c>
      <c r="I268" s="399" t="s">
        <v>2328</v>
      </c>
      <c r="J268" s="399" t="s">
        <v>2358</v>
      </c>
      <c r="K268" s="789">
        <v>44593</v>
      </c>
      <c r="L268" s="399">
        <v>0</v>
      </c>
      <c r="M268" s="399">
        <v>0</v>
      </c>
      <c r="N268" s="399">
        <v>453.76799999999997</v>
      </c>
      <c r="O268" s="399">
        <v>453.76799999999997</v>
      </c>
      <c r="P268" s="399">
        <v>453.76799999999997</v>
      </c>
      <c r="Q268" s="399">
        <v>453.76799999999997</v>
      </c>
      <c r="R268" s="399"/>
      <c r="S268" s="399">
        <v>69.64</v>
      </c>
      <c r="T268" s="399">
        <v>144.41999999999999</v>
      </c>
      <c r="U268" s="399"/>
      <c r="V268" s="399">
        <v>97133.578079999992</v>
      </c>
      <c r="W268" s="399">
        <v>97133.578079999992</v>
      </c>
      <c r="X268" s="399">
        <v>95581.691519999993</v>
      </c>
      <c r="Y268" s="399">
        <v>0</v>
      </c>
      <c r="Z268" s="399">
        <v>24239.764104464582</v>
      </c>
      <c r="AA268" s="399">
        <v>0</v>
      </c>
      <c r="AB268" s="399">
        <v>0</v>
      </c>
      <c r="AC268" s="399">
        <v>0</v>
      </c>
      <c r="AD268" s="399">
        <v>0</v>
      </c>
      <c r="AE268" s="399">
        <v>0</v>
      </c>
      <c r="AF268" s="399">
        <v>65534.002065158362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4302.9710671385828</v>
      </c>
      <c r="AM268" s="399"/>
      <c r="AN268" s="399">
        <v>225.83361939916401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2830.8781317254056</v>
      </c>
      <c r="BH268" s="399">
        <v>0</v>
      </c>
      <c r="BI268" s="399">
        <v>0</v>
      </c>
      <c r="BJ268" s="399">
        <v>0</v>
      </c>
      <c r="BK268" s="399">
        <v>0</v>
      </c>
      <c r="BL268" s="399">
        <v>0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68364.880196883765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95582.112799999988</v>
      </c>
      <c r="CJ268" s="399">
        <v>-1551.4952800000028</v>
      </c>
      <c r="CK268" s="399"/>
      <c r="CL268" s="399"/>
      <c r="CM268" s="399"/>
      <c r="CN268" s="399"/>
      <c r="CO268" s="399">
        <v>-4201.8916799999988</v>
      </c>
      <c r="CP268" s="399">
        <v>2650.0051200000012</v>
      </c>
      <c r="CQ268" s="399">
        <v>29</v>
      </c>
      <c r="CR268" s="399">
        <v>-1553.0614040334913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0</v>
      </c>
      <c r="DA268" s="399">
        <v>0</v>
      </c>
      <c r="DB268" s="399">
        <v>0</v>
      </c>
      <c r="DC268" s="399">
        <v>2649.9109170099546</v>
      </c>
      <c r="DD268" s="399">
        <v>0</v>
      </c>
      <c r="DE268" s="399">
        <v>0</v>
      </c>
      <c r="DF268" s="399">
        <v>0</v>
      </c>
      <c r="DG268" s="399">
        <v>114.46843820898039</v>
      </c>
      <c r="DH268" s="399">
        <v>0</v>
      </c>
      <c r="DI268" s="399">
        <v>-3723.981988124855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-566.20455315302388</v>
      </c>
      <c r="DP268" s="399">
        <v>-27.2542179745233</v>
      </c>
      <c r="DQ268" s="399">
        <v>0</v>
      </c>
      <c r="DR268" s="399">
        <v>0</v>
      </c>
      <c r="DS268" s="399"/>
      <c r="DT268" s="399"/>
      <c r="DU268" s="399"/>
      <c r="DV268" s="399">
        <v>0</v>
      </c>
      <c r="DW268" s="399">
        <v>0</v>
      </c>
      <c r="DX268" s="399">
        <v>0</v>
      </c>
      <c r="DY268" s="399">
        <v>-4201.8916800000006</v>
      </c>
      <c r="DZ268" s="399">
        <v>2650.0051199999943</v>
      </c>
      <c r="EA268" s="399">
        <v>0</v>
      </c>
      <c r="EB268" s="399">
        <v>0</v>
      </c>
      <c r="EC268" s="399">
        <v>0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225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957</v>
      </c>
      <c r="C269" s="399" t="s">
        <v>2366</v>
      </c>
      <c r="D269" s="399" t="s">
        <v>534</v>
      </c>
      <c r="E269" s="399" t="s">
        <v>919</v>
      </c>
      <c r="F269" s="399" t="s">
        <v>1240</v>
      </c>
      <c r="G269" s="399" t="s">
        <v>1240</v>
      </c>
      <c r="H269" s="399" t="s">
        <v>1240</v>
      </c>
      <c r="I269" s="399" t="s">
        <v>1240</v>
      </c>
      <c r="J269" s="399" t="s">
        <v>2358</v>
      </c>
      <c r="K269" s="789">
        <v>44593</v>
      </c>
      <c r="L269" s="399">
        <v>1882</v>
      </c>
      <c r="M269" s="399">
        <v>1882</v>
      </c>
      <c r="N269" s="399">
        <v>0</v>
      </c>
      <c r="O269" s="399">
        <v>0</v>
      </c>
      <c r="P269" s="399">
        <v>0</v>
      </c>
      <c r="Q269" s="399">
        <v>0</v>
      </c>
      <c r="R269" s="399">
        <v>34.950000000000003</v>
      </c>
      <c r="S269" s="399"/>
      <c r="T269" s="399"/>
      <c r="U269" s="399">
        <v>65775.900000000009</v>
      </c>
      <c r="V269" s="399"/>
      <c r="W269" s="399">
        <v>65775.900000000009</v>
      </c>
      <c r="X269" s="399">
        <v>64891.359999999993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23844.525040524433</v>
      </c>
      <c r="AE269" s="399">
        <v>41940.008642060595</v>
      </c>
      <c r="AF269" s="399"/>
      <c r="AG269" s="399"/>
      <c r="AH269" s="399"/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0</v>
      </c>
      <c r="AO269" s="399">
        <v>0</v>
      </c>
      <c r="AP269" s="399">
        <v>0</v>
      </c>
      <c r="AQ269" s="399">
        <v>0</v>
      </c>
      <c r="AR269" s="399">
        <v>0</v>
      </c>
      <c r="AS269" s="399"/>
      <c r="AT269" s="399"/>
      <c r="AU269" s="399">
        <v>0</v>
      </c>
      <c r="AV269" s="399">
        <v>0</v>
      </c>
      <c r="AW269" s="399">
        <v>0</v>
      </c>
      <c r="AX269" s="399"/>
      <c r="AY269" s="399"/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/>
      <c r="BG269" s="399">
        <v>0</v>
      </c>
      <c r="BH269" s="399">
        <v>0</v>
      </c>
      <c r="BI269" s="399">
        <v>0</v>
      </c>
      <c r="BJ269" s="399">
        <v>0</v>
      </c>
      <c r="BK269" s="399">
        <v>79698.03</v>
      </c>
      <c r="BL269" s="399">
        <v>14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0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64891.359999999993</v>
      </c>
      <c r="CJ269" s="399">
        <v>-884.56999999999971</v>
      </c>
      <c r="CK269" s="399"/>
      <c r="CL269" s="399"/>
      <c r="CM269" s="399"/>
      <c r="CN269" s="399"/>
      <c r="CO269" s="399">
        <v>-884.54000000001122</v>
      </c>
      <c r="CP269" s="399">
        <v>0</v>
      </c>
      <c r="CQ269" s="399">
        <v>29</v>
      </c>
      <c r="CR269" s="399">
        <v>997.92560163522649</v>
      </c>
      <c r="CS269" s="399">
        <v>0</v>
      </c>
      <c r="CT269" s="399">
        <v>0</v>
      </c>
      <c r="CU269" s="399">
        <v>0</v>
      </c>
      <c r="CV269" s="399">
        <v>0</v>
      </c>
      <c r="CW269" s="399"/>
      <c r="CX269" s="399"/>
      <c r="CY269" s="399"/>
      <c r="CZ269" s="399">
        <v>997.92560163522649</v>
      </c>
      <c r="DA269" s="399">
        <v>0</v>
      </c>
      <c r="DB269" s="399">
        <v>0</v>
      </c>
      <c r="DC269" s="399"/>
      <c r="DD269" s="399"/>
      <c r="DE269" s="399">
        <v>0</v>
      </c>
      <c r="DF269" s="399">
        <v>0</v>
      </c>
      <c r="DG269" s="399">
        <v>0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/>
      <c r="DN269" s="399">
        <v>0</v>
      </c>
      <c r="DO269" s="399">
        <v>0</v>
      </c>
      <c r="DP269" s="399">
        <v>0</v>
      </c>
      <c r="DQ269" s="399">
        <v>0</v>
      </c>
      <c r="DR269" s="399">
        <v>0</v>
      </c>
      <c r="DS269" s="399"/>
      <c r="DT269" s="399"/>
      <c r="DU269" s="399">
        <v>41940.008642060595</v>
      </c>
      <c r="DV269" s="399"/>
      <c r="DW269" s="399">
        <v>0</v>
      </c>
      <c r="DX269" s="399">
        <v>0</v>
      </c>
      <c r="DY269" s="399">
        <v>-884.54000000001543</v>
      </c>
      <c r="DZ269" s="399"/>
      <c r="EA269" s="399">
        <v>0</v>
      </c>
      <c r="EB269" s="399"/>
      <c r="EC269" s="399">
        <v>-1888.8618367775052</v>
      </c>
      <c r="ED269" s="399"/>
      <c r="EE269" s="399">
        <v>0</v>
      </c>
      <c r="EF269" s="399">
        <v>0</v>
      </c>
      <c r="EG269" s="399"/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/>
      <c r="EN269" s="399"/>
      <c r="EO269" s="399">
        <v>0</v>
      </c>
      <c r="EP269" s="399">
        <v>0</v>
      </c>
      <c r="EQ269" s="399"/>
      <c r="ER269" s="399">
        <v>0</v>
      </c>
      <c r="ES269" s="399"/>
      <c r="ET269" s="399">
        <v>0</v>
      </c>
      <c r="EU269" s="399"/>
      <c r="EV269" s="399">
        <v>225</v>
      </c>
      <c r="EW269" s="399"/>
      <c r="EX269" s="399"/>
      <c r="EY269" s="399"/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957</v>
      </c>
      <c r="C270" s="399" t="s">
        <v>2367</v>
      </c>
      <c r="D270" s="399" t="s">
        <v>1826</v>
      </c>
      <c r="E270" s="399" t="s">
        <v>919</v>
      </c>
      <c r="F270" s="399" t="s">
        <v>1240</v>
      </c>
      <c r="G270" s="399" t="s">
        <v>1240</v>
      </c>
      <c r="H270" s="399" t="s">
        <v>1240</v>
      </c>
      <c r="I270" s="399" t="s">
        <v>894</v>
      </c>
      <c r="J270" s="399" t="s">
        <v>2358</v>
      </c>
      <c r="K270" s="789">
        <v>44593</v>
      </c>
      <c r="L270" s="399">
        <v>0</v>
      </c>
      <c r="M270" s="399">
        <v>0</v>
      </c>
      <c r="N270" s="399">
        <v>8.6999999999999994E-2</v>
      </c>
      <c r="O270" s="399">
        <v>8.6999999999999994E-2</v>
      </c>
      <c r="P270" s="399">
        <v>8.6999999999999994E-2</v>
      </c>
      <c r="Q270" s="399">
        <v>8.6999999999999994E-2</v>
      </c>
      <c r="R270" s="399"/>
      <c r="S270" s="399">
        <v>1585.55</v>
      </c>
      <c r="T270" s="399">
        <v>144.41999999999999</v>
      </c>
      <c r="U270" s="399"/>
      <c r="V270" s="399">
        <v>150.50738999999999</v>
      </c>
      <c r="W270" s="399">
        <v>150.50738999999999</v>
      </c>
      <c r="X270" s="399">
        <v>146.92299</v>
      </c>
      <c r="Y270" s="399">
        <v>0</v>
      </c>
      <c r="Z270" s="399">
        <v>5.3418848628516287</v>
      </c>
      <c r="AA270" s="399">
        <v>0</v>
      </c>
      <c r="AB270" s="399">
        <v>0</v>
      </c>
      <c r="AC270" s="399">
        <v>0</v>
      </c>
      <c r="AD270" s="399">
        <v>30.621930682296998</v>
      </c>
      <c r="AE270" s="399">
        <v>99.621883024070399</v>
      </c>
      <c r="AF270" s="399">
        <v>12.564698655852281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0.82499974180871438</v>
      </c>
      <c r="AM270" s="399"/>
      <c r="AN270" s="399">
        <v>0.1265724015482256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1.4057742146492047</v>
      </c>
      <c r="BH270" s="399">
        <v>0</v>
      </c>
      <c r="BI270" s="399">
        <v>0</v>
      </c>
      <c r="BJ270" s="399">
        <v>0</v>
      </c>
      <c r="BK270" s="399">
        <v>0</v>
      </c>
      <c r="BL270" s="399">
        <v>0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13.970472870501485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151.98930000000001</v>
      </c>
      <c r="CJ270" s="399">
        <v>1.4519100000000549</v>
      </c>
      <c r="CK270" s="399"/>
      <c r="CL270" s="399"/>
      <c r="CM270" s="399"/>
      <c r="CN270" s="399"/>
      <c r="CO270" s="399">
        <v>-4.0924799999999966</v>
      </c>
      <c r="CP270" s="399">
        <v>0.50808000000000031</v>
      </c>
      <c r="CQ270" s="399">
        <v>29</v>
      </c>
      <c r="CR270" s="399">
        <v>0.90196248242939703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1.2815691882069693</v>
      </c>
      <c r="DA270" s="399">
        <v>0</v>
      </c>
      <c r="DB270" s="399">
        <v>0</v>
      </c>
      <c r="DC270" s="399">
        <v>0.50806193865558136</v>
      </c>
      <c r="DD270" s="399">
        <v>0</v>
      </c>
      <c r="DE270" s="399">
        <v>0</v>
      </c>
      <c r="DF270" s="399">
        <v>0</v>
      </c>
      <c r="DG270" s="399">
        <v>5.6843414423947358E-2</v>
      </c>
      <c r="DH270" s="399">
        <v>0</v>
      </c>
      <c r="DI270" s="399">
        <v>-0.82067972799423305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-0.10855722775584242</v>
      </c>
      <c r="DP270" s="399">
        <v>-1.5275103107021806E-2</v>
      </c>
      <c r="DQ270" s="399">
        <v>0</v>
      </c>
      <c r="DR270" s="399">
        <v>0</v>
      </c>
      <c r="DS270" s="399"/>
      <c r="DT270" s="399"/>
      <c r="DU270" s="399"/>
      <c r="DV270" s="399">
        <v>99.621883024070399</v>
      </c>
      <c r="DW270" s="399">
        <v>0</v>
      </c>
      <c r="DX270" s="399">
        <v>0</v>
      </c>
      <c r="DY270" s="399">
        <v>-4.0924799999999948</v>
      </c>
      <c r="DZ270" s="399">
        <v>0.50808000000000142</v>
      </c>
      <c r="EA270" s="399">
        <v>0</v>
      </c>
      <c r="EB270" s="399">
        <v>0</v>
      </c>
      <c r="EC270" s="399">
        <v>-4.4866937095331991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225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957</v>
      </c>
      <c r="C271" s="399" t="s">
        <v>2367</v>
      </c>
      <c r="D271" s="399" t="s">
        <v>1826</v>
      </c>
      <c r="E271" s="399" t="s">
        <v>919</v>
      </c>
      <c r="F271" s="399" t="s">
        <v>1240</v>
      </c>
      <c r="G271" s="399" t="s">
        <v>1240</v>
      </c>
      <c r="H271" s="399" t="s">
        <v>1240</v>
      </c>
      <c r="I271" s="399" t="s">
        <v>2328</v>
      </c>
      <c r="J271" s="399" t="s">
        <v>2358</v>
      </c>
      <c r="K271" s="789">
        <v>44593</v>
      </c>
      <c r="L271" s="399">
        <v>0</v>
      </c>
      <c r="M271" s="399">
        <v>0</v>
      </c>
      <c r="N271" s="399">
        <v>8.5079999999999991</v>
      </c>
      <c r="O271" s="399">
        <v>8.5079999999999991</v>
      </c>
      <c r="P271" s="399">
        <v>8.5079999999999991</v>
      </c>
      <c r="Q271" s="399">
        <v>8.5079999999999991</v>
      </c>
      <c r="R271" s="399"/>
      <c r="S271" s="399">
        <v>387.88</v>
      </c>
      <c r="T271" s="399">
        <v>144.41999999999999</v>
      </c>
      <c r="U271" s="399"/>
      <c r="V271" s="399">
        <v>4528.808399999999</v>
      </c>
      <c r="W271" s="399">
        <v>4528.808399999999</v>
      </c>
      <c r="X271" s="399">
        <v>4429.0095599999995</v>
      </c>
      <c r="Y271" s="399">
        <v>0</v>
      </c>
      <c r="Z271" s="399">
        <v>522.39949900162821</v>
      </c>
      <c r="AA271" s="399">
        <v>0</v>
      </c>
      <c r="AB271" s="399">
        <v>0</v>
      </c>
      <c r="AC271" s="399">
        <v>0</v>
      </c>
      <c r="AD271" s="399">
        <v>598.66537436210695</v>
      </c>
      <c r="AE271" s="399">
        <v>1948.4669663838636</v>
      </c>
      <c r="AF271" s="399">
        <v>1228.7408754481746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80.679285095500475</v>
      </c>
      <c r="AM271" s="399"/>
      <c r="AN271" s="399">
        <v>12.377907958302339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137.47502319810843</v>
      </c>
      <c r="BH271" s="399">
        <v>0</v>
      </c>
      <c r="BI271" s="399">
        <v>0</v>
      </c>
      <c r="BJ271" s="399">
        <v>0</v>
      </c>
      <c r="BK271" s="399">
        <v>0</v>
      </c>
      <c r="BL271" s="399">
        <v>0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1366.215898646283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4430.0506999999998</v>
      </c>
      <c r="CJ271" s="399">
        <v>-98.787699999999859</v>
      </c>
      <c r="CK271" s="399"/>
      <c r="CL271" s="399"/>
      <c r="CM271" s="399"/>
      <c r="CN271" s="399"/>
      <c r="CO271" s="399">
        <v>-149.48555999999994</v>
      </c>
      <c r="CP271" s="399">
        <v>49.686720000000022</v>
      </c>
      <c r="CQ271" s="399">
        <v>29</v>
      </c>
      <c r="CR271" s="399">
        <v>-12.06796276381192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25.054955083952791</v>
      </c>
      <c r="DA271" s="399">
        <v>0</v>
      </c>
      <c r="DB271" s="399">
        <v>0</v>
      </c>
      <c r="DC271" s="399">
        <v>49.684953725076866</v>
      </c>
      <c r="DD271" s="399">
        <v>0</v>
      </c>
      <c r="DE271" s="399">
        <v>0</v>
      </c>
      <c r="DF271" s="399">
        <v>0</v>
      </c>
      <c r="DG271" s="399">
        <v>5.5588939071142818</v>
      </c>
      <c r="DH271" s="399">
        <v>0</v>
      </c>
      <c r="DI271" s="399">
        <v>-80.256817537642917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-10.616148203985134</v>
      </c>
      <c r="DP271" s="399">
        <v>-1.4937997383280646</v>
      </c>
      <c r="DQ271" s="399">
        <v>0</v>
      </c>
      <c r="DR271" s="399">
        <v>0</v>
      </c>
      <c r="DS271" s="399"/>
      <c r="DT271" s="399"/>
      <c r="DU271" s="399"/>
      <c r="DV271" s="399">
        <v>1948.4669663838636</v>
      </c>
      <c r="DW271" s="399">
        <v>0</v>
      </c>
      <c r="DX271" s="399">
        <v>0</v>
      </c>
      <c r="DY271" s="399">
        <v>-149.48555999999962</v>
      </c>
      <c r="DZ271" s="399">
        <v>49.68672000000015</v>
      </c>
      <c r="EA271" s="399">
        <v>0</v>
      </c>
      <c r="EB271" s="399">
        <v>0</v>
      </c>
      <c r="EC271" s="399">
        <v>-87.753555904933364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225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957</v>
      </c>
      <c r="C272" s="399" t="s">
        <v>2367</v>
      </c>
      <c r="D272" s="399" t="s">
        <v>1826</v>
      </c>
      <c r="E272" s="399" t="s">
        <v>919</v>
      </c>
      <c r="F272" s="399" t="s">
        <v>1240</v>
      </c>
      <c r="G272" s="399" t="s">
        <v>1240</v>
      </c>
      <c r="H272" s="399" t="s">
        <v>1240</v>
      </c>
      <c r="I272" s="399" t="s">
        <v>1240</v>
      </c>
      <c r="J272" s="399" t="s">
        <v>2358</v>
      </c>
      <c r="K272" s="789">
        <v>44593</v>
      </c>
      <c r="L272" s="399">
        <v>0</v>
      </c>
      <c r="M272" s="399">
        <v>0</v>
      </c>
      <c r="N272" s="399">
        <v>0</v>
      </c>
      <c r="O272" s="399">
        <v>0</v>
      </c>
      <c r="P272" s="399">
        <v>0</v>
      </c>
      <c r="Q272" s="399">
        <v>0</v>
      </c>
      <c r="R272" s="399"/>
      <c r="S272" s="399"/>
      <c r="T272" s="399"/>
      <c r="U272" s="399"/>
      <c r="V272" s="399"/>
      <c r="W272" s="399"/>
      <c r="X272" s="399"/>
      <c r="Y272" s="399"/>
      <c r="Z272" s="399"/>
      <c r="AA272" s="399">
        <v>0</v>
      </c>
      <c r="AB272" s="399"/>
      <c r="AC272" s="399"/>
      <c r="AD272" s="399"/>
      <c r="AE272" s="399"/>
      <c r="AF272" s="399"/>
      <c r="AG272" s="399"/>
      <c r="AH272" s="399"/>
      <c r="AI272" s="399"/>
      <c r="AJ272" s="399"/>
      <c r="AK272" s="399"/>
      <c r="AL272" s="399"/>
      <c r="AM272" s="399"/>
      <c r="AN272" s="399"/>
      <c r="AO272" s="399"/>
      <c r="AP272" s="399"/>
      <c r="AQ272" s="399"/>
      <c r="AR272" s="399"/>
      <c r="AS272" s="399"/>
      <c r="AT272" s="399"/>
      <c r="AU272" s="399"/>
      <c r="AV272" s="399"/>
      <c r="AW272" s="399"/>
      <c r="AX272" s="399"/>
      <c r="AY272" s="399"/>
      <c r="AZ272" s="399">
        <v>0</v>
      </c>
      <c r="BA272" s="399"/>
      <c r="BB272" s="399"/>
      <c r="BC272" s="399"/>
      <c r="BD272" s="399"/>
      <c r="BE272" s="399"/>
      <c r="BF272" s="399"/>
      <c r="BG272" s="399"/>
      <c r="BH272" s="399"/>
      <c r="BI272" s="399">
        <v>0</v>
      </c>
      <c r="BJ272" s="399">
        <v>0</v>
      </c>
      <c r="BK272" s="399">
        <v>1838.35</v>
      </c>
      <c r="BL272" s="399">
        <v>4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/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/>
      <c r="CJ272" s="399">
        <v>-0.03</v>
      </c>
      <c r="CK272" s="399"/>
      <c r="CL272" s="399"/>
      <c r="CM272" s="399"/>
      <c r="CN272" s="399"/>
      <c r="CO272" s="399">
        <v>0</v>
      </c>
      <c r="CP272" s="399">
        <v>0</v>
      </c>
      <c r="CQ272" s="399">
        <v>29</v>
      </c>
      <c r="CR272" s="399"/>
      <c r="CS272" s="399"/>
      <c r="CT272" s="399"/>
      <c r="CU272" s="399"/>
      <c r="CV272" s="399"/>
      <c r="CW272" s="399"/>
      <c r="CX272" s="399"/>
      <c r="CY272" s="399"/>
      <c r="CZ272" s="399"/>
      <c r="DA272" s="399"/>
      <c r="DB272" s="399"/>
      <c r="DC272" s="399"/>
      <c r="DD272" s="399"/>
      <c r="DE272" s="399"/>
      <c r="DF272" s="399"/>
      <c r="DG272" s="399"/>
      <c r="DH272" s="399"/>
      <c r="DI272" s="399"/>
      <c r="DJ272" s="399"/>
      <c r="DK272" s="399">
        <v>0</v>
      </c>
      <c r="DL272" s="399"/>
      <c r="DM272" s="399"/>
      <c r="DN272" s="399"/>
      <c r="DO272" s="399"/>
      <c r="DP272" s="399"/>
      <c r="DQ272" s="399"/>
      <c r="DR272" s="399"/>
      <c r="DS272" s="399"/>
      <c r="DT272" s="399"/>
      <c r="DU272" s="399"/>
      <c r="DV272" s="399"/>
      <c r="DW272" s="399"/>
      <c r="DX272" s="399"/>
      <c r="DY272" s="399"/>
      <c r="DZ272" s="399"/>
      <c r="EA272" s="399"/>
      <c r="EB272" s="399"/>
      <c r="EC272" s="399"/>
      <c r="ED272" s="399"/>
      <c r="EE272" s="399"/>
      <c r="EF272" s="399"/>
      <c r="EG272" s="399"/>
      <c r="EH272" s="399"/>
      <c r="EI272" s="399"/>
      <c r="EJ272" s="399"/>
      <c r="EK272" s="399"/>
      <c r="EL272" s="399"/>
      <c r="EM272" s="399"/>
      <c r="EN272" s="399"/>
      <c r="EO272" s="399"/>
      <c r="EP272" s="399"/>
      <c r="EQ272" s="399"/>
      <c r="ER272" s="399"/>
      <c r="ES272" s="399"/>
      <c r="ET272" s="399"/>
      <c r="EU272" s="399"/>
      <c r="EV272" s="399">
        <v>225</v>
      </c>
      <c r="EW272" s="399"/>
      <c r="EX272" s="399"/>
      <c r="EY272" s="399"/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957</v>
      </c>
      <c r="C273" s="399" t="s">
        <v>2367</v>
      </c>
      <c r="D273" s="399" t="s">
        <v>1826</v>
      </c>
      <c r="E273" s="399" t="s">
        <v>919</v>
      </c>
      <c r="F273" s="399" t="s">
        <v>1240</v>
      </c>
      <c r="G273" s="399" t="s">
        <v>1240</v>
      </c>
      <c r="H273" s="399" t="s">
        <v>1240</v>
      </c>
      <c r="I273" s="399" t="s">
        <v>2368</v>
      </c>
      <c r="J273" s="399" t="s">
        <v>2358</v>
      </c>
      <c r="K273" s="789">
        <v>44593</v>
      </c>
      <c r="L273" s="399">
        <v>0</v>
      </c>
      <c r="M273" s="399">
        <v>0</v>
      </c>
      <c r="N273" s="399">
        <v>0.20699999999999999</v>
      </c>
      <c r="O273" s="399">
        <v>0.20699999999999999</v>
      </c>
      <c r="P273" s="399">
        <v>0.20699999999999999</v>
      </c>
      <c r="Q273" s="399">
        <v>0.20699999999999999</v>
      </c>
      <c r="R273" s="399"/>
      <c r="S273" s="399">
        <v>986.74</v>
      </c>
      <c r="T273" s="399">
        <v>144.41999999999999</v>
      </c>
      <c r="U273" s="399"/>
      <c r="V273" s="399">
        <v>234.15011999999999</v>
      </c>
      <c r="W273" s="399">
        <v>234.15011999999999</v>
      </c>
      <c r="X273" s="399">
        <v>228.67082999999997</v>
      </c>
      <c r="Y273" s="399">
        <v>0</v>
      </c>
      <c r="Z273" s="399">
        <v>12.710001915060772</v>
      </c>
      <c r="AA273" s="399">
        <v>0</v>
      </c>
      <c r="AB273" s="399">
        <v>0</v>
      </c>
      <c r="AC273" s="399">
        <v>0</v>
      </c>
      <c r="AD273" s="399">
        <v>43.717533004112276</v>
      </c>
      <c r="AE273" s="399">
        <v>142.21885121349095</v>
      </c>
      <c r="AF273" s="399">
        <v>29.8953174915106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1.962930420165562</v>
      </c>
      <c r="AM273" s="399"/>
      <c r="AN273" s="399">
        <v>0.30115502437336439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3.3447731314067286</v>
      </c>
      <c r="BH273" s="399">
        <v>0</v>
      </c>
      <c r="BI273" s="399">
        <v>0</v>
      </c>
      <c r="BJ273" s="399">
        <v>0</v>
      </c>
      <c r="BK273" s="399">
        <v>0</v>
      </c>
      <c r="BL273" s="399">
        <v>0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33.240090622917329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231.98489999999998</v>
      </c>
      <c r="CJ273" s="399">
        <v>-2.1952199999999777</v>
      </c>
      <c r="CK273" s="399"/>
      <c r="CL273" s="399"/>
      <c r="CM273" s="399"/>
      <c r="CN273" s="399"/>
      <c r="CO273" s="399">
        <v>-6.6881700000000119</v>
      </c>
      <c r="CP273" s="399">
        <v>1.2088800000000006</v>
      </c>
      <c r="CQ273" s="399">
        <v>29</v>
      </c>
      <c r="CR273" s="399">
        <v>0.9264356836042964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1.8296378456267774</v>
      </c>
      <c r="DA273" s="399">
        <v>0</v>
      </c>
      <c r="DB273" s="399">
        <v>0</v>
      </c>
      <c r="DC273" s="399">
        <v>1.2088370264563828</v>
      </c>
      <c r="DD273" s="399">
        <v>0</v>
      </c>
      <c r="DE273" s="399">
        <v>0</v>
      </c>
      <c r="DF273" s="399">
        <v>0</v>
      </c>
      <c r="DG273" s="399">
        <v>0.13524812397421915</v>
      </c>
      <c r="DH273" s="399">
        <v>0</v>
      </c>
      <c r="DI273" s="399">
        <v>-1.9526517666069694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-0.25829133500528023</v>
      </c>
      <c r="DP273" s="399">
        <v>-3.6344210840844993E-2</v>
      </c>
      <c r="DQ273" s="399">
        <v>0</v>
      </c>
      <c r="DR273" s="399">
        <v>0</v>
      </c>
      <c r="DS273" s="399"/>
      <c r="DT273" s="399"/>
      <c r="DU273" s="399"/>
      <c r="DV273" s="399">
        <v>142.21885121349095</v>
      </c>
      <c r="DW273" s="399">
        <v>0</v>
      </c>
      <c r="DX273" s="399">
        <v>0</v>
      </c>
      <c r="DY273" s="399">
        <v>-6.6881700000000137</v>
      </c>
      <c r="DZ273" s="399">
        <v>1.2088800000000006</v>
      </c>
      <c r="EA273" s="399">
        <v>0</v>
      </c>
      <c r="EB273" s="399">
        <v>0</v>
      </c>
      <c r="EC273" s="399">
        <v>-6.4051431848805294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225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957</v>
      </c>
      <c r="C274" s="399" t="s">
        <v>2357</v>
      </c>
      <c r="D274" s="399" t="s">
        <v>2369</v>
      </c>
      <c r="E274" s="399" t="s">
        <v>895</v>
      </c>
      <c r="F274" s="399" t="s">
        <v>1240</v>
      </c>
      <c r="G274" s="399" t="s">
        <v>1240</v>
      </c>
      <c r="H274" s="399" t="s">
        <v>1240</v>
      </c>
      <c r="I274" s="399" t="s">
        <v>1240</v>
      </c>
      <c r="J274" s="399" t="s">
        <v>2358</v>
      </c>
      <c r="K274" s="789">
        <v>44593</v>
      </c>
      <c r="L274" s="399">
        <v>0</v>
      </c>
      <c r="M274" s="399">
        <v>0</v>
      </c>
      <c r="N274" s="399">
        <v>268.94799999999998</v>
      </c>
      <c r="O274" s="399">
        <v>268.94799999999998</v>
      </c>
      <c r="P274" s="399">
        <v>268.94799999999998</v>
      </c>
      <c r="Q274" s="399">
        <v>268.94799999999998</v>
      </c>
      <c r="R274" s="399"/>
      <c r="S274" s="399">
        <v>522.37</v>
      </c>
      <c r="T274" s="399">
        <v>144.41999999999999</v>
      </c>
      <c r="U274" s="399"/>
      <c r="V274" s="399">
        <v>179331.83692</v>
      </c>
      <c r="W274" s="399">
        <v>179331.83692</v>
      </c>
      <c r="X274" s="399">
        <v>175284.16952</v>
      </c>
      <c r="Y274" s="399">
        <v>0</v>
      </c>
      <c r="Z274" s="399">
        <v>16513.669541312873</v>
      </c>
      <c r="AA274" s="399">
        <v>0</v>
      </c>
      <c r="AB274" s="399">
        <v>0</v>
      </c>
      <c r="AC274" s="399">
        <v>0</v>
      </c>
      <c r="AD274" s="399">
        <v>27422.920670938121</v>
      </c>
      <c r="AE274" s="399">
        <v>89265.782574711702</v>
      </c>
      <c r="AF274" s="399">
        <v>38841.960621771941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2550.3681673559786</v>
      </c>
      <c r="AM274" s="399"/>
      <c r="AN274" s="399">
        <v>391.28039369646189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4345.7490055341877</v>
      </c>
      <c r="BH274" s="399">
        <v>0</v>
      </c>
      <c r="BI274" s="399">
        <v>6.74</v>
      </c>
      <c r="BJ274" s="399">
        <v>31.29</v>
      </c>
      <c r="BK274" s="399">
        <v>34844.879999999997</v>
      </c>
      <c r="BL274" s="399">
        <v>755</v>
      </c>
      <c r="BM274" s="399"/>
      <c r="BN274" s="399"/>
      <c r="BO274" s="399"/>
      <c r="BP274" s="399"/>
      <c r="BQ274" s="399"/>
      <c r="BR274" s="399">
        <v>21031.733600000003</v>
      </c>
      <c r="BS274" s="399"/>
      <c r="BT274" s="399"/>
      <c r="BU274" s="399"/>
      <c r="BV274" s="399">
        <v>43187.709627306132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154253.58299999998</v>
      </c>
      <c r="CJ274" s="399">
        <v>-3557.0649599999888</v>
      </c>
      <c r="CK274" s="399"/>
      <c r="CL274" s="399"/>
      <c r="CM274" s="399"/>
      <c r="CN274" s="399"/>
      <c r="CO274" s="399">
        <v>-5618.3237199999958</v>
      </c>
      <c r="CP274" s="399">
        <v>1570.6563200000007</v>
      </c>
      <c r="CQ274" s="399">
        <v>29</v>
      </c>
      <c r="CR274" s="399">
        <v>-25.813294325795141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1147.6862953922027</v>
      </c>
      <c r="DA274" s="399">
        <v>0</v>
      </c>
      <c r="DB274" s="399">
        <v>0</v>
      </c>
      <c r="DC274" s="399">
        <v>1570.6004859487512</v>
      </c>
      <c r="DD274" s="399">
        <v>0</v>
      </c>
      <c r="DE274" s="399">
        <v>0</v>
      </c>
      <c r="DF274" s="399">
        <v>0</v>
      </c>
      <c r="DG274" s="399">
        <v>175.72324853438749</v>
      </c>
      <c r="DH274" s="399">
        <v>0</v>
      </c>
      <c r="DI274" s="399">
        <v>-2537.013465340151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-335.58907230434852</v>
      </c>
      <c r="DP274" s="399">
        <v>-47.220786556635687</v>
      </c>
      <c r="DQ274" s="399">
        <v>0</v>
      </c>
      <c r="DR274" s="399">
        <v>0</v>
      </c>
      <c r="DS274" s="399"/>
      <c r="DT274" s="399"/>
      <c r="DU274" s="399"/>
      <c r="DV274" s="399">
        <v>89265.782574711702</v>
      </c>
      <c r="DW274" s="399">
        <v>0</v>
      </c>
      <c r="DX274" s="399">
        <v>0</v>
      </c>
      <c r="DY274" s="399">
        <v>-5618.3237200000149</v>
      </c>
      <c r="DZ274" s="399">
        <v>1570.6563199999946</v>
      </c>
      <c r="EA274" s="399">
        <v>0</v>
      </c>
      <c r="EB274" s="399">
        <v>0</v>
      </c>
      <c r="EC274" s="399">
        <v>-4020.2836264168582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225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2359</v>
      </c>
      <c r="C275" s="399" t="s">
        <v>2357</v>
      </c>
      <c r="D275" s="399" t="s">
        <v>2369</v>
      </c>
      <c r="E275" s="399" t="s">
        <v>895</v>
      </c>
      <c r="F275" s="399" t="s">
        <v>1240</v>
      </c>
      <c r="G275" s="399" t="s">
        <v>1240</v>
      </c>
      <c r="H275" s="399" t="s">
        <v>1240</v>
      </c>
      <c r="I275" s="399" t="s">
        <v>1240</v>
      </c>
      <c r="J275" s="399" t="s">
        <v>2358</v>
      </c>
      <c r="K275" s="789">
        <v>44593</v>
      </c>
      <c r="L275" s="399">
        <v>0</v>
      </c>
      <c r="M275" s="399">
        <v>0</v>
      </c>
      <c r="N275" s="399">
        <v>-0.13300000000000001</v>
      </c>
      <c r="O275" s="399">
        <v>-0.13300000000000001</v>
      </c>
      <c r="P275" s="399">
        <v>-0.13300000000000001</v>
      </c>
      <c r="Q275" s="399">
        <v>-0.13300000000000001</v>
      </c>
      <c r="R275" s="399"/>
      <c r="S275" s="399">
        <v>522.37</v>
      </c>
      <c r="T275" s="399">
        <v>144.41999999999999</v>
      </c>
      <c r="U275" s="399"/>
      <c r="V275" s="399">
        <v>-88.683070000000001</v>
      </c>
      <c r="W275" s="399">
        <v>-88.683070000000001</v>
      </c>
      <c r="X275" s="399">
        <v>-86.681420000000003</v>
      </c>
      <c r="Y275" s="399">
        <v>0</v>
      </c>
      <c r="Z275" s="399">
        <v>-8.166329732865135</v>
      </c>
      <c r="AA275" s="399">
        <v>0</v>
      </c>
      <c r="AB275" s="399">
        <v>0</v>
      </c>
      <c r="AC275" s="399">
        <v>0</v>
      </c>
      <c r="AD275" s="399">
        <v>-13.561165910268047</v>
      </c>
      <c r="AE275" s="399">
        <v>-44.143660047431688</v>
      </c>
      <c r="AF275" s="399">
        <v>-19.208102542854636</v>
      </c>
      <c r="AG275" s="399">
        <v>0</v>
      </c>
      <c r="AH275" s="399">
        <v>0</v>
      </c>
      <c r="AI275" s="399">
        <v>0</v>
      </c>
      <c r="AJ275" s="399">
        <v>0</v>
      </c>
      <c r="AK275" s="399">
        <v>0</v>
      </c>
      <c r="AL275" s="399">
        <v>-1.2612065018455061</v>
      </c>
      <c r="AM275" s="399"/>
      <c r="AN275" s="399">
        <v>-0.19349574029786218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-2.1490571327395891</v>
      </c>
      <c r="BH275" s="399">
        <v>0</v>
      </c>
      <c r="BI275" s="399">
        <v>0</v>
      </c>
      <c r="BJ275" s="399">
        <v>0</v>
      </c>
      <c r="BK275" s="399">
        <v>-13.13</v>
      </c>
      <c r="BL275" s="399">
        <v>0</v>
      </c>
      <c r="BM275" s="399"/>
      <c r="BN275" s="399"/>
      <c r="BO275" s="399"/>
      <c r="BP275" s="399"/>
      <c r="BQ275" s="399"/>
      <c r="BR275" s="399">
        <v>-10.400600000000003</v>
      </c>
      <c r="BS275" s="399"/>
      <c r="BT275" s="399"/>
      <c r="BU275" s="399"/>
      <c r="BV275" s="399">
        <v>-21.357159675594225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-74.560199999999995</v>
      </c>
      <c r="CJ275" s="399">
        <v>3.4502100000000127</v>
      </c>
      <c r="CK275" s="399"/>
      <c r="CL275" s="399"/>
      <c r="CM275" s="399"/>
      <c r="CN275" s="399"/>
      <c r="CO275" s="399">
        <v>2.7783699999999985</v>
      </c>
      <c r="CP275" s="399">
        <v>-0.77672000000000052</v>
      </c>
      <c r="CQ275" s="399">
        <v>29</v>
      </c>
      <c r="CR275" s="399">
        <v>1.2765174477330277E-2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-0.56755312286078663</v>
      </c>
      <c r="DA275" s="399">
        <v>0</v>
      </c>
      <c r="DB275" s="399">
        <v>0</v>
      </c>
      <c r="DC275" s="399">
        <v>-0.77669238897922455</v>
      </c>
      <c r="DD275" s="399">
        <v>0</v>
      </c>
      <c r="DE275" s="399">
        <v>0</v>
      </c>
      <c r="DF275" s="399">
        <v>0</v>
      </c>
      <c r="DG275" s="399">
        <v>-8.6898553084885144E-2</v>
      </c>
      <c r="DH275" s="399">
        <v>0</v>
      </c>
      <c r="DI275" s="399">
        <v>1.2546023427957822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0.16595530220146038</v>
      </c>
      <c r="DP275" s="399">
        <v>2.335159440498738E-2</v>
      </c>
      <c r="DQ275" s="399">
        <v>0</v>
      </c>
      <c r="DR275" s="399">
        <v>0</v>
      </c>
      <c r="DS275" s="399"/>
      <c r="DT275" s="399"/>
      <c r="DU275" s="399"/>
      <c r="DV275" s="399">
        <v>-44.143660047431688</v>
      </c>
      <c r="DW275" s="399">
        <v>0</v>
      </c>
      <c r="DX275" s="399">
        <v>0</v>
      </c>
      <c r="DY275" s="399">
        <v>2.7783699999999953</v>
      </c>
      <c r="DZ275" s="399">
        <v>-0.77672000000000097</v>
      </c>
      <c r="EA275" s="399">
        <v>0</v>
      </c>
      <c r="EB275" s="399">
        <v>0</v>
      </c>
      <c r="EC275" s="399">
        <v>1.9881081930835762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225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2360</v>
      </c>
      <c r="C276" s="399" t="s">
        <v>2357</v>
      </c>
      <c r="D276" s="399" t="s">
        <v>2369</v>
      </c>
      <c r="E276" s="399" t="s">
        <v>895</v>
      </c>
      <c r="F276" s="399" t="s">
        <v>1240</v>
      </c>
      <c r="G276" s="399" t="s">
        <v>1240</v>
      </c>
      <c r="H276" s="399" t="s">
        <v>1240</v>
      </c>
      <c r="I276" s="399" t="s">
        <v>1240</v>
      </c>
      <c r="J276" s="399" t="s">
        <v>2358</v>
      </c>
      <c r="K276" s="789">
        <v>44593</v>
      </c>
      <c r="L276" s="399">
        <v>0</v>
      </c>
      <c r="M276" s="399">
        <v>0</v>
      </c>
      <c r="N276" s="399">
        <v>1.24</v>
      </c>
      <c r="O276" s="399">
        <v>1.24</v>
      </c>
      <c r="P276" s="399">
        <v>1.24</v>
      </c>
      <c r="Q276" s="399">
        <v>1.24</v>
      </c>
      <c r="R276" s="399"/>
      <c r="S276" s="399">
        <v>522.37</v>
      </c>
      <c r="T276" s="399">
        <v>144.41999999999999</v>
      </c>
      <c r="U276" s="399"/>
      <c r="V276" s="399">
        <v>826.81959999999992</v>
      </c>
      <c r="W276" s="399">
        <v>826.81959999999992</v>
      </c>
      <c r="X276" s="399">
        <v>808.1576</v>
      </c>
      <c r="Y276" s="399">
        <v>0</v>
      </c>
      <c r="Z276" s="399">
        <v>76.137209539494492</v>
      </c>
      <c r="AA276" s="399">
        <v>0</v>
      </c>
      <c r="AB276" s="399">
        <v>0</v>
      </c>
      <c r="AC276" s="399">
        <v>0</v>
      </c>
      <c r="AD276" s="399">
        <v>126.43493029122088</v>
      </c>
      <c r="AE276" s="399">
        <v>411.56495081816007</v>
      </c>
      <c r="AF276" s="399">
        <v>179.08306130180262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11.758617009687425</v>
      </c>
      <c r="AM276" s="399"/>
      <c r="AN276" s="399">
        <v>1.8040204358597676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20.03632213982775</v>
      </c>
      <c r="BH276" s="399">
        <v>0</v>
      </c>
      <c r="BI276" s="399">
        <v>0</v>
      </c>
      <c r="BJ276" s="399">
        <v>0</v>
      </c>
      <c r="BK276" s="399">
        <v>768.85</v>
      </c>
      <c r="BL276" s="399">
        <v>10</v>
      </c>
      <c r="BM276" s="399"/>
      <c r="BN276" s="399"/>
      <c r="BO276" s="399"/>
      <c r="BP276" s="399"/>
      <c r="BQ276" s="399"/>
      <c r="BR276" s="399">
        <v>96.968000000000032</v>
      </c>
      <c r="BS276" s="399"/>
      <c r="BT276" s="399"/>
      <c r="BU276" s="399"/>
      <c r="BV276" s="399">
        <v>199.11938344163036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711.18959999999993</v>
      </c>
      <c r="CJ276" s="399">
        <v>-16.435200000000009</v>
      </c>
      <c r="CK276" s="399"/>
      <c r="CL276" s="399"/>
      <c r="CM276" s="399"/>
      <c r="CN276" s="399"/>
      <c r="CO276" s="399">
        <v>-25.903599999999983</v>
      </c>
      <c r="CP276" s="399">
        <v>7.2416000000000045</v>
      </c>
      <c r="CQ276" s="399">
        <v>29</v>
      </c>
      <c r="CR276" s="399">
        <v>-0.11901365678119191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5.2914727244163515</v>
      </c>
      <c r="DA276" s="399">
        <v>0</v>
      </c>
      <c r="DB276" s="399">
        <v>0</v>
      </c>
      <c r="DC276" s="399">
        <v>7.2413425739416368</v>
      </c>
      <c r="DD276" s="399">
        <v>0</v>
      </c>
      <c r="DE276" s="399">
        <v>0</v>
      </c>
      <c r="DF276" s="399">
        <v>0</v>
      </c>
      <c r="DG276" s="399">
        <v>0.8101819986861436</v>
      </c>
      <c r="DH276" s="399">
        <v>0</v>
      </c>
      <c r="DI276" s="399">
        <v>-11.697044398998273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-1.5472524415775251</v>
      </c>
      <c r="DP276" s="399">
        <v>-0.2177141132495064</v>
      </c>
      <c r="DQ276" s="399">
        <v>0</v>
      </c>
      <c r="DR276" s="399">
        <v>0</v>
      </c>
      <c r="DS276" s="399"/>
      <c r="DT276" s="399"/>
      <c r="DU276" s="399"/>
      <c r="DV276" s="399">
        <v>411.56495081816007</v>
      </c>
      <c r="DW276" s="399">
        <v>0</v>
      </c>
      <c r="DX276" s="399">
        <v>0</v>
      </c>
      <c r="DY276" s="399">
        <v>-25.903599999999983</v>
      </c>
      <c r="DZ276" s="399">
        <v>7.2416000000000054</v>
      </c>
      <c r="EA276" s="399">
        <v>0</v>
      </c>
      <c r="EB276" s="399">
        <v>0</v>
      </c>
      <c r="EC276" s="399">
        <v>-18.535745559576185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225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957</v>
      </c>
      <c r="C277" s="399" t="s">
        <v>2366</v>
      </c>
      <c r="D277" s="399" t="s">
        <v>534</v>
      </c>
      <c r="E277" s="399" t="s">
        <v>895</v>
      </c>
      <c r="F277" s="399" t="s">
        <v>1240</v>
      </c>
      <c r="G277" s="399" t="s">
        <v>1240</v>
      </c>
      <c r="H277" s="399" t="s">
        <v>1240</v>
      </c>
      <c r="I277" s="399" t="s">
        <v>894</v>
      </c>
      <c r="J277" s="399" t="s">
        <v>2358</v>
      </c>
      <c r="K277" s="789">
        <v>44593</v>
      </c>
      <c r="L277" s="399">
        <v>0</v>
      </c>
      <c r="M277" s="399">
        <v>0</v>
      </c>
      <c r="N277" s="399">
        <v>0.27</v>
      </c>
      <c r="O277" s="399">
        <v>0.25919999999999999</v>
      </c>
      <c r="P277" s="399">
        <v>0.27</v>
      </c>
      <c r="Q277" s="399">
        <v>0.25919999999999999</v>
      </c>
      <c r="R277" s="399"/>
      <c r="S277" s="399">
        <v>2740.31</v>
      </c>
      <c r="T277" s="399">
        <v>144.41999999999999</v>
      </c>
      <c r="U277" s="399"/>
      <c r="V277" s="399">
        <v>778.87710000000004</v>
      </c>
      <c r="W277" s="399">
        <v>778.87710000000004</v>
      </c>
      <c r="X277" s="399">
        <v>763.13340000000005</v>
      </c>
      <c r="Y277" s="399">
        <v>0</v>
      </c>
      <c r="Z277" s="399">
        <v>14.423089129699402</v>
      </c>
      <c r="AA277" s="399">
        <v>0</v>
      </c>
      <c r="AB277" s="399">
        <v>0</v>
      </c>
      <c r="AC277" s="399">
        <v>0</v>
      </c>
      <c r="AD277" s="399">
        <v>203.21895957678612</v>
      </c>
      <c r="AE277" s="399">
        <v>517.8620428188093</v>
      </c>
      <c r="AF277" s="399">
        <v>38.993892380231216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2.5603440263029071</v>
      </c>
      <c r="AM277" s="399"/>
      <c r="AN277" s="399">
        <v>0.13437500493153834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1.6844226467398749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>
        <v>30.525336000000088</v>
      </c>
      <c r="BS277" s="399"/>
      <c r="BT277" s="399"/>
      <c r="BU277" s="399"/>
      <c r="BV277" s="399">
        <v>40.678315026971092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734.86919999999998</v>
      </c>
      <c r="CJ277" s="399">
        <v>-12.882815999999934</v>
      </c>
      <c r="CK277" s="399"/>
      <c r="CL277" s="399"/>
      <c r="CM277" s="399"/>
      <c r="CN277" s="399"/>
      <c r="CO277" s="399">
        <v>-17.320500000000024</v>
      </c>
      <c r="CP277" s="399">
        <v>1.5768000000000011</v>
      </c>
      <c r="CQ277" s="399">
        <v>29</v>
      </c>
      <c r="CR277" s="399">
        <v>7.5808890796768083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8.5049881326929722</v>
      </c>
      <c r="DA277" s="399">
        <v>0</v>
      </c>
      <c r="DB277" s="399">
        <v>0</v>
      </c>
      <c r="DC277" s="399">
        <v>1.5767439475518117</v>
      </c>
      <c r="DD277" s="399">
        <v>0</v>
      </c>
      <c r="DE277" s="399">
        <v>0</v>
      </c>
      <c r="DF277" s="399">
        <v>0</v>
      </c>
      <c r="DG277" s="399">
        <v>6.8110748921089037E-2</v>
      </c>
      <c r="DH277" s="399">
        <v>0</v>
      </c>
      <c r="DI277" s="399">
        <v>-2.2158352655844222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-0.33690174131123518</v>
      </c>
      <c r="DP277" s="399">
        <v>-1.6216742593398586E-2</v>
      </c>
      <c r="DQ277" s="399">
        <v>0</v>
      </c>
      <c r="DR277" s="399">
        <v>0</v>
      </c>
      <c r="DS277" s="399"/>
      <c r="DT277" s="399"/>
      <c r="DU277" s="399"/>
      <c r="DV277" s="399">
        <v>517.8620428188093</v>
      </c>
      <c r="DW277" s="399">
        <v>0</v>
      </c>
      <c r="DX277" s="399">
        <v>0</v>
      </c>
      <c r="DY277" s="399">
        <v>-17.320500000000038</v>
      </c>
      <c r="DZ277" s="399">
        <v>1.5767999999999986</v>
      </c>
      <c r="EA277" s="399">
        <v>0</v>
      </c>
      <c r="EB277" s="399">
        <v>0</v>
      </c>
      <c r="EC277" s="399">
        <v>-23.323072194486883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225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957</v>
      </c>
      <c r="C278" s="399" t="s">
        <v>2366</v>
      </c>
      <c r="D278" s="399" t="s">
        <v>534</v>
      </c>
      <c r="E278" s="399" t="s">
        <v>895</v>
      </c>
      <c r="F278" s="399" t="s">
        <v>1240</v>
      </c>
      <c r="G278" s="399" t="s">
        <v>1240</v>
      </c>
      <c r="H278" s="399" t="s">
        <v>1240</v>
      </c>
      <c r="I278" s="399" t="s">
        <v>2328</v>
      </c>
      <c r="J278" s="399" t="s">
        <v>2358</v>
      </c>
      <c r="K278" s="789">
        <v>44593</v>
      </c>
      <c r="L278" s="399">
        <v>0</v>
      </c>
      <c r="M278" s="399">
        <v>0</v>
      </c>
      <c r="N278" s="399">
        <v>40.496000000000002</v>
      </c>
      <c r="O278" s="399">
        <v>38.876159999999999</v>
      </c>
      <c r="P278" s="399">
        <v>40.496000000000002</v>
      </c>
      <c r="Q278" s="399">
        <v>38.876159999999999</v>
      </c>
      <c r="R278" s="399"/>
      <c r="S278" s="399">
        <v>69.64</v>
      </c>
      <c r="T278" s="399">
        <v>144.41999999999999</v>
      </c>
      <c r="U278" s="399"/>
      <c r="V278" s="399">
        <v>8668.5737599999993</v>
      </c>
      <c r="W278" s="399">
        <v>8668.5737599999993</v>
      </c>
      <c r="X278" s="399">
        <v>8530.0774400000009</v>
      </c>
      <c r="Y278" s="399">
        <v>0</v>
      </c>
      <c r="Z278" s="399">
        <v>2163.2496940603965</v>
      </c>
      <c r="AA278" s="399">
        <v>0</v>
      </c>
      <c r="AB278" s="399">
        <v>0</v>
      </c>
      <c r="AC278" s="399">
        <v>0</v>
      </c>
      <c r="AD278" s="399">
        <v>0</v>
      </c>
      <c r="AE278" s="399">
        <v>0</v>
      </c>
      <c r="AF278" s="399">
        <v>5848.5061697401607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384.01367292282418</v>
      </c>
      <c r="AM278" s="399"/>
      <c r="AN278" s="399">
        <v>20.154259998916952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252.6384426013999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>
        <v>341.20309760000072</v>
      </c>
      <c r="BS278" s="399"/>
      <c r="BT278" s="399"/>
      <c r="BU278" s="399"/>
      <c r="BV278" s="399">
        <v>6101.1446123415608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8189.6832000000004</v>
      </c>
      <c r="CJ278" s="399">
        <v>-132.17760960000032</v>
      </c>
      <c r="CK278" s="399"/>
      <c r="CL278" s="399"/>
      <c r="CM278" s="399"/>
      <c r="CN278" s="399"/>
      <c r="CO278" s="399">
        <v>-374.99295999999993</v>
      </c>
      <c r="CP278" s="399">
        <v>236.49664000000016</v>
      </c>
      <c r="CQ278" s="399">
        <v>29</v>
      </c>
      <c r="CR278" s="399">
        <v>-138.60116759608172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0</v>
      </c>
      <c r="DA278" s="399">
        <v>0</v>
      </c>
      <c r="DB278" s="399">
        <v>0</v>
      </c>
      <c r="DC278" s="399">
        <v>236.48823296317823</v>
      </c>
      <c r="DD278" s="399">
        <v>0</v>
      </c>
      <c r="DE278" s="399">
        <v>0</v>
      </c>
      <c r="DF278" s="399">
        <v>0</v>
      </c>
      <c r="DG278" s="399">
        <v>10.215603290031197</v>
      </c>
      <c r="DH278" s="399">
        <v>0</v>
      </c>
      <c r="DI278" s="399">
        <v>-332.34246264854369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-50.530270059776967</v>
      </c>
      <c r="DP278" s="399">
        <v>-2.4322711409713698</v>
      </c>
      <c r="DQ278" s="399">
        <v>0</v>
      </c>
      <c r="DR278" s="399">
        <v>0</v>
      </c>
      <c r="DS278" s="399"/>
      <c r="DT278" s="399"/>
      <c r="DU278" s="399"/>
      <c r="DV278" s="399">
        <v>0</v>
      </c>
      <c r="DW278" s="399">
        <v>0</v>
      </c>
      <c r="DX278" s="399">
        <v>0</v>
      </c>
      <c r="DY278" s="399">
        <v>-374.99296000000004</v>
      </c>
      <c r="DZ278" s="399">
        <v>236.4966400000003</v>
      </c>
      <c r="EA278" s="399">
        <v>0</v>
      </c>
      <c r="EB278" s="399">
        <v>0</v>
      </c>
      <c r="EC278" s="399">
        <v>0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225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957</v>
      </c>
      <c r="C279" s="399" t="s">
        <v>2366</v>
      </c>
      <c r="D279" s="399" t="s">
        <v>534</v>
      </c>
      <c r="E279" s="399" t="s">
        <v>895</v>
      </c>
      <c r="F279" s="399" t="s">
        <v>1240</v>
      </c>
      <c r="G279" s="399" t="s">
        <v>1240</v>
      </c>
      <c r="H279" s="399" t="s">
        <v>1240</v>
      </c>
      <c r="I279" s="399" t="s">
        <v>1240</v>
      </c>
      <c r="J279" s="399" t="s">
        <v>2358</v>
      </c>
      <c r="K279" s="789">
        <v>44593</v>
      </c>
      <c r="L279" s="399">
        <v>163</v>
      </c>
      <c r="M279" s="399">
        <v>156.47999999999999</v>
      </c>
      <c r="N279" s="399">
        <v>0</v>
      </c>
      <c r="O279" s="399">
        <v>0</v>
      </c>
      <c r="P279" s="399">
        <v>0</v>
      </c>
      <c r="Q279" s="399">
        <v>0</v>
      </c>
      <c r="R279" s="399">
        <v>34.950000000000003</v>
      </c>
      <c r="S279" s="399"/>
      <c r="T279" s="399"/>
      <c r="U279" s="399">
        <v>5696.85</v>
      </c>
      <c r="V279" s="399"/>
      <c r="W279" s="399">
        <v>5696.85</v>
      </c>
      <c r="X279" s="399">
        <v>5620.24</v>
      </c>
      <c r="Y279" s="399">
        <v>0</v>
      </c>
      <c r="Z279" s="399">
        <v>0</v>
      </c>
      <c r="AA279" s="399">
        <v>0</v>
      </c>
      <c r="AB279" s="399">
        <v>0</v>
      </c>
      <c r="AC279" s="399">
        <v>0</v>
      </c>
      <c r="AD279" s="399">
        <v>2065.1740603642311</v>
      </c>
      <c r="AE279" s="399">
        <v>3632.4237027927079</v>
      </c>
      <c r="AF279" s="399"/>
      <c r="AG279" s="399"/>
      <c r="AH279" s="399"/>
      <c r="AI279" s="399">
        <v>0</v>
      </c>
      <c r="AJ279" s="399">
        <v>0</v>
      </c>
      <c r="AK279" s="399">
        <v>0</v>
      </c>
      <c r="AL279" s="399">
        <v>0</v>
      </c>
      <c r="AM279" s="399"/>
      <c r="AN279" s="399">
        <v>0</v>
      </c>
      <c r="AO279" s="399">
        <v>0</v>
      </c>
      <c r="AP279" s="399">
        <v>0</v>
      </c>
      <c r="AQ279" s="399">
        <v>0</v>
      </c>
      <c r="AR279" s="399">
        <v>0</v>
      </c>
      <c r="AS279" s="399"/>
      <c r="AT279" s="399"/>
      <c r="AU279" s="399">
        <v>0</v>
      </c>
      <c r="AV279" s="399">
        <v>0</v>
      </c>
      <c r="AW279" s="399">
        <v>0</v>
      </c>
      <c r="AX279" s="399"/>
      <c r="AY279" s="399"/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/>
      <c r="BG279" s="399">
        <v>0</v>
      </c>
      <c r="BH279" s="399">
        <v>0</v>
      </c>
      <c r="BI279" s="399">
        <v>0</v>
      </c>
      <c r="BJ279" s="399">
        <v>0</v>
      </c>
      <c r="BK279" s="399">
        <v>6524.52</v>
      </c>
      <c r="BL279" s="399">
        <v>1</v>
      </c>
      <c r="BM279" s="399"/>
      <c r="BN279" s="399"/>
      <c r="BO279" s="399"/>
      <c r="BP279" s="399"/>
      <c r="BQ279" s="399"/>
      <c r="BR279" s="399">
        <v>224.80960000000033</v>
      </c>
      <c r="BS279" s="399"/>
      <c r="BT279" s="399"/>
      <c r="BU279" s="399"/>
      <c r="BV279" s="399">
        <v>0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5395.4303999999993</v>
      </c>
      <c r="CJ279" s="399">
        <v>-73.575600000001032</v>
      </c>
      <c r="CK279" s="399"/>
      <c r="CL279" s="399"/>
      <c r="CM279" s="399"/>
      <c r="CN279" s="399"/>
      <c r="CO279" s="399">
        <v>-76.61000000000098</v>
      </c>
      <c r="CP279" s="399">
        <v>0</v>
      </c>
      <c r="CQ279" s="399">
        <v>29</v>
      </c>
      <c r="CR279" s="399">
        <v>86.430325752678982</v>
      </c>
      <c r="CS279" s="399">
        <v>0</v>
      </c>
      <c r="CT279" s="399">
        <v>0</v>
      </c>
      <c r="CU279" s="399">
        <v>0</v>
      </c>
      <c r="CV279" s="399">
        <v>0</v>
      </c>
      <c r="CW279" s="399"/>
      <c r="CX279" s="399"/>
      <c r="CY279" s="399"/>
      <c r="CZ279" s="399">
        <v>86.430325752678982</v>
      </c>
      <c r="DA279" s="399">
        <v>0</v>
      </c>
      <c r="DB279" s="399">
        <v>0</v>
      </c>
      <c r="DC279" s="399"/>
      <c r="DD279" s="399"/>
      <c r="DE279" s="399">
        <v>0</v>
      </c>
      <c r="DF279" s="399">
        <v>0</v>
      </c>
      <c r="DG279" s="399">
        <v>0</v>
      </c>
      <c r="DH279" s="399">
        <v>0</v>
      </c>
      <c r="DI279" s="399">
        <v>0</v>
      </c>
      <c r="DJ279" s="399"/>
      <c r="DK279" s="399">
        <v>0</v>
      </c>
      <c r="DL279" s="399">
        <v>0</v>
      </c>
      <c r="DM279" s="399"/>
      <c r="DN279" s="399">
        <v>0</v>
      </c>
      <c r="DO279" s="399">
        <v>0</v>
      </c>
      <c r="DP279" s="399">
        <v>0</v>
      </c>
      <c r="DQ279" s="399">
        <v>0</v>
      </c>
      <c r="DR279" s="399">
        <v>0</v>
      </c>
      <c r="DS279" s="399"/>
      <c r="DT279" s="399"/>
      <c r="DU279" s="399">
        <v>3632.4237027927079</v>
      </c>
      <c r="DV279" s="399"/>
      <c r="DW279" s="399">
        <v>0</v>
      </c>
      <c r="DX279" s="399">
        <v>0</v>
      </c>
      <c r="DY279" s="399">
        <v>-76.610000000000582</v>
      </c>
      <c r="DZ279" s="399"/>
      <c r="EA279" s="399">
        <v>0</v>
      </c>
      <c r="EB279" s="399"/>
      <c r="EC279" s="399">
        <v>-163.59430361037857</v>
      </c>
      <c r="ED279" s="399"/>
      <c r="EE279" s="399">
        <v>0</v>
      </c>
      <c r="EF279" s="399">
        <v>0</v>
      </c>
      <c r="EG279" s="399"/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/>
      <c r="EN279" s="399"/>
      <c r="EO279" s="399">
        <v>0</v>
      </c>
      <c r="EP279" s="399">
        <v>0</v>
      </c>
      <c r="EQ279" s="399"/>
      <c r="ER279" s="399">
        <v>0</v>
      </c>
      <c r="ES279" s="399"/>
      <c r="ET279" s="399">
        <v>0</v>
      </c>
      <c r="EU279" s="399"/>
      <c r="EV279" s="399">
        <v>225</v>
      </c>
      <c r="EW279" s="399"/>
      <c r="EX279" s="399"/>
      <c r="EY279" s="399"/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957</v>
      </c>
      <c r="C280" s="399" t="s">
        <v>2357</v>
      </c>
      <c r="D280" s="399" t="s">
        <v>1826</v>
      </c>
      <c r="E280" s="399" t="s">
        <v>2370</v>
      </c>
      <c r="F280" s="399" t="s">
        <v>1240</v>
      </c>
      <c r="G280" s="399" t="s">
        <v>1240</v>
      </c>
      <c r="H280" s="399" t="s">
        <v>1240</v>
      </c>
      <c r="I280" s="399" t="s">
        <v>1240</v>
      </c>
      <c r="J280" s="399" t="s">
        <v>2358</v>
      </c>
      <c r="K280" s="789">
        <v>44593</v>
      </c>
      <c r="L280" s="399">
        <v>0</v>
      </c>
      <c r="M280" s="399">
        <v>0</v>
      </c>
      <c r="N280" s="399">
        <v>99.385999999999996</v>
      </c>
      <c r="O280" s="399">
        <v>99.385999999999996</v>
      </c>
      <c r="P280" s="399">
        <v>99.385999999999996</v>
      </c>
      <c r="Q280" s="399">
        <v>99.385999999999996</v>
      </c>
      <c r="R280" s="399"/>
      <c r="S280" s="399">
        <v>522.37</v>
      </c>
      <c r="T280" s="399">
        <v>144.41999999999999</v>
      </c>
      <c r="U280" s="399"/>
      <c r="V280" s="399">
        <v>66269.590939999995</v>
      </c>
      <c r="W280" s="399">
        <v>66269.590939999995</v>
      </c>
      <c r="X280" s="399">
        <v>64773.831639999997</v>
      </c>
      <c r="Y280" s="399">
        <v>0</v>
      </c>
      <c r="Z280" s="399">
        <v>6102.397344590483</v>
      </c>
      <c r="AA280" s="399">
        <v>0</v>
      </c>
      <c r="AB280" s="399">
        <v>0</v>
      </c>
      <c r="AC280" s="399">
        <v>0</v>
      </c>
      <c r="AD280" s="399">
        <v>10133.759662841354</v>
      </c>
      <c r="AE280" s="399">
        <v>32986.930808075529</v>
      </c>
      <c r="AF280" s="399">
        <v>14353.50736333948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942.45315332644702</v>
      </c>
      <c r="AM280" s="399"/>
      <c r="AN280" s="399">
        <v>144.59223793416035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1605.9112195071939</v>
      </c>
      <c r="BH280" s="399">
        <v>0</v>
      </c>
      <c r="BI280" s="399">
        <v>484.6</v>
      </c>
      <c r="BJ280" s="399">
        <v>2239.96</v>
      </c>
      <c r="BK280" s="399">
        <v>20250.5</v>
      </c>
      <c r="BL280" s="399">
        <v>124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15959.418582846674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64776.438600000001</v>
      </c>
      <c r="CJ280" s="399">
        <v>-1493.1823399999921</v>
      </c>
      <c r="CK280" s="399"/>
      <c r="CL280" s="399"/>
      <c r="CM280" s="399"/>
      <c r="CN280" s="399"/>
      <c r="CO280" s="399">
        <v>-2076.1735399999984</v>
      </c>
      <c r="CP280" s="399">
        <v>580.41424000000029</v>
      </c>
      <c r="CQ280" s="399">
        <v>29</v>
      </c>
      <c r="CR280" s="399">
        <v>-9.5389445909968344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424.11153886197098</v>
      </c>
      <c r="DA280" s="399">
        <v>0</v>
      </c>
      <c r="DB280" s="399">
        <v>0</v>
      </c>
      <c r="DC280" s="399">
        <v>580.39360730142107</v>
      </c>
      <c r="DD280" s="399">
        <v>0</v>
      </c>
      <c r="DE280" s="399">
        <v>0</v>
      </c>
      <c r="DF280" s="399">
        <v>0</v>
      </c>
      <c r="DG280" s="399">
        <v>64.936087194694437</v>
      </c>
      <c r="DH280" s="399">
        <v>0</v>
      </c>
      <c r="DI280" s="399">
        <v>-937.51810857971122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-124.01228319243853</v>
      </c>
      <c r="DP280" s="399">
        <v>-17.449786176947924</v>
      </c>
      <c r="DQ280" s="399">
        <v>0</v>
      </c>
      <c r="DR280" s="399">
        <v>0</v>
      </c>
      <c r="DS280" s="399"/>
      <c r="DT280" s="399"/>
      <c r="DU280" s="399"/>
      <c r="DV280" s="399">
        <v>32986.930808075529</v>
      </c>
      <c r="DW280" s="399">
        <v>0</v>
      </c>
      <c r="DX280" s="399">
        <v>0</v>
      </c>
      <c r="DY280" s="399">
        <v>-2076.1735399999961</v>
      </c>
      <c r="DZ280" s="399">
        <v>580.41424000000006</v>
      </c>
      <c r="EA280" s="399">
        <v>0</v>
      </c>
      <c r="EB280" s="399">
        <v>0</v>
      </c>
      <c r="EC280" s="399">
        <v>-1485.6400066000315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225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2360</v>
      </c>
      <c r="C281" s="399" t="s">
        <v>2357</v>
      </c>
      <c r="D281" s="399" t="s">
        <v>1826</v>
      </c>
      <c r="E281" s="399" t="s">
        <v>2370</v>
      </c>
      <c r="F281" s="399" t="s">
        <v>1240</v>
      </c>
      <c r="G281" s="399" t="s">
        <v>1240</v>
      </c>
      <c r="H281" s="399" t="s">
        <v>1240</v>
      </c>
      <c r="I281" s="399" t="s">
        <v>1240</v>
      </c>
      <c r="J281" s="399" t="s">
        <v>2358</v>
      </c>
      <c r="K281" s="789">
        <v>44593</v>
      </c>
      <c r="L281" s="399">
        <v>0</v>
      </c>
      <c r="M281" s="399">
        <v>0</v>
      </c>
      <c r="N281" s="399">
        <v>0.749</v>
      </c>
      <c r="O281" s="399">
        <v>0.749</v>
      </c>
      <c r="P281" s="399">
        <v>0.749</v>
      </c>
      <c r="Q281" s="399">
        <v>0.749</v>
      </c>
      <c r="R281" s="399"/>
      <c r="S281" s="399">
        <v>522.37</v>
      </c>
      <c r="T281" s="399">
        <v>144.41999999999999</v>
      </c>
      <c r="U281" s="399"/>
      <c r="V281" s="399">
        <v>499.42570999999998</v>
      </c>
      <c r="W281" s="399">
        <v>499.42570999999998</v>
      </c>
      <c r="X281" s="399">
        <v>488.15325999999999</v>
      </c>
      <c r="Y281" s="399">
        <v>0</v>
      </c>
      <c r="Z281" s="399">
        <v>45.989330600872073</v>
      </c>
      <c r="AA281" s="399">
        <v>0</v>
      </c>
      <c r="AB281" s="399">
        <v>0</v>
      </c>
      <c r="AC281" s="399">
        <v>0</v>
      </c>
      <c r="AD281" s="399">
        <v>76.370776442035833</v>
      </c>
      <c r="AE281" s="399">
        <v>248.59850658290475</v>
      </c>
      <c r="AF281" s="399">
        <v>108.171945899234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7.1025839840773237</v>
      </c>
      <c r="AM281" s="399"/>
      <c r="AN281" s="399">
        <v>1.089686537466908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12.102584905428213</v>
      </c>
      <c r="BH281" s="399">
        <v>0</v>
      </c>
      <c r="BI281" s="399">
        <v>3.16</v>
      </c>
      <c r="BJ281" s="399">
        <v>14.63</v>
      </c>
      <c r="BK281" s="399">
        <v>292.13</v>
      </c>
      <c r="BL281" s="399">
        <v>2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120.27453080466222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488.80500000000001</v>
      </c>
      <c r="CJ281" s="399">
        <v>-10.650709999999947</v>
      </c>
      <c r="CK281" s="399"/>
      <c r="CL281" s="399"/>
      <c r="CM281" s="399"/>
      <c r="CN281" s="399"/>
      <c r="CO281" s="399">
        <v>-15.64660999999999</v>
      </c>
      <c r="CP281" s="399">
        <v>4.3741600000000025</v>
      </c>
      <c r="CQ281" s="399">
        <v>29</v>
      </c>
      <c r="CR281" s="399">
        <v>-7.1888087846048165E-2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3.1962202182160127</v>
      </c>
      <c r="DA281" s="399">
        <v>0</v>
      </c>
      <c r="DB281" s="399">
        <v>0</v>
      </c>
      <c r="DC281" s="399">
        <v>4.3740045063566839</v>
      </c>
      <c r="DD281" s="399">
        <v>0</v>
      </c>
      <c r="DE281" s="399">
        <v>0</v>
      </c>
      <c r="DF281" s="399">
        <v>0</v>
      </c>
      <c r="DG281" s="399">
        <v>0.48937606210961349</v>
      </c>
      <c r="DH281" s="399">
        <v>0</v>
      </c>
      <c r="DI281" s="399">
        <v>-7.0653921410078269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-0.93459038608190781</v>
      </c>
      <c r="DP281" s="399">
        <v>-0.13150634743861322</v>
      </c>
      <c r="DQ281" s="399">
        <v>0</v>
      </c>
      <c r="DR281" s="399">
        <v>0</v>
      </c>
      <c r="DS281" s="399"/>
      <c r="DT281" s="399"/>
      <c r="DU281" s="399"/>
      <c r="DV281" s="399">
        <v>248.59850658290475</v>
      </c>
      <c r="DW281" s="399">
        <v>0</v>
      </c>
      <c r="DX281" s="399">
        <v>0</v>
      </c>
      <c r="DY281" s="399">
        <v>-15.64661000000001</v>
      </c>
      <c r="DZ281" s="399">
        <v>4.3741600000000034</v>
      </c>
      <c r="EA281" s="399">
        <v>0</v>
      </c>
      <c r="EB281" s="399">
        <v>0</v>
      </c>
      <c r="EC281" s="399">
        <v>-11.196188245260117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225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957</v>
      </c>
      <c r="C282" s="399" t="s">
        <v>2366</v>
      </c>
      <c r="D282" s="399" t="s">
        <v>534</v>
      </c>
      <c r="E282" s="399" t="s">
        <v>2370</v>
      </c>
      <c r="F282" s="399" t="s">
        <v>1240</v>
      </c>
      <c r="G282" s="399" t="s">
        <v>1240</v>
      </c>
      <c r="H282" s="399" t="s">
        <v>1240</v>
      </c>
      <c r="I282" s="399" t="s">
        <v>894</v>
      </c>
      <c r="J282" s="399" t="s">
        <v>2358</v>
      </c>
      <c r="K282" s="789">
        <v>44593</v>
      </c>
      <c r="L282" s="399">
        <v>0</v>
      </c>
      <c r="M282" s="399">
        <v>0</v>
      </c>
      <c r="N282" s="399">
        <v>6.9000000000000006E-2</v>
      </c>
      <c r="O282" s="399">
        <v>6.9000000000000006E-2</v>
      </c>
      <c r="P282" s="399">
        <v>6.9000000000000006E-2</v>
      </c>
      <c r="Q282" s="399">
        <v>6.9000000000000006E-2</v>
      </c>
      <c r="R282" s="399"/>
      <c r="S282" s="399">
        <v>2740.31</v>
      </c>
      <c r="T282" s="399">
        <v>144.41999999999999</v>
      </c>
      <c r="U282" s="399"/>
      <c r="V282" s="399">
        <v>199.04637</v>
      </c>
      <c r="W282" s="399">
        <v>199.04637</v>
      </c>
      <c r="X282" s="399">
        <v>195.02298000000002</v>
      </c>
      <c r="Y282" s="399">
        <v>0</v>
      </c>
      <c r="Z282" s="399">
        <v>3.685900555367625</v>
      </c>
      <c r="AA282" s="399">
        <v>0</v>
      </c>
      <c r="AB282" s="399">
        <v>0</v>
      </c>
      <c r="AC282" s="399">
        <v>0</v>
      </c>
      <c r="AD282" s="399">
        <v>51.933734114067569</v>
      </c>
      <c r="AE282" s="399">
        <v>132.34252205369572</v>
      </c>
      <c r="AF282" s="399">
        <v>9.9651058305035338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0.65431014005518739</v>
      </c>
      <c r="AM282" s="399"/>
      <c r="AN282" s="399">
        <v>3.43402790380598E-2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0.43046356527796803</v>
      </c>
      <c r="BH282" s="399">
        <v>0</v>
      </c>
      <c r="BI282" s="399">
        <v>0</v>
      </c>
      <c r="BJ282" s="399">
        <v>0</v>
      </c>
      <c r="BK282" s="399">
        <v>0</v>
      </c>
      <c r="BL282" s="399">
        <v>0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10.395569395781502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197.8494</v>
      </c>
      <c r="CJ282" s="399">
        <v>-1.2269699999999659</v>
      </c>
      <c r="CK282" s="399"/>
      <c r="CL282" s="399"/>
      <c r="CM282" s="399"/>
      <c r="CN282" s="399"/>
      <c r="CO282" s="399">
        <v>-4.4263500000000064</v>
      </c>
      <c r="CP282" s="399">
        <v>0.40296000000000026</v>
      </c>
      <c r="CQ282" s="399">
        <v>29</v>
      </c>
      <c r="CR282" s="399">
        <v>1.9373383203618459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2.1734969672437572</v>
      </c>
      <c r="DA282" s="399">
        <v>0</v>
      </c>
      <c r="DB282" s="399">
        <v>0</v>
      </c>
      <c r="DC282" s="399">
        <v>0.40294567548546212</v>
      </c>
      <c r="DD282" s="399">
        <v>0</v>
      </c>
      <c r="DE282" s="399">
        <v>0</v>
      </c>
      <c r="DF282" s="399">
        <v>0</v>
      </c>
      <c r="DG282" s="399">
        <v>1.7406080279833869E-2</v>
      </c>
      <c r="DH282" s="399">
        <v>0</v>
      </c>
      <c r="DI282" s="399">
        <v>-0.56626901231601856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-8.6097111668426818E-2</v>
      </c>
      <c r="DP282" s="399">
        <v>-4.1442786627574196E-3</v>
      </c>
      <c r="DQ282" s="399">
        <v>0</v>
      </c>
      <c r="DR282" s="399">
        <v>0</v>
      </c>
      <c r="DS282" s="399"/>
      <c r="DT282" s="399"/>
      <c r="DU282" s="399"/>
      <c r="DV282" s="399">
        <v>132.34252205369572</v>
      </c>
      <c r="DW282" s="399">
        <v>0</v>
      </c>
      <c r="DX282" s="399">
        <v>0</v>
      </c>
      <c r="DY282" s="399">
        <v>-4.4263499999999851</v>
      </c>
      <c r="DZ282" s="399">
        <v>0.40296000000000021</v>
      </c>
      <c r="EA282" s="399">
        <v>0</v>
      </c>
      <c r="EB282" s="399">
        <v>0</v>
      </c>
      <c r="EC282" s="399">
        <v>-5.9603406719244276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225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957</v>
      </c>
      <c r="C283" s="399" t="s">
        <v>2366</v>
      </c>
      <c r="D283" s="399" t="s">
        <v>534</v>
      </c>
      <c r="E283" s="399" t="s">
        <v>2370</v>
      </c>
      <c r="F283" s="399" t="s">
        <v>1240</v>
      </c>
      <c r="G283" s="399" t="s">
        <v>1240</v>
      </c>
      <c r="H283" s="399" t="s">
        <v>1240</v>
      </c>
      <c r="I283" s="399" t="s">
        <v>2328</v>
      </c>
      <c r="J283" s="399" t="s">
        <v>2358</v>
      </c>
      <c r="K283" s="789">
        <v>44593</v>
      </c>
      <c r="L283" s="399">
        <v>0</v>
      </c>
      <c r="M283" s="399">
        <v>0</v>
      </c>
      <c r="N283" s="399">
        <v>0.60299999999999998</v>
      </c>
      <c r="O283" s="399">
        <v>0.60299999999999998</v>
      </c>
      <c r="P283" s="399">
        <v>0.60299999999999998</v>
      </c>
      <c r="Q283" s="399">
        <v>0.60299999999999998</v>
      </c>
      <c r="R283" s="399"/>
      <c r="S283" s="399">
        <v>69.64</v>
      </c>
      <c r="T283" s="399">
        <v>144.41999999999999</v>
      </c>
      <c r="U283" s="399"/>
      <c r="V283" s="399">
        <v>129.07817999999997</v>
      </c>
      <c r="W283" s="399">
        <v>129.07817999999997</v>
      </c>
      <c r="X283" s="399">
        <v>127.01591999999999</v>
      </c>
      <c r="Y283" s="399">
        <v>0</v>
      </c>
      <c r="Z283" s="399">
        <v>32.211565722995331</v>
      </c>
      <c r="AA283" s="399">
        <v>0</v>
      </c>
      <c r="AB283" s="399">
        <v>0</v>
      </c>
      <c r="AC283" s="399">
        <v>0</v>
      </c>
      <c r="AD283" s="399">
        <v>0</v>
      </c>
      <c r="AE283" s="399">
        <v>0</v>
      </c>
      <c r="AF283" s="399">
        <v>87.086359649183052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5.7181016587431586</v>
      </c>
      <c r="AM283" s="399"/>
      <c r="AN283" s="399">
        <v>0.30010417768043562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3.7618772443857202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90.848236893568767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126.38399999999999</v>
      </c>
      <c r="CJ283" s="399">
        <v>-2.7241799999999898</v>
      </c>
      <c r="CK283" s="399"/>
      <c r="CL283" s="399"/>
      <c r="CM283" s="399"/>
      <c r="CN283" s="399"/>
      <c r="CO283" s="399">
        <v>-5.5837799999999982</v>
      </c>
      <c r="CP283" s="399">
        <v>3.521520000000002</v>
      </c>
      <c r="CQ283" s="399">
        <v>29</v>
      </c>
      <c r="CR283" s="399">
        <v>-2.0638212184027509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0</v>
      </c>
      <c r="DA283" s="399">
        <v>0</v>
      </c>
      <c r="DB283" s="399">
        <v>0</v>
      </c>
      <c r="DC283" s="399">
        <v>3.5213948161990345</v>
      </c>
      <c r="DD283" s="399">
        <v>0</v>
      </c>
      <c r="DE283" s="399">
        <v>0</v>
      </c>
      <c r="DF283" s="399">
        <v>0</v>
      </c>
      <c r="DG283" s="399">
        <v>0.15211400592376556</v>
      </c>
      <c r="DH283" s="399">
        <v>0</v>
      </c>
      <c r="DI283" s="399">
        <v>-4.948698759805211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-0.75241388892842487</v>
      </c>
      <c r="DP283" s="399">
        <v>-3.6217391791923514E-2</v>
      </c>
      <c r="DQ283" s="399">
        <v>0</v>
      </c>
      <c r="DR283" s="399">
        <v>0</v>
      </c>
      <c r="DS283" s="399"/>
      <c r="DT283" s="399"/>
      <c r="DU283" s="399"/>
      <c r="DV283" s="399">
        <v>0</v>
      </c>
      <c r="DW283" s="399">
        <v>0</v>
      </c>
      <c r="DX283" s="399">
        <v>0</v>
      </c>
      <c r="DY283" s="399">
        <v>-5.5837799999999973</v>
      </c>
      <c r="DZ283" s="399">
        <v>3.5215199999999953</v>
      </c>
      <c r="EA283" s="399">
        <v>0</v>
      </c>
      <c r="EB283" s="399">
        <v>0</v>
      </c>
      <c r="EC283" s="399">
        <v>0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225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957</v>
      </c>
      <c r="C284" s="399" t="s">
        <v>2366</v>
      </c>
      <c r="D284" s="399" t="s">
        <v>534</v>
      </c>
      <c r="E284" s="399" t="s">
        <v>2370</v>
      </c>
      <c r="F284" s="399" t="s">
        <v>1240</v>
      </c>
      <c r="G284" s="399" t="s">
        <v>1240</v>
      </c>
      <c r="H284" s="399" t="s">
        <v>1240</v>
      </c>
      <c r="I284" s="399" t="s">
        <v>1240</v>
      </c>
      <c r="J284" s="399" t="s">
        <v>2358</v>
      </c>
      <c r="K284" s="789">
        <v>44593</v>
      </c>
      <c r="L284" s="399">
        <v>75</v>
      </c>
      <c r="M284" s="399">
        <v>75</v>
      </c>
      <c r="N284" s="399">
        <v>0</v>
      </c>
      <c r="O284" s="399">
        <v>0</v>
      </c>
      <c r="P284" s="399">
        <v>0</v>
      </c>
      <c r="Q284" s="399">
        <v>0</v>
      </c>
      <c r="R284" s="399">
        <v>34.950000000000003</v>
      </c>
      <c r="S284" s="399"/>
      <c r="T284" s="399"/>
      <c r="U284" s="399">
        <v>2621.25</v>
      </c>
      <c r="V284" s="399"/>
      <c r="W284" s="399">
        <v>2621.25</v>
      </c>
      <c r="X284" s="399">
        <v>2585.9999999999995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950.23346335777501</v>
      </c>
      <c r="AE284" s="399">
        <v>1671.3605994444974</v>
      </c>
      <c r="AF284" s="399"/>
      <c r="AG284" s="399"/>
      <c r="AH284" s="399"/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0</v>
      </c>
      <c r="AO284" s="399">
        <v>0</v>
      </c>
      <c r="AP284" s="399">
        <v>0</v>
      </c>
      <c r="AQ284" s="399">
        <v>0</v>
      </c>
      <c r="AR284" s="399">
        <v>0</v>
      </c>
      <c r="AS284" s="399"/>
      <c r="AT284" s="399"/>
      <c r="AU284" s="399">
        <v>0</v>
      </c>
      <c r="AV284" s="399">
        <v>0</v>
      </c>
      <c r="AW284" s="399">
        <v>0</v>
      </c>
      <c r="AX284" s="399"/>
      <c r="AY284" s="399"/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/>
      <c r="BG284" s="399">
        <v>0</v>
      </c>
      <c r="BH284" s="399">
        <v>0</v>
      </c>
      <c r="BI284" s="399">
        <v>18.87</v>
      </c>
      <c r="BJ284" s="399">
        <v>87.11</v>
      </c>
      <c r="BK284" s="399">
        <v>159.12</v>
      </c>
      <c r="BL284" s="399">
        <v>1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0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2585.9999999999995</v>
      </c>
      <c r="CJ284" s="399">
        <v>-35.28000000000111</v>
      </c>
      <c r="CK284" s="399"/>
      <c r="CL284" s="399"/>
      <c r="CM284" s="399"/>
      <c r="CN284" s="399"/>
      <c r="CO284" s="399">
        <v>-35.250000000000448</v>
      </c>
      <c r="CP284" s="399">
        <v>0</v>
      </c>
      <c r="CQ284" s="399">
        <v>29</v>
      </c>
      <c r="CR284" s="399">
        <v>39.768554794177476</v>
      </c>
      <c r="CS284" s="399">
        <v>0</v>
      </c>
      <c r="CT284" s="399">
        <v>0</v>
      </c>
      <c r="CU284" s="399">
        <v>0</v>
      </c>
      <c r="CV284" s="399">
        <v>0</v>
      </c>
      <c r="CW284" s="399"/>
      <c r="CX284" s="399"/>
      <c r="CY284" s="399"/>
      <c r="CZ284" s="399">
        <v>39.768554794177476</v>
      </c>
      <c r="DA284" s="399">
        <v>0</v>
      </c>
      <c r="DB284" s="399">
        <v>0</v>
      </c>
      <c r="DC284" s="399"/>
      <c r="DD284" s="399"/>
      <c r="DE284" s="399">
        <v>0</v>
      </c>
      <c r="DF284" s="399">
        <v>0</v>
      </c>
      <c r="DG284" s="399">
        <v>0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/>
      <c r="DN284" s="399">
        <v>0</v>
      </c>
      <c r="DO284" s="399">
        <v>0</v>
      </c>
      <c r="DP284" s="399">
        <v>0</v>
      </c>
      <c r="DQ284" s="399">
        <v>0</v>
      </c>
      <c r="DR284" s="399">
        <v>0</v>
      </c>
      <c r="DS284" s="399"/>
      <c r="DT284" s="399"/>
      <c r="DU284" s="399">
        <v>1671.3605994444974</v>
      </c>
      <c r="DV284" s="399"/>
      <c r="DW284" s="399">
        <v>0</v>
      </c>
      <c r="DX284" s="399">
        <v>0</v>
      </c>
      <c r="DY284" s="399">
        <v>-35.250000000000455</v>
      </c>
      <c r="DZ284" s="399"/>
      <c r="EA284" s="399">
        <v>0</v>
      </c>
      <c r="EB284" s="399"/>
      <c r="EC284" s="399">
        <v>-75.273452581462379</v>
      </c>
      <c r="ED284" s="399"/>
      <c r="EE284" s="399">
        <v>0</v>
      </c>
      <c r="EF284" s="399">
        <v>0</v>
      </c>
      <c r="EG284" s="399"/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/>
      <c r="EN284" s="399"/>
      <c r="EO284" s="399">
        <v>0</v>
      </c>
      <c r="EP284" s="399">
        <v>0</v>
      </c>
      <c r="EQ284" s="399"/>
      <c r="ER284" s="399">
        <v>0</v>
      </c>
      <c r="ES284" s="399"/>
      <c r="ET284" s="399">
        <v>0</v>
      </c>
      <c r="EU284" s="399"/>
      <c r="EV284" s="399">
        <v>225</v>
      </c>
      <c r="EW284" s="399"/>
      <c r="EX284" s="399"/>
      <c r="EY284" s="399"/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957</v>
      </c>
      <c r="C285" s="399" t="s">
        <v>2357</v>
      </c>
      <c r="D285" s="399" t="s">
        <v>2371</v>
      </c>
      <c r="E285" s="399" t="s">
        <v>2372</v>
      </c>
      <c r="F285" s="399" t="s">
        <v>2373</v>
      </c>
      <c r="G285" s="399" t="s">
        <v>1240</v>
      </c>
      <c r="H285" s="399" t="s">
        <v>1240</v>
      </c>
      <c r="I285" s="399" t="s">
        <v>1240</v>
      </c>
      <c r="J285" s="399" t="s">
        <v>2358</v>
      </c>
      <c r="K285" s="789">
        <v>44593</v>
      </c>
      <c r="L285" s="399">
        <v>0</v>
      </c>
      <c r="M285" s="399">
        <v>0</v>
      </c>
      <c r="N285" s="399">
        <v>388.91399999999999</v>
      </c>
      <c r="O285" s="399">
        <v>388.91399999999999</v>
      </c>
      <c r="P285" s="399">
        <v>388.91399999999999</v>
      </c>
      <c r="Q285" s="399">
        <v>388.91399999999999</v>
      </c>
      <c r="R285" s="399"/>
      <c r="S285" s="399">
        <v>287.3</v>
      </c>
      <c r="T285" s="399">
        <v>79.430000000000007</v>
      </c>
      <c r="U285" s="399"/>
      <c r="V285" s="399">
        <v>142626.43122</v>
      </c>
      <c r="W285" s="399">
        <v>142626.43122</v>
      </c>
      <c r="X285" s="399">
        <v>139410.11244</v>
      </c>
      <c r="Y285" s="399">
        <v>0</v>
      </c>
      <c r="Z285" s="399">
        <v>13133.834428196469</v>
      </c>
      <c r="AA285" s="399">
        <v>0</v>
      </c>
      <c r="AB285" s="399">
        <v>0</v>
      </c>
      <c r="AC285" s="399">
        <v>0</v>
      </c>
      <c r="AD285" s="399">
        <v>21810.300777099947</v>
      </c>
      <c r="AE285" s="399">
        <v>70995.850165622251</v>
      </c>
      <c r="AF285" s="399">
        <v>30892.218013484831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2028.3870376113432</v>
      </c>
      <c r="AM285" s="399"/>
      <c r="AN285" s="399">
        <v>311.19745329482447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3456.3091965959193</v>
      </c>
      <c r="BH285" s="399">
        <v>0</v>
      </c>
      <c r="BI285" s="399">
        <v>1242.3900000000001</v>
      </c>
      <c r="BJ285" s="399">
        <v>5734.15</v>
      </c>
      <c r="BK285" s="399">
        <v>63712.95</v>
      </c>
      <c r="BL285" s="399">
        <v>6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34348.527210080749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139408.67859999998</v>
      </c>
      <c r="CJ285" s="399">
        <v>-3217.7826200000127</v>
      </c>
      <c r="CK285" s="399"/>
      <c r="CL285" s="399"/>
      <c r="CM285" s="399"/>
      <c r="CN285" s="399"/>
      <c r="CO285" s="399">
        <v>-4464.7327200000072</v>
      </c>
      <c r="CP285" s="399">
        <v>1248.4139399999976</v>
      </c>
      <c r="CQ285" s="399">
        <v>29</v>
      </c>
      <c r="CR285" s="399">
        <v>-20.530114937631879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912.79056671684884</v>
      </c>
      <c r="DA285" s="399">
        <v>0</v>
      </c>
      <c r="DB285" s="399">
        <v>0</v>
      </c>
      <c r="DC285" s="399">
        <v>1249.1473614442475</v>
      </c>
      <c r="DD285" s="399">
        <v>0</v>
      </c>
      <c r="DE285" s="399">
        <v>0</v>
      </c>
      <c r="DF285" s="399">
        <v>0</v>
      </c>
      <c r="DG285" s="399">
        <v>139.75815887932504</v>
      </c>
      <c r="DH285" s="399">
        <v>0</v>
      </c>
      <c r="DI285" s="399">
        <v>-2017.7656281980544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-266.90441518953344</v>
      </c>
      <c r="DP285" s="399">
        <v>-37.556158590465088</v>
      </c>
      <c r="DQ285" s="399">
        <v>0</v>
      </c>
      <c r="DR285" s="399">
        <v>0</v>
      </c>
      <c r="DS285" s="399"/>
      <c r="DT285" s="399"/>
      <c r="DU285" s="399"/>
      <c r="DV285" s="399">
        <v>70995.850165622251</v>
      </c>
      <c r="DW285" s="399">
        <v>0</v>
      </c>
      <c r="DX285" s="399">
        <v>0</v>
      </c>
      <c r="DY285" s="399">
        <v>-4464.7327200000145</v>
      </c>
      <c r="DZ285" s="399">
        <v>1248.4139399999985</v>
      </c>
      <c r="EA285" s="399">
        <v>0</v>
      </c>
      <c r="EB285" s="399">
        <v>0</v>
      </c>
      <c r="EC285" s="399">
        <v>-3197.4564691179403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225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957</v>
      </c>
      <c r="C286" s="399" t="s">
        <v>2357</v>
      </c>
      <c r="D286" s="399" t="s">
        <v>1826</v>
      </c>
      <c r="E286" s="399" t="s">
        <v>922</v>
      </c>
      <c r="F286" s="399" t="s">
        <v>2374</v>
      </c>
      <c r="G286" s="399" t="s">
        <v>1240</v>
      </c>
      <c r="H286" s="399" t="s">
        <v>1240</v>
      </c>
      <c r="I286" s="399" t="s">
        <v>1240</v>
      </c>
      <c r="J286" s="399" t="s">
        <v>2358</v>
      </c>
      <c r="K286" s="789">
        <v>44593</v>
      </c>
      <c r="L286" s="399">
        <v>0</v>
      </c>
      <c r="M286" s="399">
        <v>0</v>
      </c>
      <c r="N286" s="399">
        <v>24.638999999999999</v>
      </c>
      <c r="O286" s="399">
        <v>23.16066</v>
      </c>
      <c r="P286" s="399">
        <v>24.638999999999999</v>
      </c>
      <c r="Q286" s="399">
        <v>23.16066</v>
      </c>
      <c r="R286" s="399"/>
      <c r="S286" s="399">
        <v>522.37</v>
      </c>
      <c r="T286" s="399">
        <v>144.41999999999999</v>
      </c>
      <c r="U286" s="399"/>
      <c r="V286" s="399">
        <v>16429.038809999998</v>
      </c>
      <c r="W286" s="399">
        <v>16429.038809999998</v>
      </c>
      <c r="X286" s="399">
        <v>16058.22186</v>
      </c>
      <c r="Y286" s="399">
        <v>0</v>
      </c>
      <c r="Z286" s="399">
        <v>1512.8586337448423</v>
      </c>
      <c r="AA286" s="399">
        <v>0</v>
      </c>
      <c r="AB286" s="399">
        <v>0</v>
      </c>
      <c r="AC286" s="399">
        <v>0</v>
      </c>
      <c r="AD286" s="399">
        <v>2512.2824576172511</v>
      </c>
      <c r="AE286" s="399">
        <v>8177.8619542005208</v>
      </c>
      <c r="AF286" s="399">
        <v>3558.4093124315441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233.64561653361972</v>
      </c>
      <c r="AM286" s="399"/>
      <c r="AN286" s="399">
        <v>35.846177031571621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398.12495258323861</v>
      </c>
      <c r="BH286" s="399">
        <v>0</v>
      </c>
      <c r="BI286" s="399">
        <v>114.28</v>
      </c>
      <c r="BJ286" s="399">
        <v>528.6</v>
      </c>
      <c r="BK286" s="399">
        <v>6169.65</v>
      </c>
      <c r="BL286" s="399">
        <v>35</v>
      </c>
      <c r="BM286" s="399"/>
      <c r="BN286" s="399"/>
      <c r="BO286" s="399"/>
      <c r="BP286" s="399"/>
      <c r="BQ286" s="399">
        <v>963.49331159999952</v>
      </c>
      <c r="BR286" s="399"/>
      <c r="BS286" s="399"/>
      <c r="BT286" s="399"/>
      <c r="BU286" s="399"/>
      <c r="BV286" s="399">
        <v>3956.5342650147827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15094.2984</v>
      </c>
      <c r="CJ286" s="399">
        <v>-349.02808139999979</v>
      </c>
      <c r="CK286" s="399"/>
      <c r="CL286" s="399"/>
      <c r="CM286" s="399"/>
      <c r="CN286" s="399"/>
      <c r="CO286" s="399">
        <v>-514.70870999999966</v>
      </c>
      <c r="CP286" s="399">
        <v>143.89176000000009</v>
      </c>
      <c r="CQ286" s="399">
        <v>29</v>
      </c>
      <c r="CR286" s="399">
        <v>-2.364820555994811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105.14241649749556</v>
      </c>
      <c r="DA286" s="399">
        <v>0</v>
      </c>
      <c r="DB286" s="399">
        <v>0</v>
      </c>
      <c r="DC286" s="399">
        <v>143.88664490270003</v>
      </c>
      <c r="DD286" s="399">
        <v>0</v>
      </c>
      <c r="DE286" s="399">
        <v>0</v>
      </c>
      <c r="DF286" s="399">
        <v>0</v>
      </c>
      <c r="DG286" s="399">
        <v>16.098446988409592</v>
      </c>
      <c r="DH286" s="399">
        <v>0</v>
      </c>
      <c r="DI286" s="399">
        <v>-232.42215882815981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-30.744155570990813</v>
      </c>
      <c r="DP286" s="399">
        <v>-4.3260145454472472</v>
      </c>
      <c r="DQ286" s="399">
        <v>0</v>
      </c>
      <c r="DR286" s="399">
        <v>0</v>
      </c>
      <c r="DS286" s="399"/>
      <c r="DT286" s="399"/>
      <c r="DU286" s="399"/>
      <c r="DV286" s="399">
        <v>8177.8619542005208</v>
      </c>
      <c r="DW286" s="399">
        <v>0</v>
      </c>
      <c r="DX286" s="399">
        <v>0</v>
      </c>
      <c r="DY286" s="399">
        <v>-514.70870999999897</v>
      </c>
      <c r="DZ286" s="399">
        <v>143.89175999999998</v>
      </c>
      <c r="EA286" s="399">
        <v>0</v>
      </c>
      <c r="EB286" s="399">
        <v>0</v>
      </c>
      <c r="EC286" s="399">
        <v>-368.30825390515929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225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957</v>
      </c>
      <c r="C287" s="399" t="s">
        <v>2366</v>
      </c>
      <c r="D287" s="399" t="s">
        <v>534</v>
      </c>
      <c r="E287" s="399" t="s">
        <v>922</v>
      </c>
      <c r="F287" s="399" t="s">
        <v>2374</v>
      </c>
      <c r="G287" s="399" t="s">
        <v>1240</v>
      </c>
      <c r="H287" s="399" t="s">
        <v>1240</v>
      </c>
      <c r="I287" s="399" t="s">
        <v>894</v>
      </c>
      <c r="J287" s="399" t="s">
        <v>2358</v>
      </c>
      <c r="K287" s="789">
        <v>44593</v>
      </c>
      <c r="L287" s="399">
        <v>0</v>
      </c>
      <c r="M287" s="399">
        <v>0</v>
      </c>
      <c r="N287" s="399">
        <v>0.42699999999999999</v>
      </c>
      <c r="O287" s="399">
        <v>0.40138000000000001</v>
      </c>
      <c r="P287" s="399">
        <v>0.42699999999999999</v>
      </c>
      <c r="Q287" s="399">
        <v>0.40138000000000001</v>
      </c>
      <c r="R287" s="399"/>
      <c r="S287" s="399">
        <v>2740.31</v>
      </c>
      <c r="T287" s="399">
        <v>144.41999999999999</v>
      </c>
      <c r="U287" s="399"/>
      <c r="V287" s="399">
        <v>1231.77971</v>
      </c>
      <c r="W287" s="399">
        <v>1231.77971</v>
      </c>
      <c r="X287" s="399">
        <v>1206.8813399999999</v>
      </c>
      <c r="Y287" s="399">
        <v>0</v>
      </c>
      <c r="Z287" s="399">
        <v>22.80984836437646</v>
      </c>
      <c r="AA287" s="399">
        <v>0</v>
      </c>
      <c r="AB287" s="399">
        <v>0</v>
      </c>
      <c r="AC287" s="399">
        <v>0</v>
      </c>
      <c r="AD287" s="399">
        <v>321.38702125662098</v>
      </c>
      <c r="AE287" s="399">
        <v>818.98923068011698</v>
      </c>
      <c r="AF287" s="399">
        <v>61.668118690217518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4.0491366638197821</v>
      </c>
      <c r="AM287" s="399"/>
      <c r="AN287" s="399">
        <v>0.21251158187321062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2.6638832228071352</v>
      </c>
      <c r="BH287" s="399">
        <v>0</v>
      </c>
      <c r="BI287" s="399">
        <v>0</v>
      </c>
      <c r="BJ287" s="399">
        <v>0</v>
      </c>
      <c r="BK287" s="399">
        <v>0</v>
      </c>
      <c r="BL287" s="399">
        <v>0</v>
      </c>
      <c r="BM287" s="399"/>
      <c r="BN287" s="399"/>
      <c r="BO287" s="399"/>
      <c r="BP287" s="399"/>
      <c r="BQ287" s="399">
        <v>72.412880399999935</v>
      </c>
      <c r="BR287" s="399"/>
      <c r="BS287" s="399"/>
      <c r="BT287" s="399"/>
      <c r="BU287" s="399"/>
      <c r="BV287" s="399">
        <v>64.332001913024655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1130.568</v>
      </c>
      <c r="CJ287" s="399">
        <v>-27.33492739999997</v>
      </c>
      <c r="CK287" s="399"/>
      <c r="CL287" s="399"/>
      <c r="CM287" s="399"/>
      <c r="CN287" s="399"/>
      <c r="CO287" s="399">
        <v>-27.392050000000037</v>
      </c>
      <c r="CP287" s="399">
        <v>2.4936800000000012</v>
      </c>
      <c r="CQ287" s="399">
        <v>29</v>
      </c>
      <c r="CR287" s="399">
        <v>11.989035692674065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13.450481232073685</v>
      </c>
      <c r="DA287" s="399">
        <v>0</v>
      </c>
      <c r="DB287" s="399">
        <v>0</v>
      </c>
      <c r="DC287" s="399">
        <v>2.4935913540911869</v>
      </c>
      <c r="DD287" s="399">
        <v>0</v>
      </c>
      <c r="DE287" s="399">
        <v>0</v>
      </c>
      <c r="DF287" s="399">
        <v>0</v>
      </c>
      <c r="DG287" s="399">
        <v>0.10771588810853716</v>
      </c>
      <c r="DH287" s="399">
        <v>0</v>
      </c>
      <c r="DI287" s="399">
        <v>-3.5043024385353618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-0.53280386496258281</v>
      </c>
      <c r="DP287" s="399">
        <v>-2.5646478101411851E-2</v>
      </c>
      <c r="DQ287" s="399">
        <v>0</v>
      </c>
      <c r="DR287" s="399">
        <v>0</v>
      </c>
      <c r="DS287" s="399"/>
      <c r="DT287" s="399"/>
      <c r="DU287" s="399"/>
      <c r="DV287" s="399">
        <v>818.98923068011698</v>
      </c>
      <c r="DW287" s="399">
        <v>0</v>
      </c>
      <c r="DX287" s="399">
        <v>0</v>
      </c>
      <c r="DY287" s="399">
        <v>-27.392050000000154</v>
      </c>
      <c r="DZ287" s="399">
        <v>2.4936799999999977</v>
      </c>
      <c r="EA287" s="399">
        <v>0</v>
      </c>
      <c r="EB287" s="399">
        <v>0</v>
      </c>
      <c r="EC287" s="399">
        <v>-36.885006766836796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225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957</v>
      </c>
      <c r="C288" s="399" t="s">
        <v>2366</v>
      </c>
      <c r="D288" s="399" t="s">
        <v>534</v>
      </c>
      <c r="E288" s="399" t="s">
        <v>922</v>
      </c>
      <c r="F288" s="399" t="s">
        <v>2374</v>
      </c>
      <c r="G288" s="399" t="s">
        <v>1240</v>
      </c>
      <c r="H288" s="399" t="s">
        <v>1240</v>
      </c>
      <c r="I288" s="399" t="s">
        <v>2328</v>
      </c>
      <c r="J288" s="399" t="s">
        <v>2358</v>
      </c>
      <c r="K288" s="789">
        <v>44593</v>
      </c>
      <c r="L288" s="399">
        <v>0</v>
      </c>
      <c r="M288" s="399">
        <v>0</v>
      </c>
      <c r="N288" s="399">
        <v>2.4159999999999999</v>
      </c>
      <c r="O288" s="399">
        <v>2.2710400000000002</v>
      </c>
      <c r="P288" s="399">
        <v>2.4159999999999999</v>
      </c>
      <c r="Q288" s="399">
        <v>2.2710400000000002</v>
      </c>
      <c r="R288" s="399"/>
      <c r="S288" s="399">
        <v>69.64</v>
      </c>
      <c r="T288" s="399">
        <v>144.41999999999999</v>
      </c>
      <c r="U288" s="399"/>
      <c r="V288" s="399">
        <v>517.16895999999997</v>
      </c>
      <c r="W288" s="399">
        <v>517.16895999999997</v>
      </c>
      <c r="X288" s="399">
        <v>508.90623999999997</v>
      </c>
      <c r="Y288" s="399">
        <v>0</v>
      </c>
      <c r="Z288" s="399">
        <v>129.05993828649537</v>
      </c>
      <c r="AA288" s="399">
        <v>0</v>
      </c>
      <c r="AB288" s="399">
        <v>0</v>
      </c>
      <c r="AC288" s="399">
        <v>0</v>
      </c>
      <c r="AD288" s="399">
        <v>0</v>
      </c>
      <c r="AE288" s="399">
        <v>0</v>
      </c>
      <c r="AF288" s="399">
        <v>348.92312589125413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22.910337657584531</v>
      </c>
      <c r="AM288" s="399"/>
      <c r="AN288" s="399">
        <v>1.202407451535543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15.072463387124213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>
        <v>30.534374399999948</v>
      </c>
      <c r="BR288" s="399"/>
      <c r="BS288" s="399"/>
      <c r="BT288" s="399"/>
      <c r="BU288" s="399"/>
      <c r="BV288" s="399">
        <v>363.99558927837836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478.15279999999996</v>
      </c>
      <c r="CJ288" s="399">
        <v>-8.0160223999999971</v>
      </c>
      <c r="CK288" s="399"/>
      <c r="CL288" s="399"/>
      <c r="CM288" s="399"/>
      <c r="CN288" s="399"/>
      <c r="CO288" s="399">
        <v>-22.372159999999994</v>
      </c>
      <c r="CP288" s="399">
        <v>14.109440000000008</v>
      </c>
      <c r="CQ288" s="399">
        <v>29</v>
      </c>
      <c r="CR288" s="399">
        <v>-8.2689752299519341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0</v>
      </c>
      <c r="DA288" s="399">
        <v>0</v>
      </c>
      <c r="DB288" s="399">
        <v>0</v>
      </c>
      <c r="DC288" s="399">
        <v>14.108938434389529</v>
      </c>
      <c r="DD288" s="399">
        <v>0</v>
      </c>
      <c r="DE288" s="399">
        <v>0</v>
      </c>
      <c r="DF288" s="399">
        <v>0</v>
      </c>
      <c r="DG288" s="399">
        <v>0.6094650718272252</v>
      </c>
      <c r="DH288" s="399">
        <v>0</v>
      </c>
      <c r="DI288" s="399">
        <v>-19.827622228340587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-3.0146466926220157</v>
      </c>
      <c r="DP288" s="399">
        <v>-0.14510981520611477</v>
      </c>
      <c r="DQ288" s="399">
        <v>0</v>
      </c>
      <c r="DR288" s="399">
        <v>0</v>
      </c>
      <c r="DS288" s="399"/>
      <c r="DT288" s="399"/>
      <c r="DU288" s="399"/>
      <c r="DV288" s="399">
        <v>0</v>
      </c>
      <c r="DW288" s="399">
        <v>0</v>
      </c>
      <c r="DX288" s="399">
        <v>0</v>
      </c>
      <c r="DY288" s="399">
        <v>-22.37215999999998</v>
      </c>
      <c r="DZ288" s="399">
        <v>14.109440000000006</v>
      </c>
      <c r="EA288" s="399">
        <v>0</v>
      </c>
      <c r="EB288" s="399">
        <v>0</v>
      </c>
      <c r="EC288" s="399">
        <v>0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225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957</v>
      </c>
      <c r="C289" s="399" t="s">
        <v>2366</v>
      </c>
      <c r="D289" s="399" t="s">
        <v>534</v>
      </c>
      <c r="E289" s="399" t="s">
        <v>922</v>
      </c>
      <c r="F289" s="399" t="s">
        <v>2374</v>
      </c>
      <c r="G289" s="399" t="s">
        <v>1240</v>
      </c>
      <c r="H289" s="399" t="s">
        <v>1240</v>
      </c>
      <c r="I289" s="399" t="s">
        <v>1240</v>
      </c>
      <c r="J289" s="399" t="s">
        <v>2358</v>
      </c>
      <c r="K289" s="789">
        <v>44593</v>
      </c>
      <c r="L289" s="399">
        <v>78</v>
      </c>
      <c r="M289" s="399">
        <v>73.319999999999993</v>
      </c>
      <c r="N289" s="399">
        <v>0</v>
      </c>
      <c r="O289" s="399">
        <v>0</v>
      </c>
      <c r="P289" s="399">
        <v>0</v>
      </c>
      <c r="Q289" s="399">
        <v>0</v>
      </c>
      <c r="R289" s="399">
        <v>34.950000000000003</v>
      </c>
      <c r="S289" s="399"/>
      <c r="T289" s="399"/>
      <c r="U289" s="399">
        <v>2726.1000000000004</v>
      </c>
      <c r="V289" s="399"/>
      <c r="W289" s="399">
        <v>2726.1000000000004</v>
      </c>
      <c r="X289" s="399">
        <v>2689.4399999999996</v>
      </c>
      <c r="Y289" s="399">
        <v>0</v>
      </c>
      <c r="Z289" s="399">
        <v>0</v>
      </c>
      <c r="AA289" s="399">
        <v>0</v>
      </c>
      <c r="AB289" s="399">
        <v>0</v>
      </c>
      <c r="AC289" s="399">
        <v>0</v>
      </c>
      <c r="AD289" s="399">
        <v>988.24280189208594</v>
      </c>
      <c r="AE289" s="399">
        <v>1738.2150234222775</v>
      </c>
      <c r="AF289" s="399"/>
      <c r="AG289" s="399"/>
      <c r="AH289" s="399"/>
      <c r="AI289" s="399">
        <v>0</v>
      </c>
      <c r="AJ289" s="399">
        <v>0</v>
      </c>
      <c r="AK289" s="399">
        <v>0</v>
      </c>
      <c r="AL289" s="399">
        <v>0</v>
      </c>
      <c r="AM289" s="399"/>
      <c r="AN289" s="399">
        <v>0</v>
      </c>
      <c r="AO289" s="399">
        <v>0</v>
      </c>
      <c r="AP289" s="399">
        <v>0</v>
      </c>
      <c r="AQ289" s="399">
        <v>0</v>
      </c>
      <c r="AR289" s="399">
        <v>0</v>
      </c>
      <c r="AS289" s="399"/>
      <c r="AT289" s="399"/>
      <c r="AU289" s="399">
        <v>0</v>
      </c>
      <c r="AV289" s="399">
        <v>0</v>
      </c>
      <c r="AW289" s="399">
        <v>0</v>
      </c>
      <c r="AX289" s="399"/>
      <c r="AY289" s="399"/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/>
      <c r="BG289" s="399">
        <v>0</v>
      </c>
      <c r="BH289" s="399">
        <v>0</v>
      </c>
      <c r="BI289" s="399">
        <v>28.71</v>
      </c>
      <c r="BJ289" s="399">
        <v>132.55000000000001</v>
      </c>
      <c r="BK289" s="399">
        <v>771.23</v>
      </c>
      <c r="BL289" s="399">
        <v>1</v>
      </c>
      <c r="BM289" s="399"/>
      <c r="BN289" s="399"/>
      <c r="BO289" s="399"/>
      <c r="BP289" s="399"/>
      <c r="BQ289" s="399">
        <v>161.36640000000023</v>
      </c>
      <c r="BR289" s="399"/>
      <c r="BS289" s="399"/>
      <c r="BT289" s="399"/>
      <c r="BU289" s="399"/>
      <c r="BV289" s="399">
        <v>0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2528.0735999999997</v>
      </c>
      <c r="CJ289" s="399">
        <v>-34.490400000001046</v>
      </c>
      <c r="CK289" s="399"/>
      <c r="CL289" s="399"/>
      <c r="CM289" s="399"/>
      <c r="CN289" s="399"/>
      <c r="CO289" s="399">
        <v>-36.660000000000466</v>
      </c>
      <c r="CP289" s="399">
        <v>0</v>
      </c>
      <c r="CQ289" s="399">
        <v>29</v>
      </c>
      <c r="CR289" s="399">
        <v>41.359296985944638</v>
      </c>
      <c r="CS289" s="399">
        <v>0</v>
      </c>
      <c r="CT289" s="399">
        <v>0</v>
      </c>
      <c r="CU289" s="399">
        <v>0</v>
      </c>
      <c r="CV289" s="399">
        <v>0</v>
      </c>
      <c r="CW289" s="399"/>
      <c r="CX289" s="399"/>
      <c r="CY289" s="399"/>
      <c r="CZ289" s="399">
        <v>41.359296985944638</v>
      </c>
      <c r="DA289" s="399">
        <v>0</v>
      </c>
      <c r="DB289" s="399">
        <v>0</v>
      </c>
      <c r="DC289" s="399"/>
      <c r="DD289" s="399"/>
      <c r="DE289" s="399">
        <v>0</v>
      </c>
      <c r="DF289" s="399">
        <v>0</v>
      </c>
      <c r="DG289" s="399">
        <v>0</v>
      </c>
      <c r="DH289" s="399">
        <v>0</v>
      </c>
      <c r="DI289" s="399">
        <v>0</v>
      </c>
      <c r="DJ289" s="399"/>
      <c r="DK289" s="399">
        <v>0</v>
      </c>
      <c r="DL289" s="399">
        <v>0</v>
      </c>
      <c r="DM289" s="399"/>
      <c r="DN289" s="399">
        <v>0</v>
      </c>
      <c r="DO289" s="399">
        <v>0</v>
      </c>
      <c r="DP289" s="399">
        <v>0</v>
      </c>
      <c r="DQ289" s="399">
        <v>0</v>
      </c>
      <c r="DR289" s="399">
        <v>0</v>
      </c>
      <c r="DS289" s="399"/>
      <c r="DT289" s="399"/>
      <c r="DU289" s="399">
        <v>1738.2150234222775</v>
      </c>
      <c r="DV289" s="399"/>
      <c r="DW289" s="399">
        <v>0</v>
      </c>
      <c r="DX289" s="399">
        <v>0</v>
      </c>
      <c r="DY289" s="399">
        <v>-36.660000000000764</v>
      </c>
      <c r="DZ289" s="399"/>
      <c r="EA289" s="399">
        <v>0</v>
      </c>
      <c r="EB289" s="399"/>
      <c r="EC289" s="399">
        <v>-78.284390684721075</v>
      </c>
      <c r="ED289" s="399"/>
      <c r="EE289" s="399">
        <v>0</v>
      </c>
      <c r="EF289" s="399">
        <v>0</v>
      </c>
      <c r="EG289" s="399"/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/>
      <c r="EN289" s="399"/>
      <c r="EO289" s="399">
        <v>0</v>
      </c>
      <c r="EP289" s="399">
        <v>0</v>
      </c>
      <c r="EQ289" s="399"/>
      <c r="ER289" s="399">
        <v>0</v>
      </c>
      <c r="ES289" s="399"/>
      <c r="ET289" s="399">
        <v>0</v>
      </c>
      <c r="EU289" s="399"/>
      <c r="EV289" s="399">
        <v>225</v>
      </c>
      <c r="EW289" s="399"/>
      <c r="EX289" s="399"/>
      <c r="EY289" s="399"/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957</v>
      </c>
      <c r="C290" s="399" t="s">
        <v>2357</v>
      </c>
      <c r="D290" s="399" t="s">
        <v>1826</v>
      </c>
      <c r="E290" s="399" t="s">
        <v>2375</v>
      </c>
      <c r="F290" s="399" t="s">
        <v>1240</v>
      </c>
      <c r="G290" s="399" t="s">
        <v>1240</v>
      </c>
      <c r="H290" s="399" t="s">
        <v>1240</v>
      </c>
      <c r="I290" s="399" t="s">
        <v>1240</v>
      </c>
      <c r="J290" s="399" t="s">
        <v>2358</v>
      </c>
      <c r="K290" s="789">
        <v>44593</v>
      </c>
      <c r="L290" s="399">
        <v>0</v>
      </c>
      <c r="M290" s="399">
        <v>0</v>
      </c>
      <c r="N290" s="399">
        <v>9.0310000000000006</v>
      </c>
      <c r="O290" s="399">
        <v>9.0310000000000006</v>
      </c>
      <c r="P290" s="399">
        <v>9.0310000000000006</v>
      </c>
      <c r="Q290" s="399">
        <v>9.0310000000000006</v>
      </c>
      <c r="R290" s="399"/>
      <c r="S290" s="399">
        <v>522.37</v>
      </c>
      <c r="T290" s="399">
        <v>144.41999999999999</v>
      </c>
      <c r="U290" s="399"/>
      <c r="V290" s="399">
        <v>6021.7804900000001</v>
      </c>
      <c r="W290" s="399">
        <v>6021.7804900000001</v>
      </c>
      <c r="X290" s="399">
        <v>5885.8639400000002</v>
      </c>
      <c r="Y290" s="399">
        <v>0</v>
      </c>
      <c r="Z290" s="399">
        <v>554.51220915417321</v>
      </c>
      <c r="AA290" s="399">
        <v>0</v>
      </c>
      <c r="AB290" s="399">
        <v>0</v>
      </c>
      <c r="AC290" s="399">
        <v>0</v>
      </c>
      <c r="AD290" s="399">
        <v>920.83375440323857</v>
      </c>
      <c r="AE290" s="399">
        <v>2997.4540893861322</v>
      </c>
      <c r="AF290" s="399">
        <v>1304.2734892069191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85.638766302005749</v>
      </c>
      <c r="AM290" s="399"/>
      <c r="AN290" s="399">
        <v>13.138797222781905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145.92582681031001</v>
      </c>
      <c r="BH290" s="399">
        <v>0</v>
      </c>
      <c r="BI290" s="399">
        <v>0</v>
      </c>
      <c r="BJ290" s="399">
        <v>0</v>
      </c>
      <c r="BK290" s="399">
        <v>0</v>
      </c>
      <c r="BL290" s="399">
        <v>3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1450.1993160172292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5885.212199999999</v>
      </c>
      <c r="CJ290" s="399">
        <v>-136.59829000000173</v>
      </c>
      <c r="CK290" s="399"/>
      <c r="CL290" s="399"/>
      <c r="CM290" s="399"/>
      <c r="CN290" s="399"/>
      <c r="CO290" s="399">
        <v>-188.65758999999989</v>
      </c>
      <c r="CP290" s="399">
        <v>52.741040000000034</v>
      </c>
      <c r="CQ290" s="399">
        <v>29</v>
      </c>
      <c r="CR290" s="399">
        <v>-0.86678414063771925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38.538137237261367</v>
      </c>
      <c r="DA290" s="399">
        <v>0</v>
      </c>
      <c r="DB290" s="399">
        <v>0</v>
      </c>
      <c r="DC290" s="399">
        <v>52.739165149408791</v>
      </c>
      <c r="DD290" s="399">
        <v>0</v>
      </c>
      <c r="DE290" s="399">
        <v>0</v>
      </c>
      <c r="DF290" s="399">
        <v>0</v>
      </c>
      <c r="DG290" s="399">
        <v>5.900607766237556</v>
      </c>
      <c r="DH290" s="399">
        <v>0</v>
      </c>
      <c r="DI290" s="399">
        <v>-85.190329005930153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-11.268739354747268</v>
      </c>
      <c r="DP290" s="399">
        <v>-1.5856259328679787</v>
      </c>
      <c r="DQ290" s="399">
        <v>0</v>
      </c>
      <c r="DR290" s="399">
        <v>0</v>
      </c>
      <c r="DS290" s="399"/>
      <c r="DT290" s="399"/>
      <c r="DU290" s="399"/>
      <c r="DV290" s="399">
        <v>2997.4540893861322</v>
      </c>
      <c r="DW290" s="399">
        <v>0</v>
      </c>
      <c r="DX290" s="399">
        <v>0</v>
      </c>
      <c r="DY290" s="399">
        <v>-188.6575899999998</v>
      </c>
      <c r="DZ290" s="399">
        <v>52.741039999999884</v>
      </c>
      <c r="EA290" s="399">
        <v>0</v>
      </c>
      <c r="EB290" s="399">
        <v>0</v>
      </c>
      <c r="EC290" s="399">
        <v>-134.99703076494552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225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957</v>
      </c>
      <c r="C291" s="399" t="s">
        <v>2357</v>
      </c>
      <c r="D291" s="399" t="s">
        <v>2369</v>
      </c>
      <c r="E291" s="399" t="s">
        <v>895</v>
      </c>
      <c r="F291" s="399" t="s">
        <v>2376</v>
      </c>
      <c r="G291" s="399" t="s">
        <v>2377</v>
      </c>
      <c r="H291" s="399" t="s">
        <v>1240</v>
      </c>
      <c r="I291" s="399" t="s">
        <v>1240</v>
      </c>
      <c r="J291" s="399" t="s">
        <v>2358</v>
      </c>
      <c r="K291" s="789">
        <v>44593</v>
      </c>
      <c r="L291" s="399">
        <v>0</v>
      </c>
      <c r="M291" s="399">
        <v>0</v>
      </c>
      <c r="N291" s="399">
        <v>0</v>
      </c>
      <c r="O291" s="399">
        <v>0</v>
      </c>
      <c r="P291" s="399">
        <v>0</v>
      </c>
      <c r="Q291" s="399">
        <v>0</v>
      </c>
      <c r="R291" s="399"/>
      <c r="S291" s="399"/>
      <c r="T291" s="399"/>
      <c r="U291" s="399"/>
      <c r="V291" s="399"/>
      <c r="W291" s="399"/>
      <c r="X291" s="399"/>
      <c r="Y291" s="399"/>
      <c r="Z291" s="399"/>
      <c r="AA291" s="399">
        <v>0</v>
      </c>
      <c r="AB291" s="399"/>
      <c r="AC291" s="399"/>
      <c r="AD291" s="399"/>
      <c r="AE291" s="399"/>
      <c r="AF291" s="399"/>
      <c r="AG291" s="399"/>
      <c r="AH291" s="399"/>
      <c r="AI291" s="399"/>
      <c r="AJ291" s="399"/>
      <c r="AK291" s="399"/>
      <c r="AL291" s="399"/>
      <c r="AM291" s="399"/>
      <c r="AN291" s="399"/>
      <c r="AO291" s="399"/>
      <c r="AP291" s="399"/>
      <c r="AQ291" s="399"/>
      <c r="AR291" s="399"/>
      <c r="AS291" s="399"/>
      <c r="AT291" s="399"/>
      <c r="AU291" s="399"/>
      <c r="AV291" s="399"/>
      <c r="AW291" s="399"/>
      <c r="AX291" s="399"/>
      <c r="AY291" s="399"/>
      <c r="AZ291" s="399">
        <v>0</v>
      </c>
      <c r="BA291" s="399"/>
      <c r="BB291" s="399"/>
      <c r="BC291" s="399"/>
      <c r="BD291" s="399"/>
      <c r="BE291" s="399"/>
      <c r="BF291" s="399"/>
      <c r="BG291" s="399"/>
      <c r="BH291" s="399"/>
      <c r="BI291" s="399">
        <v>0</v>
      </c>
      <c r="BJ291" s="399">
        <v>0</v>
      </c>
      <c r="BK291" s="399">
        <v>877.28</v>
      </c>
      <c r="BL291" s="399">
        <v>2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/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/>
      <c r="CJ291" s="399">
        <v>-0.03</v>
      </c>
      <c r="CK291" s="399"/>
      <c r="CL291" s="399"/>
      <c r="CM291" s="399"/>
      <c r="CN291" s="399"/>
      <c r="CO291" s="399">
        <v>0</v>
      </c>
      <c r="CP291" s="399">
        <v>0</v>
      </c>
      <c r="CQ291" s="399">
        <v>29</v>
      </c>
      <c r="CR291" s="399"/>
      <c r="CS291" s="399"/>
      <c r="CT291" s="399"/>
      <c r="CU291" s="399"/>
      <c r="CV291" s="399"/>
      <c r="CW291" s="399"/>
      <c r="CX291" s="399"/>
      <c r="CY291" s="399"/>
      <c r="CZ291" s="399"/>
      <c r="DA291" s="399"/>
      <c r="DB291" s="399"/>
      <c r="DC291" s="399"/>
      <c r="DD291" s="399"/>
      <c r="DE291" s="399"/>
      <c r="DF291" s="399"/>
      <c r="DG291" s="399"/>
      <c r="DH291" s="399"/>
      <c r="DI291" s="399"/>
      <c r="DJ291" s="399"/>
      <c r="DK291" s="399">
        <v>0</v>
      </c>
      <c r="DL291" s="399"/>
      <c r="DM291" s="399"/>
      <c r="DN291" s="399"/>
      <c r="DO291" s="399"/>
      <c r="DP291" s="399"/>
      <c r="DQ291" s="399"/>
      <c r="DR291" s="399"/>
      <c r="DS291" s="399"/>
      <c r="DT291" s="399"/>
      <c r="DU291" s="399"/>
      <c r="DV291" s="399"/>
      <c r="DW291" s="399"/>
      <c r="DX291" s="399"/>
      <c r="DY291" s="399"/>
      <c r="DZ291" s="399"/>
      <c r="EA291" s="399"/>
      <c r="EB291" s="399"/>
      <c r="EC291" s="399"/>
      <c r="ED291" s="399"/>
      <c r="EE291" s="399"/>
      <c r="EF291" s="399"/>
      <c r="EG291" s="399"/>
      <c r="EH291" s="399"/>
      <c r="EI291" s="399"/>
      <c r="EJ291" s="399"/>
      <c r="EK291" s="399"/>
      <c r="EL291" s="399"/>
      <c r="EM291" s="399"/>
      <c r="EN291" s="399"/>
      <c r="EO291" s="399"/>
      <c r="EP291" s="399"/>
      <c r="EQ291" s="399"/>
      <c r="ER291" s="399"/>
      <c r="ES291" s="399"/>
      <c r="ET291" s="399"/>
      <c r="EU291" s="399"/>
      <c r="EV291" s="399">
        <v>225</v>
      </c>
      <c r="EW291" s="399"/>
      <c r="EX291" s="399"/>
      <c r="EY291" s="399"/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957</v>
      </c>
      <c r="C292" s="399" t="s">
        <v>2357</v>
      </c>
      <c r="D292" s="399" t="s">
        <v>2369</v>
      </c>
      <c r="E292" s="399" t="s">
        <v>895</v>
      </c>
      <c r="F292" s="399" t="s">
        <v>2376</v>
      </c>
      <c r="G292" s="399" t="s">
        <v>2377</v>
      </c>
      <c r="H292" s="399" t="s">
        <v>1240</v>
      </c>
      <c r="I292" s="399" t="s">
        <v>1240</v>
      </c>
      <c r="J292" s="399" t="s">
        <v>2358</v>
      </c>
      <c r="K292" s="789">
        <v>44593</v>
      </c>
      <c r="L292" s="399">
        <v>0</v>
      </c>
      <c r="M292" s="399">
        <v>0</v>
      </c>
      <c r="N292" s="399">
        <v>3.2069999999999999</v>
      </c>
      <c r="O292" s="399">
        <v>3.2069999999999999</v>
      </c>
      <c r="P292" s="399">
        <v>3.2069999999999999</v>
      </c>
      <c r="Q292" s="399">
        <v>3.2069999999999999</v>
      </c>
      <c r="R292" s="399"/>
      <c r="S292" s="399">
        <v>522.37</v>
      </c>
      <c r="T292" s="399">
        <v>144.41999999999999</v>
      </c>
      <c r="U292" s="399"/>
      <c r="V292" s="399">
        <v>2138.3955299999998</v>
      </c>
      <c r="W292" s="399">
        <v>2138.3955299999998</v>
      </c>
      <c r="X292" s="399">
        <v>2090.1301800000001</v>
      </c>
      <c r="Y292" s="399">
        <v>0</v>
      </c>
      <c r="Z292" s="399">
        <v>196.91292822028936</v>
      </c>
      <c r="AA292" s="399">
        <v>0</v>
      </c>
      <c r="AB292" s="399">
        <v>0</v>
      </c>
      <c r="AC292" s="399">
        <v>0</v>
      </c>
      <c r="AD292" s="399">
        <v>326.99743664834301</v>
      </c>
      <c r="AE292" s="399">
        <v>1064.4264494143865</v>
      </c>
      <c r="AF292" s="399">
        <v>463.16078838296852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30.411197379086747</v>
      </c>
      <c r="AM292" s="399"/>
      <c r="AN292" s="399">
        <v>4.6657205950018339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51.819746050344826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>
        <v>250.78740000000005</v>
      </c>
      <c r="BS292" s="399"/>
      <c r="BT292" s="399"/>
      <c r="BU292" s="399"/>
      <c r="BV292" s="399">
        <v>514.98053443331332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1841.0634</v>
      </c>
      <c r="CJ292" s="399">
        <v>-40.737989999999854</v>
      </c>
      <c r="CK292" s="399"/>
      <c r="CL292" s="399"/>
      <c r="CM292" s="399"/>
      <c r="CN292" s="399"/>
      <c r="CO292" s="399">
        <v>-66.994229999999959</v>
      </c>
      <c r="CP292" s="399">
        <v>18.728880000000011</v>
      </c>
      <c r="CQ292" s="399">
        <v>29</v>
      </c>
      <c r="CR292" s="399">
        <v>-0.30780386878836907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13.685284699357453</v>
      </c>
      <c r="DA292" s="399">
        <v>0</v>
      </c>
      <c r="DB292" s="399">
        <v>0</v>
      </c>
      <c r="DC292" s="399">
        <v>18.728214221476492</v>
      </c>
      <c r="DD292" s="399">
        <v>0</v>
      </c>
      <c r="DE292" s="399">
        <v>0</v>
      </c>
      <c r="DF292" s="399">
        <v>0</v>
      </c>
      <c r="DG292" s="399">
        <v>2.0953658627310219</v>
      </c>
      <c r="DH292" s="399">
        <v>0</v>
      </c>
      <c r="DI292" s="399">
        <v>-30.251952731925371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-4.0016440162412259</v>
      </c>
      <c r="DP292" s="399">
        <v>-0.56307190418642517</v>
      </c>
      <c r="DQ292" s="399">
        <v>0</v>
      </c>
      <c r="DR292" s="399">
        <v>0</v>
      </c>
      <c r="DS292" s="399"/>
      <c r="DT292" s="399"/>
      <c r="DU292" s="399"/>
      <c r="DV292" s="399">
        <v>1064.4264494143865</v>
      </c>
      <c r="DW292" s="399">
        <v>0</v>
      </c>
      <c r="DX292" s="399">
        <v>0</v>
      </c>
      <c r="DY292" s="399">
        <v>-66.994229999999789</v>
      </c>
      <c r="DZ292" s="399">
        <v>18.728880000000004</v>
      </c>
      <c r="EA292" s="399">
        <v>0</v>
      </c>
      <c r="EB292" s="399">
        <v>0</v>
      </c>
      <c r="EC292" s="399">
        <v>-47.938819362548998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225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957</v>
      </c>
      <c r="C293" s="399" t="s">
        <v>2357</v>
      </c>
      <c r="D293" s="399" t="s">
        <v>2369</v>
      </c>
      <c r="E293" s="399" t="s">
        <v>895</v>
      </c>
      <c r="F293" s="399" t="s">
        <v>2376</v>
      </c>
      <c r="G293" s="399" t="s">
        <v>2378</v>
      </c>
      <c r="H293" s="399" t="s">
        <v>1240</v>
      </c>
      <c r="I293" s="399" t="s">
        <v>1240</v>
      </c>
      <c r="J293" s="399" t="s">
        <v>2358</v>
      </c>
      <c r="K293" s="789">
        <v>44593</v>
      </c>
      <c r="L293" s="399">
        <v>0</v>
      </c>
      <c r="M293" s="399">
        <v>0</v>
      </c>
      <c r="N293" s="399">
        <v>1.02</v>
      </c>
      <c r="O293" s="399">
        <v>0.40799999999999997</v>
      </c>
      <c r="P293" s="399">
        <v>1.02</v>
      </c>
      <c r="Q293" s="399">
        <v>0.40799999999999997</v>
      </c>
      <c r="R293" s="399"/>
      <c r="S293" s="399">
        <v>522.37</v>
      </c>
      <c r="T293" s="399">
        <v>144.41999999999999</v>
      </c>
      <c r="U293" s="399"/>
      <c r="V293" s="399">
        <v>680.12580000000003</v>
      </c>
      <c r="W293" s="399">
        <v>680.12580000000003</v>
      </c>
      <c r="X293" s="399">
        <v>664.77480000000003</v>
      </c>
      <c r="Y293" s="399">
        <v>0</v>
      </c>
      <c r="Z293" s="399">
        <v>62.62899494377772</v>
      </c>
      <c r="AA293" s="399">
        <v>0</v>
      </c>
      <c r="AB293" s="399">
        <v>0</v>
      </c>
      <c r="AC293" s="399">
        <v>0</v>
      </c>
      <c r="AD293" s="399">
        <v>104.00292652987524</v>
      </c>
      <c r="AE293" s="399">
        <v>338.54536276977683</v>
      </c>
      <c r="AF293" s="399">
        <v>147.31026010309571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9.6724107660332042</v>
      </c>
      <c r="AM293" s="399"/>
      <c r="AN293" s="399">
        <v>1.4839522940136798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16.481490792438954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/>
      <c r="BR293" s="399"/>
      <c r="BS293" s="399">
        <v>430.77048000000002</v>
      </c>
      <c r="BT293" s="399"/>
      <c r="BU293" s="399"/>
      <c r="BV293" s="399">
        <v>163.79175089553468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235.15139999999997</v>
      </c>
      <c r="CJ293" s="399">
        <v>-4.280760000000015</v>
      </c>
      <c r="CK293" s="399"/>
      <c r="CL293" s="399"/>
      <c r="CM293" s="399"/>
      <c r="CN293" s="399"/>
      <c r="CO293" s="399">
        <v>-21.307799999999986</v>
      </c>
      <c r="CP293" s="399">
        <v>5.9568000000000039</v>
      </c>
      <c r="CQ293" s="399">
        <v>29</v>
      </c>
      <c r="CR293" s="399">
        <v>-9.7898330578061632E-2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4.352663047503782</v>
      </c>
      <c r="DA293" s="399">
        <v>0</v>
      </c>
      <c r="DB293" s="399">
        <v>0</v>
      </c>
      <c r="DC293" s="399">
        <v>5.9565882463068078</v>
      </c>
      <c r="DD293" s="399">
        <v>0</v>
      </c>
      <c r="DE293" s="399">
        <v>0</v>
      </c>
      <c r="DF293" s="399">
        <v>0</v>
      </c>
      <c r="DG293" s="399">
        <v>0.66644003117731287</v>
      </c>
      <c r="DH293" s="399">
        <v>0</v>
      </c>
      <c r="DI293" s="399">
        <v>-9.6217623282082485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-1.2727399116202207</v>
      </c>
      <c r="DP293" s="399">
        <v>-0.17908741573749731</v>
      </c>
      <c r="DQ293" s="399">
        <v>0</v>
      </c>
      <c r="DR293" s="399">
        <v>0</v>
      </c>
      <c r="DS293" s="399"/>
      <c r="DT293" s="399"/>
      <c r="DU293" s="399"/>
      <c r="DV293" s="399">
        <v>338.54536276977683</v>
      </c>
      <c r="DW293" s="399">
        <v>0</v>
      </c>
      <c r="DX293" s="399">
        <v>0</v>
      </c>
      <c r="DY293" s="399">
        <v>-21.307799999999986</v>
      </c>
      <c r="DZ293" s="399">
        <v>5.9568000000000154</v>
      </c>
      <c r="EA293" s="399">
        <v>0</v>
      </c>
      <c r="EB293" s="399">
        <v>0</v>
      </c>
      <c r="EC293" s="399">
        <v>-15.247145540941688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225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957</v>
      </c>
      <c r="C294" s="399" t="s">
        <v>2357</v>
      </c>
      <c r="D294" s="399" t="s">
        <v>1823</v>
      </c>
      <c r="E294" s="399" t="s">
        <v>890</v>
      </c>
      <c r="F294" s="399" t="s">
        <v>890</v>
      </c>
      <c r="G294" s="399" t="s">
        <v>1240</v>
      </c>
      <c r="H294" s="399" t="s">
        <v>1240</v>
      </c>
      <c r="I294" s="399" t="s">
        <v>1240</v>
      </c>
      <c r="J294" s="399" t="s">
        <v>2358</v>
      </c>
      <c r="K294" s="789">
        <v>44621</v>
      </c>
      <c r="L294" s="399">
        <v>0</v>
      </c>
      <c r="M294" s="399">
        <v>0</v>
      </c>
      <c r="N294" s="399">
        <v>2763.9760000000001</v>
      </c>
      <c r="O294" s="399">
        <v>2763.9760000000001</v>
      </c>
      <c r="P294" s="399">
        <v>2763.9760000000001</v>
      </c>
      <c r="Q294" s="399">
        <v>2763.9760000000001</v>
      </c>
      <c r="R294" s="399"/>
      <c r="S294" s="399">
        <v>522.37</v>
      </c>
      <c r="T294" s="399">
        <v>144.41999999999999</v>
      </c>
      <c r="U294" s="399"/>
      <c r="V294" s="399">
        <v>1842991.5570400001</v>
      </c>
      <c r="W294" s="399">
        <v>1842991.5570400001</v>
      </c>
      <c r="X294" s="399">
        <v>1801393.7182400001</v>
      </c>
      <c r="Y294" s="399">
        <v>0</v>
      </c>
      <c r="Z294" s="399">
        <v>169710.82247914019</v>
      </c>
      <c r="AA294" s="399">
        <v>0</v>
      </c>
      <c r="AB294" s="399">
        <v>0</v>
      </c>
      <c r="AC294" s="399">
        <v>0</v>
      </c>
      <c r="AD294" s="399">
        <v>281825.09103758674</v>
      </c>
      <c r="AE294" s="399">
        <v>917383.58588917332</v>
      </c>
      <c r="AF294" s="399">
        <v>399178.45439089614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26210.109038683717</v>
      </c>
      <c r="AM294" s="399"/>
      <c r="AN294" s="399">
        <v>4021.1848292144655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44661.220582864953</v>
      </c>
      <c r="BH294" s="399">
        <v>0</v>
      </c>
      <c r="BI294" s="399">
        <v>641.72</v>
      </c>
      <c r="BJ294" s="399">
        <v>2978.37</v>
      </c>
      <c r="BK294" s="399">
        <v>441077.29</v>
      </c>
      <c r="BL294" s="399">
        <v>11984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443839.67497376108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1801396.3251999998</v>
      </c>
      <c r="CJ294" s="399">
        <v>-41595.261840000283</v>
      </c>
      <c r="CK294" s="399"/>
      <c r="CL294" s="399"/>
      <c r="CM294" s="399"/>
      <c r="CN294" s="399"/>
      <c r="CO294" s="399">
        <v>-57739.458639999968</v>
      </c>
      <c r="CP294" s="399">
        <v>16141.61984000001</v>
      </c>
      <c r="CQ294" s="399">
        <v>31</v>
      </c>
      <c r="CR294" s="399">
        <v>-265.28297662525438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11794.760979791463</v>
      </c>
      <c r="DA294" s="399">
        <v>0</v>
      </c>
      <c r="DB294" s="399">
        <v>0</v>
      </c>
      <c r="DC294" s="399">
        <v>16141.046033994295</v>
      </c>
      <c r="DD294" s="399">
        <v>0</v>
      </c>
      <c r="DE294" s="399">
        <v>0</v>
      </c>
      <c r="DF294" s="399">
        <v>0</v>
      </c>
      <c r="DG294" s="399">
        <v>1805.9061290326863</v>
      </c>
      <c r="DH294" s="399">
        <v>0</v>
      </c>
      <c r="DI294" s="399">
        <v>-26072.862894972292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-3448.8456568239344</v>
      </c>
      <c r="DP294" s="399">
        <v>-485.28756764751461</v>
      </c>
      <c r="DQ294" s="399">
        <v>0</v>
      </c>
      <c r="DR294" s="399">
        <v>0</v>
      </c>
      <c r="DS294" s="399"/>
      <c r="DT294" s="399"/>
      <c r="DU294" s="399"/>
      <c r="DV294" s="399">
        <v>917383.58588917332</v>
      </c>
      <c r="DW294" s="399">
        <v>0</v>
      </c>
      <c r="DX294" s="399">
        <v>0</v>
      </c>
      <c r="DY294" s="399">
        <v>-57739.458640000084</v>
      </c>
      <c r="DZ294" s="399">
        <v>16141.619840000058</v>
      </c>
      <c r="EA294" s="399">
        <v>0</v>
      </c>
      <c r="EB294" s="399">
        <v>0</v>
      </c>
      <c r="EC294" s="399">
        <v>-41316.416023205849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225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2359</v>
      </c>
      <c r="C295" s="399" t="s">
        <v>2357</v>
      </c>
      <c r="D295" s="399" t="s">
        <v>1823</v>
      </c>
      <c r="E295" s="399" t="s">
        <v>890</v>
      </c>
      <c r="F295" s="399" t="s">
        <v>890</v>
      </c>
      <c r="G295" s="399" t="s">
        <v>1240</v>
      </c>
      <c r="H295" s="399" t="s">
        <v>1240</v>
      </c>
      <c r="I295" s="399" t="s">
        <v>1240</v>
      </c>
      <c r="J295" s="399" t="s">
        <v>2358</v>
      </c>
      <c r="K295" s="789">
        <v>44621</v>
      </c>
      <c r="L295" s="399">
        <v>0</v>
      </c>
      <c r="M295" s="399">
        <v>0</v>
      </c>
      <c r="N295" s="399">
        <v>-4.5149999999999997</v>
      </c>
      <c r="O295" s="399">
        <v>-4.5149999999999997</v>
      </c>
      <c r="P295" s="399">
        <v>-4.5149999999999997</v>
      </c>
      <c r="Q295" s="399">
        <v>-4.5149999999999997</v>
      </c>
      <c r="R295" s="399"/>
      <c r="S295" s="399">
        <v>522.37</v>
      </c>
      <c r="T295" s="399">
        <v>144.41999999999999</v>
      </c>
      <c r="U295" s="399"/>
      <c r="V295" s="399">
        <v>-3010.5568499999995</v>
      </c>
      <c r="W295" s="399">
        <v>-3010.5568499999995</v>
      </c>
      <c r="X295" s="399">
        <v>-2942.6060999999995</v>
      </c>
      <c r="Y295" s="399">
        <v>0</v>
      </c>
      <c r="Z295" s="399">
        <v>-277.22540408936902</v>
      </c>
      <c r="AA295" s="399">
        <v>0</v>
      </c>
      <c r="AB295" s="399">
        <v>0</v>
      </c>
      <c r="AC295" s="399">
        <v>0</v>
      </c>
      <c r="AD295" s="399">
        <v>-460.36589537488891</v>
      </c>
      <c r="AE295" s="399">
        <v>-1498.561091083865</v>
      </c>
      <c r="AF295" s="399">
        <v>-652.06453369164421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-42.814641773176383</v>
      </c>
      <c r="AM295" s="399"/>
      <c r="AN295" s="399">
        <v>-6.5686711837958462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-72.954834243001841</v>
      </c>
      <c r="BH295" s="399">
        <v>0</v>
      </c>
      <c r="BI295" s="399">
        <v>0</v>
      </c>
      <c r="BJ295" s="399">
        <v>0</v>
      </c>
      <c r="BK295" s="399">
        <v>-839.48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-725.01936793464608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-2945.8647999999994</v>
      </c>
      <c r="CJ295" s="399">
        <v>64.662049999999454</v>
      </c>
      <c r="CK295" s="399"/>
      <c r="CL295" s="399"/>
      <c r="CM295" s="399"/>
      <c r="CN295" s="399"/>
      <c r="CO295" s="399">
        <v>94.318349999999938</v>
      </c>
      <c r="CP295" s="399">
        <v>-26.367600000000014</v>
      </c>
      <c r="CQ295" s="399">
        <v>31</v>
      </c>
      <c r="CR295" s="399">
        <v>0.43334408094119681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-19.266934960274057</v>
      </c>
      <c r="DA295" s="399">
        <v>0</v>
      </c>
      <c r="DB295" s="399">
        <v>0</v>
      </c>
      <c r="DC295" s="399">
        <v>-26.366662678505236</v>
      </c>
      <c r="DD295" s="399">
        <v>0</v>
      </c>
      <c r="DE295" s="399">
        <v>0</v>
      </c>
      <c r="DF295" s="399">
        <v>0</v>
      </c>
      <c r="DG295" s="399">
        <v>-2.9499771968289821</v>
      </c>
      <c r="DH295" s="399">
        <v>0</v>
      </c>
      <c r="DI295" s="399">
        <v>42.590447952804197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5.6337457852600963</v>
      </c>
      <c r="DP295" s="399">
        <v>0.79272517848509771</v>
      </c>
      <c r="DQ295" s="399">
        <v>0</v>
      </c>
      <c r="DR295" s="399">
        <v>0</v>
      </c>
      <c r="DS295" s="399"/>
      <c r="DT295" s="399"/>
      <c r="DU295" s="399"/>
      <c r="DV295" s="399">
        <v>-1498.561091083865</v>
      </c>
      <c r="DW295" s="399">
        <v>0</v>
      </c>
      <c r="DX295" s="399">
        <v>0</v>
      </c>
      <c r="DY295" s="399">
        <v>94.318350000000009</v>
      </c>
      <c r="DZ295" s="399">
        <v>-26.367600000000039</v>
      </c>
      <c r="EA295" s="399">
        <v>0</v>
      </c>
      <c r="EB295" s="399">
        <v>0</v>
      </c>
      <c r="EC295" s="399">
        <v>67.491041291521242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225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2360</v>
      </c>
      <c r="C296" s="399" t="s">
        <v>2357</v>
      </c>
      <c r="D296" s="399" t="s">
        <v>1823</v>
      </c>
      <c r="E296" s="399" t="s">
        <v>890</v>
      </c>
      <c r="F296" s="399" t="s">
        <v>890</v>
      </c>
      <c r="G296" s="399" t="s">
        <v>1240</v>
      </c>
      <c r="H296" s="399" t="s">
        <v>1240</v>
      </c>
      <c r="I296" s="399" t="s">
        <v>1240</v>
      </c>
      <c r="J296" s="399" t="s">
        <v>2358</v>
      </c>
      <c r="K296" s="789">
        <v>44621</v>
      </c>
      <c r="L296" s="399">
        <v>0</v>
      </c>
      <c r="M296" s="399">
        <v>0</v>
      </c>
      <c r="N296" s="399">
        <v>11.647</v>
      </c>
      <c r="O296" s="399">
        <v>11.647</v>
      </c>
      <c r="P296" s="399">
        <v>11.647</v>
      </c>
      <c r="Q296" s="399">
        <v>11.647</v>
      </c>
      <c r="R296" s="399"/>
      <c r="S296" s="399">
        <v>522.37</v>
      </c>
      <c r="T296" s="399">
        <v>144.41999999999999</v>
      </c>
      <c r="U296" s="399"/>
      <c r="V296" s="399">
        <v>7766.1031299999995</v>
      </c>
      <c r="W296" s="399">
        <v>7766.1031299999995</v>
      </c>
      <c r="X296" s="399">
        <v>7590.8157800000008</v>
      </c>
      <c r="Y296" s="399">
        <v>0</v>
      </c>
      <c r="Z296" s="399">
        <v>715.13716089233253</v>
      </c>
      <c r="AA296" s="399">
        <v>0</v>
      </c>
      <c r="AB296" s="399">
        <v>0</v>
      </c>
      <c r="AC296" s="399">
        <v>0</v>
      </c>
      <c r="AD296" s="399">
        <v>1187.5706718563304</v>
      </c>
      <c r="AE296" s="399">
        <v>3865.7233727250891</v>
      </c>
      <c r="AF296" s="399">
        <v>1682.0809798242703</v>
      </c>
      <c r="AG296" s="399">
        <v>0</v>
      </c>
      <c r="AH296" s="399">
        <v>0</v>
      </c>
      <c r="AI296" s="399">
        <v>0</v>
      </c>
      <c r="AJ296" s="399">
        <v>0</v>
      </c>
      <c r="AK296" s="399">
        <v>0</v>
      </c>
      <c r="AL296" s="399">
        <v>110.44565509018503</v>
      </c>
      <c r="AM296" s="399"/>
      <c r="AN296" s="399">
        <v>16.94469840036993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188.19600319562403</v>
      </c>
      <c r="BH296" s="399">
        <v>0</v>
      </c>
      <c r="BI296" s="399">
        <v>3.24</v>
      </c>
      <c r="BJ296" s="399">
        <v>15.04</v>
      </c>
      <c r="BK296" s="399">
        <v>6637.09</v>
      </c>
      <c r="BL296" s="399">
        <v>90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1870.2769830198945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7592.7710000000006</v>
      </c>
      <c r="CJ296" s="399">
        <v>-173.36212999999952</v>
      </c>
      <c r="CK296" s="399"/>
      <c r="CL296" s="399"/>
      <c r="CM296" s="399"/>
      <c r="CN296" s="399"/>
      <c r="CO296" s="399">
        <v>-243.30582999999984</v>
      </c>
      <c r="CP296" s="399">
        <v>68.018480000000039</v>
      </c>
      <c r="CQ296" s="399">
        <v>31</v>
      </c>
      <c r="CR296" s="399">
        <v>-1.1178645649438295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49.701437759094688</v>
      </c>
      <c r="DA296" s="399">
        <v>0</v>
      </c>
      <c r="DB296" s="399">
        <v>0</v>
      </c>
      <c r="DC296" s="399">
        <v>68.016062063466279</v>
      </c>
      <c r="DD296" s="399">
        <v>0</v>
      </c>
      <c r="DE296" s="399">
        <v>0</v>
      </c>
      <c r="DF296" s="399">
        <v>0</v>
      </c>
      <c r="DG296" s="399">
        <v>7.6098304344334622</v>
      </c>
      <c r="DH296" s="399">
        <v>0</v>
      </c>
      <c r="DI296" s="399">
        <v>-109.86731944768781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-14.532942892785016</v>
      </c>
      <c r="DP296" s="399">
        <v>-2.0449324814653238</v>
      </c>
      <c r="DQ296" s="399">
        <v>0</v>
      </c>
      <c r="DR296" s="399">
        <v>0</v>
      </c>
      <c r="DS296" s="399"/>
      <c r="DT296" s="399"/>
      <c r="DU296" s="399"/>
      <c r="DV296" s="399">
        <v>3865.7233727250891</v>
      </c>
      <c r="DW296" s="399">
        <v>0</v>
      </c>
      <c r="DX296" s="399">
        <v>0</v>
      </c>
      <c r="DY296" s="399">
        <v>-243.30582999999933</v>
      </c>
      <c r="DZ296" s="399">
        <v>68.018479999999954</v>
      </c>
      <c r="EA296" s="399">
        <v>0</v>
      </c>
      <c r="EB296" s="399">
        <v>0</v>
      </c>
      <c r="EC296" s="399">
        <v>-174.10147462289024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225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957</v>
      </c>
      <c r="C297" s="399" t="s">
        <v>2357</v>
      </c>
      <c r="D297" s="399" t="s">
        <v>1823</v>
      </c>
      <c r="E297" s="399" t="s">
        <v>890</v>
      </c>
      <c r="F297" s="399" t="s">
        <v>2361</v>
      </c>
      <c r="G297" s="399" t="s">
        <v>1240</v>
      </c>
      <c r="H297" s="399" t="s">
        <v>1240</v>
      </c>
      <c r="I297" s="399" t="s">
        <v>1240</v>
      </c>
      <c r="J297" s="399" t="s">
        <v>2358</v>
      </c>
      <c r="K297" s="789">
        <v>44621</v>
      </c>
      <c r="L297" s="399">
        <v>0</v>
      </c>
      <c r="M297" s="399">
        <v>0</v>
      </c>
      <c r="N297" s="399">
        <v>16.2</v>
      </c>
      <c r="O297" s="399">
        <v>16.2</v>
      </c>
      <c r="P297" s="399">
        <v>16.2</v>
      </c>
      <c r="Q297" s="399">
        <v>16.2</v>
      </c>
      <c r="R297" s="399"/>
      <c r="S297" s="399">
        <v>451.48</v>
      </c>
      <c r="T297" s="399">
        <v>144.41999999999999</v>
      </c>
      <c r="U297" s="399"/>
      <c r="V297" s="399">
        <v>9653.58</v>
      </c>
      <c r="W297" s="399">
        <v>9653.58</v>
      </c>
      <c r="X297" s="399">
        <v>9582.9479999999985</v>
      </c>
      <c r="Y297" s="399">
        <v>0</v>
      </c>
      <c r="Z297" s="399">
        <v>0</v>
      </c>
      <c r="AA297" s="399">
        <v>0</v>
      </c>
      <c r="AB297" s="399">
        <v>0</v>
      </c>
      <c r="AC297" s="399">
        <v>0</v>
      </c>
      <c r="AD297" s="399">
        <v>1651.8111860627243</v>
      </c>
      <c r="AE297" s="399">
        <v>5376.8969381082197</v>
      </c>
      <c r="AF297" s="399">
        <v>2339.6335428138727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0</v>
      </c>
      <c r="AM297" s="399"/>
      <c r="AN297" s="399">
        <v>23.568654081393735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261.76485376226572</v>
      </c>
      <c r="BH297" s="399">
        <v>0</v>
      </c>
      <c r="BI297" s="399">
        <v>0.94</v>
      </c>
      <c r="BJ297" s="399">
        <v>4.0599999999999996</v>
      </c>
      <c r="BK297" s="399">
        <v>405.5</v>
      </c>
      <c r="BL297" s="399">
        <v>10</v>
      </c>
      <c r="BM297" s="399"/>
      <c r="BN297" s="399"/>
      <c r="BO297" s="399"/>
      <c r="BP297" s="399"/>
      <c r="BQ297" s="399"/>
      <c r="BR297" s="399"/>
      <c r="BS297" s="399"/>
      <c r="BT297" s="399">
        <v>6228.9</v>
      </c>
      <c r="BU297" s="399"/>
      <c r="BV297" s="399">
        <v>2601.3983965761386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3354.0479999999998</v>
      </c>
      <c r="CJ297" s="399">
        <v>-24.816000000000713</v>
      </c>
      <c r="CK297" s="399"/>
      <c r="CL297" s="399"/>
      <c r="CM297" s="399"/>
      <c r="CN297" s="399"/>
      <c r="CO297" s="399">
        <v>-165.24000000000072</v>
      </c>
      <c r="CP297" s="399">
        <v>94.608000000000047</v>
      </c>
      <c r="CQ297" s="399">
        <v>31</v>
      </c>
      <c r="CR297" s="399">
        <v>171.47547385279995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69.130530754471692</v>
      </c>
      <c r="DA297" s="399">
        <v>0</v>
      </c>
      <c r="DB297" s="399">
        <v>0</v>
      </c>
      <c r="DC297" s="399">
        <v>94.604636853108332</v>
      </c>
      <c r="DD297" s="399">
        <v>0</v>
      </c>
      <c r="DE297" s="399">
        <v>0</v>
      </c>
      <c r="DF297" s="399">
        <v>0</v>
      </c>
      <c r="DG297" s="399">
        <v>10.584635789286722</v>
      </c>
      <c r="DH297" s="399">
        <v>0</v>
      </c>
      <c r="DI297" s="399">
        <v>0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0</v>
      </c>
      <c r="DP297" s="399">
        <v>-2.8443295440661309</v>
      </c>
      <c r="DQ297" s="399">
        <v>0</v>
      </c>
      <c r="DR297" s="399">
        <v>0</v>
      </c>
      <c r="DS297" s="399"/>
      <c r="DT297" s="399"/>
      <c r="DU297" s="399"/>
      <c r="DV297" s="399">
        <v>5376.8969381082197</v>
      </c>
      <c r="DW297" s="399">
        <v>0</v>
      </c>
      <c r="DX297" s="399">
        <v>0</v>
      </c>
      <c r="DY297" s="399">
        <v>-165.24000000000069</v>
      </c>
      <c r="DZ297" s="399">
        <v>94.60799999999972</v>
      </c>
      <c r="EA297" s="399">
        <v>0</v>
      </c>
      <c r="EB297" s="399">
        <v>0</v>
      </c>
      <c r="EC297" s="399">
        <v>-242.16054682672075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225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957</v>
      </c>
      <c r="C298" s="399" t="s">
        <v>2357</v>
      </c>
      <c r="D298" s="399" t="s">
        <v>1823</v>
      </c>
      <c r="E298" s="399" t="s">
        <v>890</v>
      </c>
      <c r="F298" s="399" t="s">
        <v>2362</v>
      </c>
      <c r="G298" s="399" t="s">
        <v>1240</v>
      </c>
      <c r="H298" s="399" t="s">
        <v>1240</v>
      </c>
      <c r="I298" s="399" t="s">
        <v>1240</v>
      </c>
      <c r="J298" s="399" t="s">
        <v>2358</v>
      </c>
      <c r="K298" s="789">
        <v>44621</v>
      </c>
      <c r="L298" s="399">
        <v>0</v>
      </c>
      <c r="M298" s="399">
        <v>0</v>
      </c>
      <c r="N298" s="399">
        <v>36.347999999999999</v>
      </c>
      <c r="O298" s="399">
        <v>36.347999999999999</v>
      </c>
      <c r="P298" s="399">
        <v>36.347999999999999</v>
      </c>
      <c r="Q298" s="399">
        <v>36.347999999999999</v>
      </c>
      <c r="R298" s="399"/>
      <c r="S298" s="399">
        <v>451.48</v>
      </c>
      <c r="T298" s="399">
        <v>144.41999999999999</v>
      </c>
      <c r="U298" s="399"/>
      <c r="V298" s="399">
        <v>21659.7732</v>
      </c>
      <c r="W298" s="399">
        <v>21659.7732</v>
      </c>
      <c r="X298" s="399">
        <v>21501.295919999997</v>
      </c>
      <c r="Y298" s="399">
        <v>0</v>
      </c>
      <c r="Z298" s="399">
        <v>0</v>
      </c>
      <c r="AA298" s="399">
        <v>0</v>
      </c>
      <c r="AB298" s="399">
        <v>0</v>
      </c>
      <c r="AC298" s="399">
        <v>0</v>
      </c>
      <c r="AD298" s="399">
        <v>3706.1748759881425</v>
      </c>
      <c r="AE298" s="399">
        <v>12064.163574466518</v>
      </c>
      <c r="AF298" s="399">
        <v>5249.4444453209044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0</v>
      </c>
      <c r="AM298" s="399"/>
      <c r="AN298" s="399">
        <v>52.881076453734536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587.32277188585397</v>
      </c>
      <c r="BH298" s="399">
        <v>0</v>
      </c>
      <c r="BI298" s="399">
        <v>3.44</v>
      </c>
      <c r="BJ298" s="399">
        <v>15.91</v>
      </c>
      <c r="BK298" s="399">
        <v>1560.82</v>
      </c>
      <c r="BL298" s="399">
        <v>43</v>
      </c>
      <c r="BM298" s="399"/>
      <c r="BN298" s="399"/>
      <c r="BO298" s="399"/>
      <c r="BP298" s="399"/>
      <c r="BQ298" s="399"/>
      <c r="BR298" s="399"/>
      <c r="BS298" s="399"/>
      <c r="BT298" s="399">
        <v>8600.3002799999995</v>
      </c>
      <c r="BU298" s="399"/>
      <c r="BV298" s="399">
        <v>5836.7672172067587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12901.7055</v>
      </c>
      <c r="CJ298" s="399">
        <v>-94.188420000000406</v>
      </c>
      <c r="CK298" s="399"/>
      <c r="CL298" s="399"/>
      <c r="CM298" s="399"/>
      <c r="CN298" s="399"/>
      <c r="CO298" s="399">
        <v>-370.74960000000164</v>
      </c>
      <c r="CP298" s="399">
        <v>212.27232000000012</v>
      </c>
      <c r="CQ298" s="399">
        <v>31</v>
      </c>
      <c r="CR298" s="399">
        <v>384.74015577787759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155.10842789281105</v>
      </c>
      <c r="DA298" s="399">
        <v>0</v>
      </c>
      <c r="DB298" s="399">
        <v>0</v>
      </c>
      <c r="DC298" s="399">
        <v>212.26477409486324</v>
      </c>
      <c r="DD298" s="399">
        <v>0</v>
      </c>
      <c r="DE298" s="399">
        <v>0</v>
      </c>
      <c r="DF298" s="399">
        <v>0</v>
      </c>
      <c r="DG298" s="399">
        <v>23.748786522777436</v>
      </c>
      <c r="DH298" s="399">
        <v>0</v>
      </c>
      <c r="DI298" s="399">
        <v>0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0</v>
      </c>
      <c r="DP298" s="399">
        <v>-6.3818327325750417</v>
      </c>
      <c r="DQ298" s="399">
        <v>0</v>
      </c>
      <c r="DR298" s="399">
        <v>0</v>
      </c>
      <c r="DS298" s="399"/>
      <c r="DT298" s="399"/>
      <c r="DU298" s="399"/>
      <c r="DV298" s="399">
        <v>12064.163574466518</v>
      </c>
      <c r="DW298" s="399">
        <v>0</v>
      </c>
      <c r="DX298" s="399">
        <v>0</v>
      </c>
      <c r="DY298" s="399">
        <v>-370.74960000000101</v>
      </c>
      <c r="DZ298" s="399">
        <v>212.27232000000004</v>
      </c>
      <c r="EA298" s="399">
        <v>0</v>
      </c>
      <c r="EB298" s="399">
        <v>0</v>
      </c>
      <c r="EC298" s="399">
        <v>-543.33651580602782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225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2359</v>
      </c>
      <c r="C299" s="399" t="s">
        <v>2357</v>
      </c>
      <c r="D299" s="399" t="s">
        <v>1823</v>
      </c>
      <c r="E299" s="399" t="s">
        <v>890</v>
      </c>
      <c r="F299" s="399" t="s">
        <v>2362</v>
      </c>
      <c r="G299" s="399" t="s">
        <v>1240</v>
      </c>
      <c r="H299" s="399" t="s">
        <v>1240</v>
      </c>
      <c r="I299" s="399" t="s">
        <v>1240</v>
      </c>
      <c r="J299" s="399" t="s">
        <v>2358</v>
      </c>
      <c r="K299" s="789">
        <v>44621</v>
      </c>
      <c r="L299" s="399">
        <v>0</v>
      </c>
      <c r="M299" s="399">
        <v>0</v>
      </c>
      <c r="N299" s="399">
        <v>7.0000000000000007E-2</v>
      </c>
      <c r="O299" s="399">
        <v>7.0000000000000007E-2</v>
      </c>
      <c r="P299" s="399">
        <v>7.0000000000000007E-2</v>
      </c>
      <c r="Q299" s="399">
        <v>7.0000000000000007E-2</v>
      </c>
      <c r="R299" s="399"/>
      <c r="S299" s="399">
        <v>451.48</v>
      </c>
      <c r="T299" s="399">
        <v>144.41999999999999</v>
      </c>
      <c r="U299" s="399"/>
      <c r="V299" s="399">
        <v>41.713000000000008</v>
      </c>
      <c r="W299" s="399">
        <v>41.713000000000008</v>
      </c>
      <c r="X299" s="399">
        <v>41.407800000000002</v>
      </c>
      <c r="Y299" s="399">
        <v>0</v>
      </c>
      <c r="Z299" s="399">
        <v>0</v>
      </c>
      <c r="AA299" s="399">
        <v>0</v>
      </c>
      <c r="AB299" s="399">
        <v>0</v>
      </c>
      <c r="AC299" s="399">
        <v>0</v>
      </c>
      <c r="AD299" s="399">
        <v>7.1374557422463409</v>
      </c>
      <c r="AE299" s="399">
        <v>23.233505288121943</v>
      </c>
      <c r="AF299" s="399">
        <v>10.10952765413402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0</v>
      </c>
      <c r="AM299" s="399"/>
      <c r="AN299" s="399">
        <v>0.10183986331466431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1.1310827014418892</v>
      </c>
      <c r="BH299" s="399">
        <v>0</v>
      </c>
      <c r="BI299" s="399">
        <v>0</v>
      </c>
      <c r="BJ299" s="399">
        <v>0</v>
      </c>
      <c r="BK299" s="399">
        <v>3</v>
      </c>
      <c r="BL299" s="399">
        <v>0</v>
      </c>
      <c r="BM299" s="399"/>
      <c r="BN299" s="399"/>
      <c r="BO299" s="399"/>
      <c r="BP299" s="399"/>
      <c r="BQ299" s="399"/>
      <c r="BR299" s="399"/>
      <c r="BS299" s="399"/>
      <c r="BT299" s="399">
        <v>16.5627</v>
      </c>
      <c r="BU299" s="399"/>
      <c r="BV299" s="399">
        <v>11.240610355575908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24.845099999999999</v>
      </c>
      <c r="CJ299" s="399">
        <v>-0.21270000000000877</v>
      </c>
      <c r="CK299" s="399"/>
      <c r="CL299" s="399"/>
      <c r="CM299" s="399"/>
      <c r="CN299" s="399"/>
      <c r="CO299" s="399">
        <v>-0.7140000000000033</v>
      </c>
      <c r="CP299" s="399">
        <v>0.40880000000000027</v>
      </c>
      <c r="CQ299" s="399">
        <v>31</v>
      </c>
      <c r="CR299" s="399">
        <v>0.74094340553678961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0.29871216992672966</v>
      </c>
      <c r="DA299" s="399">
        <v>0</v>
      </c>
      <c r="DB299" s="399">
        <v>0</v>
      </c>
      <c r="DC299" s="399">
        <v>0.40878546788380277</v>
      </c>
      <c r="DD299" s="399">
        <v>0</v>
      </c>
      <c r="DE299" s="399">
        <v>0</v>
      </c>
      <c r="DF299" s="399">
        <v>0</v>
      </c>
      <c r="DG299" s="399">
        <v>4.5736080570991877E-2</v>
      </c>
      <c r="DH299" s="399">
        <v>0</v>
      </c>
      <c r="DI299" s="399">
        <v>0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0</v>
      </c>
      <c r="DP299" s="399">
        <v>-1.22903128447302E-2</v>
      </c>
      <c r="DQ299" s="399">
        <v>0</v>
      </c>
      <c r="DR299" s="399">
        <v>0</v>
      </c>
      <c r="DS299" s="399"/>
      <c r="DT299" s="399"/>
      <c r="DU299" s="399"/>
      <c r="DV299" s="399">
        <v>23.233505288121943</v>
      </c>
      <c r="DW299" s="399">
        <v>0</v>
      </c>
      <c r="DX299" s="399">
        <v>0</v>
      </c>
      <c r="DY299" s="399">
        <v>-0.71400000000000219</v>
      </c>
      <c r="DZ299" s="399">
        <v>0.40879999999999939</v>
      </c>
      <c r="EA299" s="399">
        <v>0</v>
      </c>
      <c r="EB299" s="399">
        <v>0</v>
      </c>
      <c r="EC299" s="399">
        <v>-1.0463727332018813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225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957</v>
      </c>
      <c r="C300" s="399" t="s">
        <v>2357</v>
      </c>
      <c r="D300" s="399" t="s">
        <v>1823</v>
      </c>
      <c r="E300" s="399" t="s">
        <v>890</v>
      </c>
      <c r="F300" s="399" t="s">
        <v>2363</v>
      </c>
      <c r="G300" s="399" t="s">
        <v>1240</v>
      </c>
      <c r="H300" s="399" t="s">
        <v>1240</v>
      </c>
      <c r="I300" s="399" t="s">
        <v>1240</v>
      </c>
      <c r="J300" s="399" t="s">
        <v>2358</v>
      </c>
      <c r="K300" s="789">
        <v>44621</v>
      </c>
      <c r="L300" s="399">
        <v>0</v>
      </c>
      <c r="M300" s="399">
        <v>0</v>
      </c>
      <c r="N300" s="399">
        <v>44.905999999999999</v>
      </c>
      <c r="O300" s="399">
        <v>44.905999999999999</v>
      </c>
      <c r="P300" s="399">
        <v>44.905999999999999</v>
      </c>
      <c r="Q300" s="399">
        <v>44.905999999999999</v>
      </c>
      <c r="R300" s="399"/>
      <c r="S300" s="399">
        <v>451.48</v>
      </c>
      <c r="T300" s="399">
        <v>144.41999999999999</v>
      </c>
      <c r="U300" s="399"/>
      <c r="V300" s="399">
        <v>26759.485399999998</v>
      </c>
      <c r="W300" s="399">
        <v>26759.485399999998</v>
      </c>
      <c r="X300" s="399">
        <v>26563.695240000001</v>
      </c>
      <c r="Y300" s="399">
        <v>0</v>
      </c>
      <c r="Z300" s="399">
        <v>0</v>
      </c>
      <c r="AA300" s="399">
        <v>0</v>
      </c>
      <c r="AB300" s="399">
        <v>0</v>
      </c>
      <c r="AC300" s="399">
        <v>0</v>
      </c>
      <c r="AD300" s="399">
        <v>4578.7798223044874</v>
      </c>
      <c r="AE300" s="399">
        <v>14904.625549548626</v>
      </c>
      <c r="AF300" s="399">
        <v>6485.4064119506038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0</v>
      </c>
      <c r="AM300" s="399"/>
      <c r="AN300" s="399">
        <v>65.331727171547357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725.60571129927814</v>
      </c>
      <c r="BH300" s="399">
        <v>0</v>
      </c>
      <c r="BI300" s="399">
        <v>5.56</v>
      </c>
      <c r="BJ300" s="399">
        <v>26.1</v>
      </c>
      <c r="BK300" s="399">
        <v>4999.66</v>
      </c>
      <c r="BL300" s="399">
        <v>249</v>
      </c>
      <c r="BM300" s="399"/>
      <c r="BN300" s="399"/>
      <c r="BO300" s="399"/>
      <c r="BP300" s="399"/>
      <c r="BQ300" s="399"/>
      <c r="BR300" s="399"/>
      <c r="BS300" s="399"/>
      <c r="BT300" s="399">
        <v>2656.1898999999989</v>
      </c>
      <c r="BU300" s="399"/>
      <c r="BV300" s="399">
        <v>7211.0121232498823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23909.634899999997</v>
      </c>
      <c r="CJ300" s="399">
        <v>-174.38101999999708</v>
      </c>
      <c r="CK300" s="399"/>
      <c r="CL300" s="399"/>
      <c r="CM300" s="399"/>
      <c r="CN300" s="399"/>
      <c r="CO300" s="399">
        <v>-458.04120000000205</v>
      </c>
      <c r="CP300" s="399">
        <v>262.25104000000016</v>
      </c>
      <c r="CQ300" s="399">
        <v>31</v>
      </c>
      <c r="CR300" s="399">
        <v>475.32577955764282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191.62812432471037</v>
      </c>
      <c r="DA300" s="399">
        <v>0</v>
      </c>
      <c r="DB300" s="399">
        <v>0</v>
      </c>
      <c r="DC300" s="399">
        <v>262.24171743985698</v>
      </c>
      <c r="DD300" s="399">
        <v>0</v>
      </c>
      <c r="DE300" s="399">
        <v>0</v>
      </c>
      <c r="DF300" s="399">
        <v>0</v>
      </c>
      <c r="DG300" s="399">
        <v>29.340349058870856</v>
      </c>
      <c r="DH300" s="399">
        <v>0</v>
      </c>
      <c r="DI300" s="399">
        <v>0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0</v>
      </c>
      <c r="DP300" s="399">
        <v>-7.8844112657922096</v>
      </c>
      <c r="DQ300" s="399">
        <v>0</v>
      </c>
      <c r="DR300" s="399">
        <v>0</v>
      </c>
      <c r="DS300" s="399"/>
      <c r="DT300" s="399"/>
      <c r="DU300" s="399"/>
      <c r="DV300" s="399">
        <v>14904.625549548626</v>
      </c>
      <c r="DW300" s="399">
        <v>0</v>
      </c>
      <c r="DX300" s="399">
        <v>0</v>
      </c>
      <c r="DY300" s="399">
        <v>-458.04119999999966</v>
      </c>
      <c r="DZ300" s="399">
        <v>262.2510400000001</v>
      </c>
      <c r="EA300" s="399">
        <v>0</v>
      </c>
      <c r="EB300" s="399">
        <v>0</v>
      </c>
      <c r="EC300" s="399">
        <v>-671.26305653091003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225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2359</v>
      </c>
      <c r="C301" s="399" t="s">
        <v>2357</v>
      </c>
      <c r="D301" s="399" t="s">
        <v>1823</v>
      </c>
      <c r="E301" s="399" t="s">
        <v>890</v>
      </c>
      <c r="F301" s="399" t="s">
        <v>2363</v>
      </c>
      <c r="G301" s="399" t="s">
        <v>1240</v>
      </c>
      <c r="H301" s="399" t="s">
        <v>1240</v>
      </c>
      <c r="I301" s="399" t="s">
        <v>1240</v>
      </c>
      <c r="J301" s="399" t="s">
        <v>2358</v>
      </c>
      <c r="K301" s="789">
        <v>44621</v>
      </c>
      <c r="L301" s="399">
        <v>0</v>
      </c>
      <c r="M301" s="399">
        <v>0</v>
      </c>
      <c r="N301" s="399">
        <v>0.03</v>
      </c>
      <c r="O301" s="399">
        <v>0.03</v>
      </c>
      <c r="P301" s="399">
        <v>0.03</v>
      </c>
      <c r="Q301" s="399">
        <v>0.03</v>
      </c>
      <c r="R301" s="399"/>
      <c r="S301" s="399">
        <v>451.48</v>
      </c>
      <c r="T301" s="399">
        <v>144.41999999999999</v>
      </c>
      <c r="U301" s="399"/>
      <c r="V301" s="399">
        <v>17.876999999999999</v>
      </c>
      <c r="W301" s="399">
        <v>17.876999999999999</v>
      </c>
      <c r="X301" s="399">
        <v>17.746199999999998</v>
      </c>
      <c r="Y301" s="399">
        <v>0</v>
      </c>
      <c r="Z301" s="399">
        <v>0</v>
      </c>
      <c r="AA301" s="399">
        <v>0</v>
      </c>
      <c r="AB301" s="399">
        <v>0</v>
      </c>
      <c r="AC301" s="399">
        <v>0</v>
      </c>
      <c r="AD301" s="399">
        <v>3.0589096038198598</v>
      </c>
      <c r="AE301" s="399">
        <v>9.9572165520522589</v>
      </c>
      <c r="AF301" s="399">
        <v>4.3326547089145793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0</v>
      </c>
      <c r="AM301" s="399"/>
      <c r="AN301" s="399">
        <v>4.3645655706284696E-2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0.48474972918938097</v>
      </c>
      <c r="BH301" s="399">
        <v>0</v>
      </c>
      <c r="BI301" s="399">
        <v>0</v>
      </c>
      <c r="BJ301" s="399">
        <v>0</v>
      </c>
      <c r="BK301" s="399">
        <v>1.94</v>
      </c>
      <c r="BL301" s="399">
        <v>0</v>
      </c>
      <c r="BM301" s="399"/>
      <c r="BN301" s="399"/>
      <c r="BO301" s="399"/>
      <c r="BP301" s="399"/>
      <c r="BQ301" s="399"/>
      <c r="BR301" s="399"/>
      <c r="BS301" s="399"/>
      <c r="BT301" s="399">
        <v>1.7744999999999993</v>
      </c>
      <c r="BU301" s="399"/>
      <c r="BV301" s="399">
        <v>4.81740443810396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15.971699999999998</v>
      </c>
      <c r="CJ301" s="399">
        <v>-0.14789999999999992</v>
      </c>
      <c r="CK301" s="399"/>
      <c r="CL301" s="399"/>
      <c r="CM301" s="399"/>
      <c r="CN301" s="399"/>
      <c r="CO301" s="399">
        <v>-0.30600000000000133</v>
      </c>
      <c r="CP301" s="399">
        <v>0.17520000000000011</v>
      </c>
      <c r="CQ301" s="399">
        <v>31</v>
      </c>
      <c r="CR301" s="399">
        <v>0.3175471738014819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0.12801950139717011</v>
      </c>
      <c r="DA301" s="399">
        <v>0</v>
      </c>
      <c r="DB301" s="399">
        <v>0</v>
      </c>
      <c r="DC301" s="399">
        <v>0.17519377195020081</v>
      </c>
      <c r="DD301" s="399">
        <v>0</v>
      </c>
      <c r="DE301" s="399">
        <v>0</v>
      </c>
      <c r="DF301" s="399">
        <v>0</v>
      </c>
      <c r="DG301" s="399">
        <v>1.9601177387568058E-2</v>
      </c>
      <c r="DH301" s="399">
        <v>0</v>
      </c>
      <c r="DI301" s="399">
        <v>0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0</v>
      </c>
      <c r="DP301" s="399">
        <v>-5.2672769334558001E-3</v>
      </c>
      <c r="DQ301" s="399">
        <v>0</v>
      </c>
      <c r="DR301" s="399">
        <v>0</v>
      </c>
      <c r="DS301" s="399"/>
      <c r="DT301" s="399"/>
      <c r="DU301" s="399"/>
      <c r="DV301" s="399">
        <v>9.9572165520522589</v>
      </c>
      <c r="DW301" s="399">
        <v>0</v>
      </c>
      <c r="DX301" s="399">
        <v>0</v>
      </c>
      <c r="DY301" s="399">
        <v>-0.30600000000000094</v>
      </c>
      <c r="DZ301" s="399">
        <v>0.17520000000000024</v>
      </c>
      <c r="EA301" s="399">
        <v>0</v>
      </c>
      <c r="EB301" s="399">
        <v>0</v>
      </c>
      <c r="EC301" s="399">
        <v>-0.44844545708651928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225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957</v>
      </c>
      <c r="C302" s="399" t="s">
        <v>2357</v>
      </c>
      <c r="D302" s="399" t="s">
        <v>1823</v>
      </c>
      <c r="E302" s="399" t="s">
        <v>890</v>
      </c>
      <c r="F302" s="399" t="s">
        <v>2364</v>
      </c>
      <c r="G302" s="399" t="s">
        <v>1240</v>
      </c>
      <c r="H302" s="399" t="s">
        <v>1240</v>
      </c>
      <c r="I302" s="399" t="s">
        <v>1240</v>
      </c>
      <c r="J302" s="399" t="s">
        <v>2358</v>
      </c>
      <c r="K302" s="789">
        <v>44621</v>
      </c>
      <c r="L302" s="399">
        <v>0</v>
      </c>
      <c r="M302" s="399">
        <v>0</v>
      </c>
      <c r="N302" s="399">
        <v>24.643999999999998</v>
      </c>
      <c r="O302" s="399">
        <v>24.643999999999998</v>
      </c>
      <c r="P302" s="399">
        <v>24.643999999999998</v>
      </c>
      <c r="Q302" s="399">
        <v>24.643999999999998</v>
      </c>
      <c r="R302" s="399"/>
      <c r="S302" s="399">
        <v>451.48</v>
      </c>
      <c r="T302" s="399">
        <v>144.41999999999999</v>
      </c>
      <c r="U302" s="399"/>
      <c r="V302" s="399">
        <v>14685.3596</v>
      </c>
      <c r="W302" s="399">
        <v>14685.3596</v>
      </c>
      <c r="X302" s="399">
        <v>14577.911759999997</v>
      </c>
      <c r="Y302" s="399">
        <v>0</v>
      </c>
      <c r="Z302" s="399">
        <v>0</v>
      </c>
      <c r="AA302" s="399">
        <v>0</v>
      </c>
      <c r="AB302" s="399">
        <v>0</v>
      </c>
      <c r="AC302" s="399">
        <v>0</v>
      </c>
      <c r="AD302" s="399">
        <v>2512.7922758845543</v>
      </c>
      <c r="AE302" s="399">
        <v>8179.5214902925291</v>
      </c>
      <c r="AF302" s="399">
        <v>3559.1314215496964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0</v>
      </c>
      <c r="AM302" s="399"/>
      <c r="AN302" s="399">
        <v>35.853451307522668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398.20574420477016</v>
      </c>
      <c r="BH302" s="399">
        <v>0</v>
      </c>
      <c r="BI302" s="399">
        <v>1.87</v>
      </c>
      <c r="BJ302" s="399">
        <v>8.9600000000000009</v>
      </c>
      <c r="BK302" s="399">
        <v>4321.2</v>
      </c>
      <c r="BL302" s="399">
        <v>239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3957.3371657544667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14575.545599999999</v>
      </c>
      <c r="CJ302" s="399">
        <v>-109.84400000000096</v>
      </c>
      <c r="CK302" s="399"/>
      <c r="CL302" s="399"/>
      <c r="CM302" s="399"/>
      <c r="CN302" s="399"/>
      <c r="CO302" s="399">
        <v>-251.3688000000011</v>
      </c>
      <c r="CP302" s="399">
        <v>143.92096000000006</v>
      </c>
      <c r="CQ302" s="399">
        <v>31</v>
      </c>
      <c r="CR302" s="399">
        <v>260.85441837212511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105.16375308106171</v>
      </c>
      <c r="DA302" s="399">
        <v>0</v>
      </c>
      <c r="DB302" s="399">
        <v>0</v>
      </c>
      <c r="DC302" s="399">
        <v>143.9158438646914</v>
      </c>
      <c r="DD302" s="399">
        <v>0</v>
      </c>
      <c r="DE302" s="399">
        <v>0</v>
      </c>
      <c r="DF302" s="399">
        <v>0</v>
      </c>
      <c r="DG302" s="399">
        <v>16.101713851307522</v>
      </c>
      <c r="DH302" s="399">
        <v>0</v>
      </c>
      <c r="DI302" s="399">
        <v>0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0</v>
      </c>
      <c r="DP302" s="399">
        <v>-4.3268924249361582</v>
      </c>
      <c r="DQ302" s="399">
        <v>0</v>
      </c>
      <c r="DR302" s="399">
        <v>0</v>
      </c>
      <c r="DS302" s="399"/>
      <c r="DT302" s="399"/>
      <c r="DU302" s="399"/>
      <c r="DV302" s="399">
        <v>8179.5214902925291</v>
      </c>
      <c r="DW302" s="399">
        <v>0</v>
      </c>
      <c r="DX302" s="399">
        <v>0</v>
      </c>
      <c r="DY302" s="399">
        <v>-251.36880000000201</v>
      </c>
      <c r="DZ302" s="399">
        <v>143.92095999999992</v>
      </c>
      <c r="EA302" s="399">
        <v>0</v>
      </c>
      <c r="EB302" s="399">
        <v>0</v>
      </c>
      <c r="EC302" s="399">
        <v>-368.38299481467311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225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957</v>
      </c>
      <c r="C303" s="399" t="s">
        <v>2357</v>
      </c>
      <c r="D303" s="399" t="s">
        <v>1826</v>
      </c>
      <c r="E303" s="399" t="s">
        <v>891</v>
      </c>
      <c r="F303" s="399" t="s">
        <v>1240</v>
      </c>
      <c r="G303" s="399" t="s">
        <v>1240</v>
      </c>
      <c r="H303" s="399" t="s">
        <v>1240</v>
      </c>
      <c r="I303" s="399" t="s">
        <v>1240</v>
      </c>
      <c r="J303" s="399" t="s">
        <v>2358</v>
      </c>
      <c r="K303" s="789">
        <v>44621</v>
      </c>
      <c r="L303" s="399">
        <v>0</v>
      </c>
      <c r="M303" s="399">
        <v>0</v>
      </c>
      <c r="N303" s="399">
        <v>388.375</v>
      </c>
      <c r="O303" s="399">
        <v>388.375</v>
      </c>
      <c r="P303" s="399">
        <v>388.375</v>
      </c>
      <c r="Q303" s="399">
        <v>388.375</v>
      </c>
      <c r="R303" s="399"/>
      <c r="S303" s="399">
        <v>522.37</v>
      </c>
      <c r="T303" s="399">
        <v>144.41999999999999</v>
      </c>
      <c r="U303" s="399"/>
      <c r="V303" s="399">
        <v>258964.56625</v>
      </c>
      <c r="W303" s="399">
        <v>258964.56625</v>
      </c>
      <c r="X303" s="399">
        <v>253119.52250000002</v>
      </c>
      <c r="Y303" s="399">
        <v>0</v>
      </c>
      <c r="Z303" s="399">
        <v>23846.603834597718</v>
      </c>
      <c r="AA303" s="399">
        <v>0</v>
      </c>
      <c r="AB303" s="399">
        <v>0</v>
      </c>
      <c r="AC303" s="399">
        <v>0</v>
      </c>
      <c r="AD303" s="399">
        <v>39600.133912784608</v>
      </c>
      <c r="AE303" s="399">
        <v>128904.46594677655</v>
      </c>
      <c r="AF303" s="399">
        <v>56089.825752489996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3682.8652267236721</v>
      </c>
      <c r="AM303" s="399"/>
      <c r="AN303" s="399">
        <v>565.02938449761064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6275.4892024641949</v>
      </c>
      <c r="BH303" s="399">
        <v>0</v>
      </c>
      <c r="BI303" s="399">
        <v>34.21</v>
      </c>
      <c r="BJ303" s="399">
        <v>159.97</v>
      </c>
      <c r="BK303" s="399">
        <v>93765.73</v>
      </c>
      <c r="BL303" s="399">
        <v>562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>
        <v>62365.314954954192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253122.78120000003</v>
      </c>
      <c r="CJ303" s="399">
        <v>-5841.8150500000047</v>
      </c>
      <c r="CK303" s="399"/>
      <c r="CL303" s="399"/>
      <c r="CM303" s="399"/>
      <c r="CN303" s="399"/>
      <c r="CO303" s="399">
        <v>-8113.1537499999949</v>
      </c>
      <c r="CP303" s="399">
        <v>2268.1100000000015</v>
      </c>
      <c r="CQ303" s="399">
        <v>31</v>
      </c>
      <c r="CR303" s="399">
        <v>-37.275749155160156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1657.3191285041903</v>
      </c>
      <c r="DA303" s="399">
        <v>0</v>
      </c>
      <c r="DB303" s="399">
        <v>0</v>
      </c>
      <c r="DC303" s="399">
        <v>2268.0293727053067</v>
      </c>
      <c r="DD303" s="399">
        <v>0</v>
      </c>
      <c r="DE303" s="399">
        <v>0</v>
      </c>
      <c r="DF303" s="399">
        <v>0</v>
      </c>
      <c r="DG303" s="399">
        <v>253.75357559655731</v>
      </c>
      <c r="DH303" s="399">
        <v>0</v>
      </c>
      <c r="DI303" s="399">
        <v>-3663.5803374685092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-484.60819919166988</v>
      </c>
      <c r="DP303" s="399">
        <v>-68.189289301029874</v>
      </c>
      <c r="DQ303" s="399">
        <v>0</v>
      </c>
      <c r="DR303" s="399">
        <v>0</v>
      </c>
      <c r="DS303" s="399"/>
      <c r="DT303" s="399"/>
      <c r="DU303" s="399"/>
      <c r="DV303" s="399">
        <v>128904.46594677655</v>
      </c>
      <c r="DW303" s="399">
        <v>0</v>
      </c>
      <c r="DX303" s="399">
        <v>0</v>
      </c>
      <c r="DY303" s="399">
        <v>-8113.1537499999977</v>
      </c>
      <c r="DZ303" s="399">
        <v>2268.1100000000006</v>
      </c>
      <c r="EA303" s="399">
        <v>0</v>
      </c>
      <c r="EB303" s="399">
        <v>0</v>
      </c>
      <c r="EC303" s="399">
        <v>-5805.5001465325768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225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2359</v>
      </c>
      <c r="C304" s="399" t="s">
        <v>2357</v>
      </c>
      <c r="D304" s="399" t="s">
        <v>1826</v>
      </c>
      <c r="E304" s="399" t="s">
        <v>891</v>
      </c>
      <c r="F304" s="399" t="s">
        <v>1240</v>
      </c>
      <c r="G304" s="399" t="s">
        <v>1240</v>
      </c>
      <c r="H304" s="399" t="s">
        <v>1240</v>
      </c>
      <c r="I304" s="399" t="s">
        <v>1240</v>
      </c>
      <c r="J304" s="399" t="s">
        <v>2358</v>
      </c>
      <c r="K304" s="789">
        <v>44621</v>
      </c>
      <c r="L304" s="399">
        <v>0</v>
      </c>
      <c r="M304" s="399">
        <v>0</v>
      </c>
      <c r="N304" s="399">
        <v>-12.153</v>
      </c>
      <c r="O304" s="399">
        <v>-12.153</v>
      </c>
      <c r="P304" s="399">
        <v>-12.153</v>
      </c>
      <c r="Q304" s="399">
        <v>-12.153</v>
      </c>
      <c r="R304" s="399"/>
      <c r="S304" s="399">
        <v>522.37</v>
      </c>
      <c r="T304" s="399">
        <v>144.41999999999999</v>
      </c>
      <c r="U304" s="399"/>
      <c r="V304" s="399">
        <v>-8103.4988700000004</v>
      </c>
      <c r="W304" s="399">
        <v>-8103.4988700000004</v>
      </c>
      <c r="X304" s="399">
        <v>-7920.5962200000004</v>
      </c>
      <c r="Y304" s="399">
        <v>0</v>
      </c>
      <c r="Z304" s="399">
        <v>-746.20605446248112</v>
      </c>
      <c r="AA304" s="399">
        <v>0</v>
      </c>
      <c r="AB304" s="399">
        <v>0</v>
      </c>
      <c r="AC304" s="399">
        <v>0</v>
      </c>
      <c r="AD304" s="399">
        <v>-1239.1642805074252</v>
      </c>
      <c r="AE304" s="399">
        <v>-4033.6684252363707</v>
      </c>
      <c r="AF304" s="399">
        <v>-1755.1584225812962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-115.24392945058973</v>
      </c>
      <c r="AM304" s="399"/>
      <c r="AN304" s="399">
        <v>-17.680855126615931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-196.37211529461825</v>
      </c>
      <c r="BH304" s="399">
        <v>0</v>
      </c>
      <c r="BI304" s="399">
        <v>0</v>
      </c>
      <c r="BJ304" s="399">
        <v>0</v>
      </c>
      <c r="BK304" s="399">
        <v>-2932.22</v>
      </c>
      <c r="BL304" s="399">
        <v>0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>
        <v>-1951.5305378759144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-7918.6409999999996</v>
      </c>
      <c r="CJ304" s="399">
        <v>184.82787000000008</v>
      </c>
      <c r="CK304" s="399"/>
      <c r="CL304" s="399"/>
      <c r="CM304" s="399"/>
      <c r="CN304" s="399"/>
      <c r="CO304" s="399">
        <v>253.87616999999983</v>
      </c>
      <c r="CP304" s="399">
        <v>-70.97352000000005</v>
      </c>
      <c r="CQ304" s="399">
        <v>31</v>
      </c>
      <c r="CR304" s="399">
        <v>1.1664298152109041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-51.860700015993643</v>
      </c>
      <c r="DA304" s="399">
        <v>0</v>
      </c>
      <c r="DB304" s="399">
        <v>0</v>
      </c>
      <c r="DC304" s="399">
        <v>-70.97099701702632</v>
      </c>
      <c r="DD304" s="399">
        <v>0</v>
      </c>
      <c r="DE304" s="399">
        <v>0</v>
      </c>
      <c r="DF304" s="399">
        <v>0</v>
      </c>
      <c r="DG304" s="399">
        <v>-7.9404369597037885</v>
      </c>
      <c r="DH304" s="399">
        <v>0</v>
      </c>
      <c r="DI304" s="399">
        <v>114.64046821050488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15.16432171168681</v>
      </c>
      <c r="DP304" s="399">
        <v>2.1337738857429436</v>
      </c>
      <c r="DQ304" s="399">
        <v>0</v>
      </c>
      <c r="DR304" s="399">
        <v>0</v>
      </c>
      <c r="DS304" s="399"/>
      <c r="DT304" s="399"/>
      <c r="DU304" s="399"/>
      <c r="DV304" s="399">
        <v>-4033.6684252363707</v>
      </c>
      <c r="DW304" s="399">
        <v>0</v>
      </c>
      <c r="DX304" s="399">
        <v>0</v>
      </c>
      <c r="DY304" s="399">
        <v>253.87616999999955</v>
      </c>
      <c r="DZ304" s="399">
        <v>-70.973520000000008</v>
      </c>
      <c r="EA304" s="399">
        <v>0</v>
      </c>
      <c r="EB304" s="399">
        <v>0</v>
      </c>
      <c r="EC304" s="399">
        <v>181.66525466574967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225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2360</v>
      </c>
      <c r="C305" s="399" t="s">
        <v>2357</v>
      </c>
      <c r="D305" s="399" t="s">
        <v>1826</v>
      </c>
      <c r="E305" s="399" t="s">
        <v>891</v>
      </c>
      <c r="F305" s="399" t="s">
        <v>1240</v>
      </c>
      <c r="G305" s="399" t="s">
        <v>1240</v>
      </c>
      <c r="H305" s="399" t="s">
        <v>1240</v>
      </c>
      <c r="I305" s="399" t="s">
        <v>1240</v>
      </c>
      <c r="J305" s="399" t="s">
        <v>2358</v>
      </c>
      <c r="K305" s="789">
        <v>44621</v>
      </c>
      <c r="L305" s="399">
        <v>0</v>
      </c>
      <c r="M305" s="399">
        <v>0</v>
      </c>
      <c r="N305" s="399">
        <v>3.2440000000000002</v>
      </c>
      <c r="O305" s="399">
        <v>3.2440000000000002</v>
      </c>
      <c r="P305" s="399">
        <v>3.2440000000000002</v>
      </c>
      <c r="Q305" s="399">
        <v>3.2440000000000002</v>
      </c>
      <c r="R305" s="399"/>
      <c r="S305" s="399">
        <v>522.37</v>
      </c>
      <c r="T305" s="399">
        <v>144.41999999999999</v>
      </c>
      <c r="U305" s="399"/>
      <c r="V305" s="399">
        <v>2163.0667600000002</v>
      </c>
      <c r="W305" s="399">
        <v>2163.0667600000002</v>
      </c>
      <c r="X305" s="399">
        <v>2114.2445600000001</v>
      </c>
      <c r="Y305" s="399">
        <v>0</v>
      </c>
      <c r="Z305" s="399">
        <v>199.1847643113872</v>
      </c>
      <c r="AA305" s="399">
        <v>0</v>
      </c>
      <c r="AB305" s="399">
        <v>0</v>
      </c>
      <c r="AC305" s="399">
        <v>0</v>
      </c>
      <c r="AD305" s="399">
        <v>330.77009182638756</v>
      </c>
      <c r="AE305" s="399">
        <v>1076.7070164952511</v>
      </c>
      <c r="AF305" s="399">
        <v>468.50439585729657</v>
      </c>
      <c r="AG305" s="399">
        <v>0</v>
      </c>
      <c r="AH305" s="399">
        <v>0</v>
      </c>
      <c r="AI305" s="399">
        <v>0</v>
      </c>
      <c r="AJ305" s="399">
        <v>0</v>
      </c>
      <c r="AK305" s="399">
        <v>0</v>
      </c>
      <c r="AL305" s="399">
        <v>30.762059338246779</v>
      </c>
      <c r="AM305" s="399"/>
      <c r="AN305" s="399">
        <v>4.7195502370395861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52.417604049678403</v>
      </c>
      <c r="BH305" s="399">
        <v>0</v>
      </c>
      <c r="BI305" s="399">
        <v>0</v>
      </c>
      <c r="BJ305" s="399">
        <v>0</v>
      </c>
      <c r="BK305" s="399">
        <v>4871.58</v>
      </c>
      <c r="BL305" s="399">
        <v>9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520.92199990697497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2111.6376</v>
      </c>
      <c r="CJ305" s="399">
        <v>-51.459160000000338</v>
      </c>
      <c r="CK305" s="399"/>
      <c r="CL305" s="399"/>
      <c r="CM305" s="399"/>
      <c r="CN305" s="399"/>
      <c r="CO305" s="399">
        <v>-67.767159999999961</v>
      </c>
      <c r="CP305" s="399">
        <v>18.944960000000012</v>
      </c>
      <c r="CQ305" s="399">
        <v>31</v>
      </c>
      <c r="CR305" s="399">
        <v>-0.3113550827401923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13.843175417747318</v>
      </c>
      <c r="DA305" s="399">
        <v>0</v>
      </c>
      <c r="DB305" s="399">
        <v>0</v>
      </c>
      <c r="DC305" s="399">
        <v>18.944286540215046</v>
      </c>
      <c r="DD305" s="399">
        <v>0</v>
      </c>
      <c r="DE305" s="399">
        <v>0</v>
      </c>
      <c r="DF305" s="399">
        <v>0</v>
      </c>
      <c r="DG305" s="399">
        <v>2.1195406481756862</v>
      </c>
      <c r="DH305" s="399">
        <v>0</v>
      </c>
      <c r="DI305" s="399">
        <v>-30.600977443830971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-4.0478120326431366</v>
      </c>
      <c r="DP305" s="399">
        <v>-0.56956821240435396</v>
      </c>
      <c r="DQ305" s="399">
        <v>0</v>
      </c>
      <c r="DR305" s="399">
        <v>0</v>
      </c>
      <c r="DS305" s="399"/>
      <c r="DT305" s="399"/>
      <c r="DU305" s="399"/>
      <c r="DV305" s="399">
        <v>1076.7070164952511</v>
      </c>
      <c r="DW305" s="399">
        <v>0</v>
      </c>
      <c r="DX305" s="399">
        <v>0</v>
      </c>
      <c r="DY305" s="399">
        <v>-67.767160000000104</v>
      </c>
      <c r="DZ305" s="399">
        <v>18.944960000000037</v>
      </c>
      <c r="EA305" s="399">
        <v>0</v>
      </c>
      <c r="EB305" s="399">
        <v>0</v>
      </c>
      <c r="EC305" s="399">
        <v>-48.491902092955797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225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957</v>
      </c>
      <c r="C306" s="399" t="s">
        <v>2365</v>
      </c>
      <c r="D306" s="399" t="s">
        <v>534</v>
      </c>
      <c r="E306" s="399" t="s">
        <v>891</v>
      </c>
      <c r="F306" s="399" t="s">
        <v>1240</v>
      </c>
      <c r="G306" s="399" t="s">
        <v>1240</v>
      </c>
      <c r="H306" s="399" t="s">
        <v>1240</v>
      </c>
      <c r="I306" s="399" t="s">
        <v>894</v>
      </c>
      <c r="J306" s="399" t="s">
        <v>2358</v>
      </c>
      <c r="K306" s="789">
        <v>44621</v>
      </c>
      <c r="L306" s="399">
        <v>211</v>
      </c>
      <c r="M306" s="399">
        <v>211</v>
      </c>
      <c r="N306" s="399">
        <v>5.234</v>
      </c>
      <c r="O306" s="399">
        <v>5.234</v>
      </c>
      <c r="P306" s="399">
        <v>5.234</v>
      </c>
      <c r="Q306" s="399">
        <v>5.234</v>
      </c>
      <c r="R306" s="399">
        <v>111</v>
      </c>
      <c r="S306" s="399">
        <v>69.64</v>
      </c>
      <c r="T306" s="399">
        <v>144.41999999999999</v>
      </c>
      <c r="U306" s="399">
        <v>23421</v>
      </c>
      <c r="V306" s="399">
        <v>1120.39004</v>
      </c>
      <c r="W306" s="399">
        <v>24541.390040000002</v>
      </c>
      <c r="X306" s="399">
        <v>24040.299759999998</v>
      </c>
      <c r="Y306" s="399">
        <v>0</v>
      </c>
      <c r="Z306" s="399">
        <v>279.5942537216543</v>
      </c>
      <c r="AA306" s="399">
        <v>0</v>
      </c>
      <c r="AB306" s="399">
        <v>0</v>
      </c>
      <c r="AC306" s="399">
        <v>0</v>
      </c>
      <c r="AD306" s="399">
        <v>6592.7605622677493</v>
      </c>
      <c r="AE306" s="399">
        <v>16827.476895431315</v>
      </c>
      <c r="AF306" s="399">
        <v>755.90382488196371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49.632743087664501</v>
      </c>
      <c r="AM306" s="399"/>
      <c r="AN306" s="399">
        <v>2.6048843548580431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32.65284493717224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788.556669819136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24039.457199999997</v>
      </c>
      <c r="CJ306" s="399">
        <v>-501.96284000000014</v>
      </c>
      <c r="CK306" s="399"/>
      <c r="CL306" s="399"/>
      <c r="CM306" s="399"/>
      <c r="CN306" s="399"/>
      <c r="CO306" s="399">
        <v>-531.65684000000124</v>
      </c>
      <c r="CP306" s="399">
        <v>30.566560000000017</v>
      </c>
      <c r="CQ306" s="399">
        <v>31</v>
      </c>
      <c r="CR306" s="399">
        <v>258.00210915260868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275.91594042478027</v>
      </c>
      <c r="DA306" s="399">
        <v>0</v>
      </c>
      <c r="DB306" s="399">
        <v>0</v>
      </c>
      <c r="DC306" s="399">
        <v>30.565473412911615</v>
      </c>
      <c r="DD306" s="399">
        <v>0</v>
      </c>
      <c r="DE306" s="399">
        <v>0</v>
      </c>
      <c r="DF306" s="399">
        <v>0</v>
      </c>
      <c r="DG306" s="399">
        <v>1.3203394809369655</v>
      </c>
      <c r="DH306" s="399">
        <v>0</v>
      </c>
      <c r="DI306" s="399">
        <v>-42.954376963217982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-6.5309026445296468</v>
      </c>
      <c r="DP306" s="399">
        <v>-0.31436455827351217</v>
      </c>
      <c r="DQ306" s="399">
        <v>0</v>
      </c>
      <c r="DR306" s="399">
        <v>0</v>
      </c>
      <c r="DS306" s="399"/>
      <c r="DT306" s="399"/>
      <c r="DU306" s="399">
        <v>16827.476895431315</v>
      </c>
      <c r="DV306" s="399">
        <v>0</v>
      </c>
      <c r="DW306" s="399">
        <v>0</v>
      </c>
      <c r="DX306" s="399">
        <v>0</v>
      </c>
      <c r="DY306" s="399">
        <v>-531.65684000000329</v>
      </c>
      <c r="DZ306" s="399">
        <v>30.566559999999981</v>
      </c>
      <c r="EA306" s="399">
        <v>0</v>
      </c>
      <c r="EB306" s="399">
        <v>0</v>
      </c>
      <c r="EC306" s="399">
        <v>-757.86295583072751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225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957</v>
      </c>
      <c r="C307" s="399" t="s">
        <v>2365</v>
      </c>
      <c r="D307" s="399" t="s">
        <v>534</v>
      </c>
      <c r="E307" s="399" t="s">
        <v>891</v>
      </c>
      <c r="F307" s="399" t="s">
        <v>1240</v>
      </c>
      <c r="G307" s="399" t="s">
        <v>1240</v>
      </c>
      <c r="H307" s="399" t="s">
        <v>1240</v>
      </c>
      <c r="I307" s="399" t="s">
        <v>2328</v>
      </c>
      <c r="J307" s="399" t="s">
        <v>2358</v>
      </c>
      <c r="K307" s="789">
        <v>44621</v>
      </c>
      <c r="L307" s="399">
        <v>3950</v>
      </c>
      <c r="M307" s="399">
        <v>3950</v>
      </c>
      <c r="N307" s="399">
        <v>1076.934</v>
      </c>
      <c r="O307" s="399">
        <v>1076.934</v>
      </c>
      <c r="P307" s="399">
        <v>1076.934</v>
      </c>
      <c r="Q307" s="399">
        <v>1076.934</v>
      </c>
      <c r="R307" s="399">
        <v>34.950000000000003</v>
      </c>
      <c r="S307" s="399">
        <v>69.64</v>
      </c>
      <c r="T307" s="399">
        <v>144.41999999999999</v>
      </c>
      <c r="U307" s="399">
        <v>138052.5</v>
      </c>
      <c r="V307" s="399">
        <v>230528.49203999998</v>
      </c>
      <c r="W307" s="399">
        <v>368580.99203999992</v>
      </c>
      <c r="X307" s="399">
        <v>363041.37775999994</v>
      </c>
      <c r="Y307" s="399">
        <v>0</v>
      </c>
      <c r="Z307" s="399">
        <v>57528.57432890257</v>
      </c>
      <c r="AA307" s="399">
        <v>0</v>
      </c>
      <c r="AB307" s="399">
        <v>0</v>
      </c>
      <c r="AC307" s="399">
        <v>0</v>
      </c>
      <c r="AD307" s="399">
        <v>50045.629070176146</v>
      </c>
      <c r="AE307" s="399">
        <v>88024.991570743543</v>
      </c>
      <c r="AF307" s="399">
        <v>155532.7722096738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10212.301976379609</v>
      </c>
      <c r="AM307" s="399"/>
      <c r="AN307" s="399">
        <v>535.97411689237526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6718.5630320154087</v>
      </c>
      <c r="BH307" s="399">
        <v>0</v>
      </c>
      <c r="BI307" s="399">
        <v>0</v>
      </c>
      <c r="BJ307" s="399">
        <v>0</v>
      </c>
      <c r="BK307" s="399">
        <v>0</v>
      </c>
      <c r="BL307" s="399">
        <v>0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162251.3352416892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363040.53520000004</v>
      </c>
      <c r="CJ307" s="399">
        <v>-5540.4868399999104</v>
      </c>
      <c r="CK307" s="399"/>
      <c r="CL307" s="399"/>
      <c r="CM307" s="399"/>
      <c r="CN307" s="399"/>
      <c r="CO307" s="399">
        <v>-11828.908840000022</v>
      </c>
      <c r="CP307" s="399">
        <v>6289.2945600000039</v>
      </c>
      <c r="CQ307" s="399">
        <v>31</v>
      </c>
      <c r="CR307" s="399">
        <v>-1591.4253347693011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2094.4772191600132</v>
      </c>
      <c r="DA307" s="399">
        <v>0</v>
      </c>
      <c r="DB307" s="399">
        <v>0</v>
      </c>
      <c r="DC307" s="399">
        <v>6289.0709867138939</v>
      </c>
      <c r="DD307" s="399">
        <v>0</v>
      </c>
      <c r="DE307" s="399">
        <v>0</v>
      </c>
      <c r="DF307" s="399">
        <v>0</v>
      </c>
      <c r="DG307" s="399">
        <v>271.66956029105222</v>
      </c>
      <c r="DH307" s="399">
        <v>0</v>
      </c>
      <c r="DI307" s="399">
        <v>-8838.1790218773822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-1343.7812588047163</v>
      </c>
      <c r="DP307" s="399">
        <v>-64.68282025214495</v>
      </c>
      <c r="DQ307" s="399">
        <v>0</v>
      </c>
      <c r="DR307" s="399">
        <v>0</v>
      </c>
      <c r="DS307" s="399"/>
      <c r="DT307" s="399"/>
      <c r="DU307" s="399">
        <v>88024.991570743543</v>
      </c>
      <c r="DV307" s="399">
        <v>0</v>
      </c>
      <c r="DW307" s="399">
        <v>0</v>
      </c>
      <c r="DX307" s="399">
        <v>0</v>
      </c>
      <c r="DY307" s="399">
        <v>-11828.908839999989</v>
      </c>
      <c r="DZ307" s="399">
        <v>6289.2945600000094</v>
      </c>
      <c r="EA307" s="399">
        <v>0</v>
      </c>
      <c r="EB307" s="399">
        <v>0</v>
      </c>
      <c r="EC307" s="399">
        <v>-3964.4018359570327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225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957</v>
      </c>
      <c r="C308" s="399" t="s">
        <v>2365</v>
      </c>
      <c r="D308" s="399" t="s">
        <v>534</v>
      </c>
      <c r="E308" s="399" t="s">
        <v>891</v>
      </c>
      <c r="F308" s="399" t="s">
        <v>1240</v>
      </c>
      <c r="G308" s="399" t="s">
        <v>1240</v>
      </c>
      <c r="H308" s="399" t="s">
        <v>1240</v>
      </c>
      <c r="I308" s="399" t="s">
        <v>1240</v>
      </c>
      <c r="J308" s="399" t="s">
        <v>2358</v>
      </c>
      <c r="K308" s="789">
        <v>44621</v>
      </c>
      <c r="L308" s="399">
        <v>0</v>
      </c>
      <c r="M308" s="399">
        <v>0</v>
      </c>
      <c r="N308" s="399">
        <v>0</v>
      </c>
      <c r="O308" s="399">
        <v>0</v>
      </c>
      <c r="P308" s="399">
        <v>0</v>
      </c>
      <c r="Q308" s="399">
        <v>0</v>
      </c>
      <c r="R308" s="399"/>
      <c r="S308" s="399"/>
      <c r="T308" s="399"/>
      <c r="U308" s="399"/>
      <c r="V308" s="399"/>
      <c r="W308" s="399"/>
      <c r="X308" s="399"/>
      <c r="Y308" s="399"/>
      <c r="Z308" s="399"/>
      <c r="AA308" s="399">
        <v>0</v>
      </c>
      <c r="AB308" s="399"/>
      <c r="AC308" s="399"/>
      <c r="AD308" s="399"/>
      <c r="AE308" s="399"/>
      <c r="AF308" s="399"/>
      <c r="AG308" s="399"/>
      <c r="AH308" s="399"/>
      <c r="AI308" s="399"/>
      <c r="AJ308" s="399"/>
      <c r="AK308" s="399"/>
      <c r="AL308" s="399"/>
      <c r="AM308" s="399"/>
      <c r="AN308" s="399"/>
      <c r="AO308" s="399"/>
      <c r="AP308" s="399"/>
      <c r="AQ308" s="399"/>
      <c r="AR308" s="399"/>
      <c r="AS308" s="399"/>
      <c r="AT308" s="399"/>
      <c r="AU308" s="399"/>
      <c r="AV308" s="399"/>
      <c r="AW308" s="399"/>
      <c r="AX308" s="399"/>
      <c r="AY308" s="399"/>
      <c r="AZ308" s="399">
        <v>0</v>
      </c>
      <c r="BA308" s="399"/>
      <c r="BB308" s="399"/>
      <c r="BC308" s="399"/>
      <c r="BD308" s="399"/>
      <c r="BE308" s="399"/>
      <c r="BF308" s="399"/>
      <c r="BG308" s="399"/>
      <c r="BH308" s="399"/>
      <c r="BI308" s="399">
        <v>0</v>
      </c>
      <c r="BJ308" s="399">
        <v>0</v>
      </c>
      <c r="BK308" s="399">
        <v>166264.59</v>
      </c>
      <c r="BL308" s="399">
        <v>2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/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/>
      <c r="CJ308" s="399">
        <v>-0.03</v>
      </c>
      <c r="CK308" s="399"/>
      <c r="CL308" s="399"/>
      <c r="CM308" s="399"/>
      <c r="CN308" s="399"/>
      <c r="CO308" s="399">
        <v>0</v>
      </c>
      <c r="CP308" s="399">
        <v>0</v>
      </c>
      <c r="CQ308" s="399">
        <v>31</v>
      </c>
      <c r="CR308" s="399"/>
      <c r="CS308" s="399"/>
      <c r="CT308" s="399"/>
      <c r="CU308" s="399"/>
      <c r="CV308" s="399"/>
      <c r="CW308" s="399"/>
      <c r="CX308" s="399"/>
      <c r="CY308" s="399"/>
      <c r="CZ308" s="399"/>
      <c r="DA308" s="399"/>
      <c r="DB308" s="399"/>
      <c r="DC308" s="399"/>
      <c r="DD308" s="399"/>
      <c r="DE308" s="399"/>
      <c r="DF308" s="399"/>
      <c r="DG308" s="399"/>
      <c r="DH308" s="399"/>
      <c r="DI308" s="399"/>
      <c r="DJ308" s="399"/>
      <c r="DK308" s="399">
        <v>0</v>
      </c>
      <c r="DL308" s="399"/>
      <c r="DM308" s="399"/>
      <c r="DN308" s="399"/>
      <c r="DO308" s="399"/>
      <c r="DP308" s="399"/>
      <c r="DQ308" s="399"/>
      <c r="DR308" s="399"/>
      <c r="DS308" s="399"/>
      <c r="DT308" s="399"/>
      <c r="DU308" s="399"/>
      <c r="DV308" s="399"/>
      <c r="DW308" s="399"/>
      <c r="DX308" s="399"/>
      <c r="DY308" s="399"/>
      <c r="DZ308" s="399"/>
      <c r="EA308" s="399"/>
      <c r="EB308" s="399"/>
      <c r="EC308" s="399"/>
      <c r="ED308" s="399"/>
      <c r="EE308" s="399"/>
      <c r="EF308" s="399"/>
      <c r="EG308" s="399"/>
      <c r="EH308" s="399"/>
      <c r="EI308" s="399"/>
      <c r="EJ308" s="399"/>
      <c r="EK308" s="399"/>
      <c r="EL308" s="399"/>
      <c r="EM308" s="399"/>
      <c r="EN308" s="399"/>
      <c r="EO308" s="399"/>
      <c r="EP308" s="399"/>
      <c r="EQ308" s="399"/>
      <c r="ER308" s="399"/>
      <c r="ES308" s="399"/>
      <c r="ET308" s="399"/>
      <c r="EU308" s="399"/>
      <c r="EV308" s="399">
        <v>225</v>
      </c>
      <c r="EW308" s="399"/>
      <c r="EX308" s="399"/>
      <c r="EY308" s="399"/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957</v>
      </c>
      <c r="C309" s="399" t="s">
        <v>2366</v>
      </c>
      <c r="D309" s="399" t="s">
        <v>534</v>
      </c>
      <c r="E309" s="399" t="s">
        <v>891</v>
      </c>
      <c r="F309" s="399" t="s">
        <v>1240</v>
      </c>
      <c r="G309" s="399" t="s">
        <v>1240</v>
      </c>
      <c r="H309" s="399" t="s">
        <v>1240</v>
      </c>
      <c r="I309" s="399" t="s">
        <v>894</v>
      </c>
      <c r="J309" s="399" t="s">
        <v>2358</v>
      </c>
      <c r="K309" s="789">
        <v>44621</v>
      </c>
      <c r="L309" s="399">
        <v>0</v>
      </c>
      <c r="M309" s="399">
        <v>0</v>
      </c>
      <c r="N309" s="399">
        <v>80.924000000000007</v>
      </c>
      <c r="O309" s="399">
        <v>80.924000000000007</v>
      </c>
      <c r="P309" s="399">
        <v>80.924000000000007</v>
      </c>
      <c r="Q309" s="399">
        <v>80.924000000000007</v>
      </c>
      <c r="R309" s="399"/>
      <c r="S309" s="399">
        <v>2740.31</v>
      </c>
      <c r="T309" s="399">
        <v>144.41999999999999</v>
      </c>
      <c r="U309" s="399"/>
      <c r="V309" s="399">
        <v>233443.89052000002</v>
      </c>
      <c r="W309" s="399">
        <v>233443.89052000002</v>
      </c>
      <c r="X309" s="399">
        <v>228725.21208000003</v>
      </c>
      <c r="Y309" s="399">
        <v>0</v>
      </c>
      <c r="Z309" s="399">
        <v>4322.8669064140531</v>
      </c>
      <c r="AA309" s="399">
        <v>0</v>
      </c>
      <c r="AB309" s="399">
        <v>0</v>
      </c>
      <c r="AC309" s="399">
        <v>0</v>
      </c>
      <c r="AD309" s="399">
        <v>60908.485499229042</v>
      </c>
      <c r="AE309" s="399">
        <v>155212.84427062713</v>
      </c>
      <c r="AF309" s="399">
        <v>11687.191655473449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767.38251846124615</v>
      </c>
      <c r="AM309" s="399"/>
      <c r="AN309" s="399">
        <v>40.274677403999291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504.85266023991721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12192.044315713367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228713.90639999998</v>
      </c>
      <c r="CJ309" s="399">
        <v>-4730.0141200000653</v>
      </c>
      <c r="CK309" s="399"/>
      <c r="CL309" s="399"/>
      <c r="CM309" s="399"/>
      <c r="CN309" s="399"/>
      <c r="CO309" s="399">
        <v>-5191.2746000000079</v>
      </c>
      <c r="CP309" s="399">
        <v>472.59616000000034</v>
      </c>
      <c r="CQ309" s="399">
        <v>31</v>
      </c>
      <c r="CR309" s="399">
        <v>2272.1328440139478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2549.1024431483165</v>
      </c>
      <c r="DA309" s="399">
        <v>0</v>
      </c>
      <c r="DB309" s="399">
        <v>0</v>
      </c>
      <c r="DC309" s="399">
        <v>472.57936004326803</v>
      </c>
      <c r="DD309" s="399">
        <v>0</v>
      </c>
      <c r="DE309" s="399">
        <v>0</v>
      </c>
      <c r="DF309" s="399">
        <v>0</v>
      </c>
      <c r="DG309" s="399">
        <v>20.414052761815583</v>
      </c>
      <c r="DH309" s="399">
        <v>0</v>
      </c>
      <c r="DI309" s="399">
        <v>-664.12686308205048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-100.97569079211257</v>
      </c>
      <c r="DP309" s="399">
        <v>-4.8604580652895848</v>
      </c>
      <c r="DQ309" s="399">
        <v>0</v>
      </c>
      <c r="DR309" s="399">
        <v>0</v>
      </c>
      <c r="DS309" s="399"/>
      <c r="DT309" s="399"/>
      <c r="DU309" s="399"/>
      <c r="DV309" s="399">
        <v>155212.84427062713</v>
      </c>
      <c r="DW309" s="399">
        <v>0</v>
      </c>
      <c r="DX309" s="399">
        <v>0</v>
      </c>
      <c r="DY309" s="399">
        <v>-5191.2746000000043</v>
      </c>
      <c r="DZ309" s="399">
        <v>472.59616000000096</v>
      </c>
      <c r="EA309" s="399">
        <v>0</v>
      </c>
      <c r="EB309" s="399">
        <v>0</v>
      </c>
      <c r="EC309" s="399">
        <v>-6990.356645432068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225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2360</v>
      </c>
      <c r="C310" s="399" t="s">
        <v>2366</v>
      </c>
      <c r="D310" s="399" t="s">
        <v>534</v>
      </c>
      <c r="E310" s="399" t="s">
        <v>891</v>
      </c>
      <c r="F310" s="399" t="s">
        <v>1240</v>
      </c>
      <c r="G310" s="399" t="s">
        <v>1240</v>
      </c>
      <c r="H310" s="399" t="s">
        <v>1240</v>
      </c>
      <c r="I310" s="399" t="s">
        <v>894</v>
      </c>
      <c r="J310" s="399" t="s">
        <v>2358</v>
      </c>
      <c r="K310" s="789">
        <v>44621</v>
      </c>
      <c r="L310" s="399">
        <v>0</v>
      </c>
      <c r="M310" s="399">
        <v>0</v>
      </c>
      <c r="N310" s="399">
        <v>0.44700000000000001</v>
      </c>
      <c r="O310" s="399">
        <v>0.44700000000000001</v>
      </c>
      <c r="P310" s="399">
        <v>0.44700000000000001</v>
      </c>
      <c r="Q310" s="399">
        <v>0.44700000000000001</v>
      </c>
      <c r="R310" s="399"/>
      <c r="S310" s="399">
        <v>2740.31</v>
      </c>
      <c r="T310" s="399">
        <v>144.41999999999999</v>
      </c>
      <c r="U310" s="399"/>
      <c r="V310" s="399">
        <v>1289.4743100000001</v>
      </c>
      <c r="W310" s="399">
        <v>1289.4743100000001</v>
      </c>
      <c r="X310" s="399">
        <v>1263.4097400000001</v>
      </c>
      <c r="Y310" s="399">
        <v>0</v>
      </c>
      <c r="Z310" s="399">
        <v>23.878225336946787</v>
      </c>
      <c r="AA310" s="399">
        <v>0</v>
      </c>
      <c r="AB310" s="399">
        <v>0</v>
      </c>
      <c r="AC310" s="399">
        <v>0</v>
      </c>
      <c r="AD310" s="399">
        <v>336.44027752156813</v>
      </c>
      <c r="AE310" s="399">
        <v>857.34938200002875</v>
      </c>
      <c r="AF310" s="399">
        <v>64.556555162827237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4.2387917768792569</v>
      </c>
      <c r="AM310" s="399"/>
      <c r="AN310" s="399">
        <v>0.22246528594221349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2.788655270713793</v>
      </c>
      <c r="BH310" s="399">
        <v>0</v>
      </c>
      <c r="BI310" s="399">
        <v>0</v>
      </c>
      <c r="BJ310" s="399">
        <v>0</v>
      </c>
      <c r="BK310" s="399">
        <v>0</v>
      </c>
      <c r="BL310" s="399">
        <v>0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>
        <v>67.345210433541027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1271.8889999999999</v>
      </c>
      <c r="CJ310" s="399">
        <v>-17.615310000000136</v>
      </c>
      <c r="CK310" s="399"/>
      <c r="CL310" s="399"/>
      <c r="CM310" s="399"/>
      <c r="CN310" s="399"/>
      <c r="CO310" s="399">
        <v>-28.675050000000041</v>
      </c>
      <c r="CP310" s="399">
        <v>2.6104800000000017</v>
      </c>
      <c r="CQ310" s="399">
        <v>31</v>
      </c>
      <c r="CR310" s="399">
        <v>12.550583031909355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14.080480353013911</v>
      </c>
      <c r="DA310" s="399">
        <v>0</v>
      </c>
      <c r="DB310" s="399">
        <v>0</v>
      </c>
      <c r="DC310" s="399">
        <v>2.6103872020579928</v>
      </c>
      <c r="DD310" s="399">
        <v>0</v>
      </c>
      <c r="DE310" s="399">
        <v>0</v>
      </c>
      <c r="DF310" s="399">
        <v>0</v>
      </c>
      <c r="DG310" s="399">
        <v>0.11276112876935818</v>
      </c>
      <c r="DH310" s="399">
        <v>0</v>
      </c>
      <c r="DI310" s="399">
        <v>-3.668438384134209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-0.55775954950415585</v>
      </c>
      <c r="DP310" s="399">
        <v>-2.6847718293515455E-2</v>
      </c>
      <c r="DQ310" s="399">
        <v>0</v>
      </c>
      <c r="DR310" s="399">
        <v>0</v>
      </c>
      <c r="DS310" s="399"/>
      <c r="DT310" s="399"/>
      <c r="DU310" s="399"/>
      <c r="DV310" s="399">
        <v>857.34938200002875</v>
      </c>
      <c r="DW310" s="399">
        <v>0</v>
      </c>
      <c r="DX310" s="399">
        <v>0</v>
      </c>
      <c r="DY310" s="399">
        <v>-28.675050000000056</v>
      </c>
      <c r="DZ310" s="399">
        <v>2.6104799999999955</v>
      </c>
      <c r="EA310" s="399">
        <v>0</v>
      </c>
      <c r="EB310" s="399">
        <v>0</v>
      </c>
      <c r="EC310" s="399">
        <v>-38.612641744206144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225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957</v>
      </c>
      <c r="C311" s="399" t="s">
        <v>2366</v>
      </c>
      <c r="D311" s="399" t="s">
        <v>534</v>
      </c>
      <c r="E311" s="399" t="s">
        <v>891</v>
      </c>
      <c r="F311" s="399" t="s">
        <v>1240</v>
      </c>
      <c r="G311" s="399" t="s">
        <v>1240</v>
      </c>
      <c r="H311" s="399" t="s">
        <v>1240</v>
      </c>
      <c r="I311" s="399" t="s">
        <v>2328</v>
      </c>
      <c r="J311" s="399" t="s">
        <v>2358</v>
      </c>
      <c r="K311" s="789">
        <v>44621</v>
      </c>
      <c r="L311" s="399">
        <v>0</v>
      </c>
      <c r="M311" s="399">
        <v>0</v>
      </c>
      <c r="N311" s="399">
        <v>5276.2020000000002</v>
      </c>
      <c r="O311" s="399">
        <v>5276.2020000000002</v>
      </c>
      <c r="P311" s="399">
        <v>5276.2020000000002</v>
      </c>
      <c r="Q311" s="399">
        <v>5276.2020000000002</v>
      </c>
      <c r="R311" s="399"/>
      <c r="S311" s="399">
        <v>69.64</v>
      </c>
      <c r="T311" s="399">
        <v>144.41999999999999</v>
      </c>
      <c r="U311" s="399"/>
      <c r="V311" s="399">
        <v>1129423.80012</v>
      </c>
      <c r="W311" s="399">
        <v>1129423.80012</v>
      </c>
      <c r="X311" s="399">
        <v>1111379.18928</v>
      </c>
      <c r="Y311" s="399">
        <v>0</v>
      </c>
      <c r="Z311" s="399">
        <v>281848.63597147499</v>
      </c>
      <c r="AA311" s="399">
        <v>0</v>
      </c>
      <c r="AB311" s="399">
        <v>0</v>
      </c>
      <c r="AC311" s="399">
        <v>0</v>
      </c>
      <c r="AD311" s="399">
        <v>0</v>
      </c>
      <c r="AE311" s="399">
        <v>0</v>
      </c>
      <c r="AF311" s="399">
        <v>761998.71468281746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50032.934341731299</v>
      </c>
      <c r="AM311" s="399"/>
      <c r="AN311" s="399">
        <v>2625.8876658140462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32916.126435460079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/>
      <c r="BR311" s="399"/>
      <c r="BS311" s="399"/>
      <c r="BT311" s="399"/>
      <c r="BU311" s="399"/>
      <c r="BV311" s="399">
        <v>794914.84111827752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1111378.7679999999</v>
      </c>
      <c r="CJ311" s="399">
        <v>-18045.062120000133</v>
      </c>
      <c r="CK311" s="399"/>
      <c r="CL311" s="399"/>
      <c r="CM311" s="399"/>
      <c r="CN311" s="399"/>
      <c r="CO311" s="399">
        <v>-48857.630519999992</v>
      </c>
      <c r="CP311" s="399">
        <v>30813.019680000019</v>
      </c>
      <c r="CQ311" s="399">
        <v>31</v>
      </c>
      <c r="CR311" s="399">
        <v>-18058.271376747871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0</v>
      </c>
      <c r="DA311" s="399">
        <v>0</v>
      </c>
      <c r="DB311" s="399">
        <v>0</v>
      </c>
      <c r="DC311" s="399">
        <v>30811.924331706483</v>
      </c>
      <c r="DD311" s="399">
        <v>0</v>
      </c>
      <c r="DE311" s="399">
        <v>0</v>
      </c>
      <c r="DF311" s="399">
        <v>0</v>
      </c>
      <c r="DG311" s="399">
        <v>1330.985443255362</v>
      </c>
      <c r="DH311" s="399">
        <v>0</v>
      </c>
      <c r="DI311" s="399">
        <v>-43300.720222026139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-6583.5616344808222</v>
      </c>
      <c r="DP311" s="399">
        <v>-316.89929520286978</v>
      </c>
      <c r="DQ311" s="399">
        <v>0</v>
      </c>
      <c r="DR311" s="399">
        <v>0</v>
      </c>
      <c r="DS311" s="399"/>
      <c r="DT311" s="399"/>
      <c r="DU311" s="399"/>
      <c r="DV311" s="399">
        <v>0</v>
      </c>
      <c r="DW311" s="399">
        <v>0</v>
      </c>
      <c r="DX311" s="399">
        <v>0</v>
      </c>
      <c r="DY311" s="399">
        <v>-48857.630520000006</v>
      </c>
      <c r="DZ311" s="399">
        <v>30813.019680000027</v>
      </c>
      <c r="EA311" s="399">
        <v>0</v>
      </c>
      <c r="EB311" s="399">
        <v>0</v>
      </c>
      <c r="EC311" s="399">
        <v>0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225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2360</v>
      </c>
      <c r="C312" s="399" t="s">
        <v>2366</v>
      </c>
      <c r="D312" s="399" t="s">
        <v>534</v>
      </c>
      <c r="E312" s="399" t="s">
        <v>891</v>
      </c>
      <c r="F312" s="399" t="s">
        <v>1240</v>
      </c>
      <c r="G312" s="399" t="s">
        <v>1240</v>
      </c>
      <c r="H312" s="399" t="s">
        <v>1240</v>
      </c>
      <c r="I312" s="399" t="s">
        <v>2328</v>
      </c>
      <c r="J312" s="399" t="s">
        <v>2358</v>
      </c>
      <c r="K312" s="789">
        <v>44621</v>
      </c>
      <c r="L312" s="399">
        <v>0</v>
      </c>
      <c r="M312" s="399">
        <v>0</v>
      </c>
      <c r="N312" s="399">
        <v>2.254</v>
      </c>
      <c r="O312" s="399">
        <v>2.254</v>
      </c>
      <c r="P312" s="399">
        <v>2.254</v>
      </c>
      <c r="Q312" s="399">
        <v>2.254</v>
      </c>
      <c r="R312" s="399"/>
      <c r="S312" s="399">
        <v>69.64</v>
      </c>
      <c r="T312" s="399">
        <v>144.41999999999999</v>
      </c>
      <c r="U312" s="399"/>
      <c r="V312" s="399">
        <v>482.49123999999995</v>
      </c>
      <c r="W312" s="399">
        <v>482.49123999999995</v>
      </c>
      <c r="X312" s="399">
        <v>474.78255999999999</v>
      </c>
      <c r="Y312" s="399">
        <v>0</v>
      </c>
      <c r="Z312" s="399">
        <v>120.40608480867574</v>
      </c>
      <c r="AA312" s="399">
        <v>0</v>
      </c>
      <c r="AB312" s="399">
        <v>0</v>
      </c>
      <c r="AC312" s="399">
        <v>0</v>
      </c>
      <c r="AD312" s="399">
        <v>0</v>
      </c>
      <c r="AE312" s="399">
        <v>0</v>
      </c>
      <c r="AF312" s="399">
        <v>325.52679046311545</v>
      </c>
      <c r="AG312" s="399">
        <v>0</v>
      </c>
      <c r="AH312" s="399">
        <v>0</v>
      </c>
      <c r="AI312" s="399">
        <v>0</v>
      </c>
      <c r="AJ312" s="399">
        <v>0</v>
      </c>
      <c r="AK312" s="399">
        <v>0</v>
      </c>
      <c r="AL312" s="399">
        <v>21.374131241802786</v>
      </c>
      <c r="AM312" s="399"/>
      <c r="AN312" s="399">
        <v>1.1217824485766201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14.061809799080288</v>
      </c>
      <c r="BH312" s="399">
        <v>0</v>
      </c>
      <c r="BI312" s="399">
        <v>0</v>
      </c>
      <c r="BJ312" s="399">
        <v>0</v>
      </c>
      <c r="BK312" s="399">
        <v>0</v>
      </c>
      <c r="BL312" s="399">
        <v>0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>
        <v>339.58860026219571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473.94</v>
      </c>
      <c r="CJ312" s="399">
        <v>-8.5812399999999229</v>
      </c>
      <c r="CK312" s="399"/>
      <c r="CL312" s="399"/>
      <c r="CM312" s="399"/>
      <c r="CN312" s="399"/>
      <c r="CO312" s="399">
        <v>-20.872039999999995</v>
      </c>
      <c r="CP312" s="399">
        <v>13.163360000000008</v>
      </c>
      <c r="CQ312" s="399">
        <v>31</v>
      </c>
      <c r="CR312" s="399">
        <v>-7.7145157981423154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0</v>
      </c>
      <c r="DA312" s="399">
        <v>0</v>
      </c>
      <c r="DB312" s="399">
        <v>0</v>
      </c>
      <c r="DC312" s="399">
        <v>13.162892065858387</v>
      </c>
      <c r="DD312" s="399">
        <v>0</v>
      </c>
      <c r="DE312" s="399">
        <v>0</v>
      </c>
      <c r="DF312" s="399">
        <v>0</v>
      </c>
      <c r="DG312" s="399">
        <v>0.56859862247457293</v>
      </c>
      <c r="DH312" s="399">
        <v>0</v>
      </c>
      <c r="DI312" s="399">
        <v>-18.498121068989946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-2.8125056478352732</v>
      </c>
      <c r="DP312" s="399">
        <v>-0.13537976965007581</v>
      </c>
      <c r="DQ312" s="399">
        <v>0</v>
      </c>
      <c r="DR312" s="399">
        <v>0</v>
      </c>
      <c r="DS312" s="399"/>
      <c r="DT312" s="399"/>
      <c r="DU312" s="399"/>
      <c r="DV312" s="399">
        <v>0</v>
      </c>
      <c r="DW312" s="399">
        <v>0</v>
      </c>
      <c r="DX312" s="399">
        <v>0</v>
      </c>
      <c r="DY312" s="399">
        <v>-20.872039999999998</v>
      </c>
      <c r="DZ312" s="399">
        <v>13.163360000000011</v>
      </c>
      <c r="EA312" s="399">
        <v>0</v>
      </c>
      <c r="EB312" s="399">
        <v>0</v>
      </c>
      <c r="EC312" s="399">
        <v>0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225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957</v>
      </c>
      <c r="C313" s="399" t="s">
        <v>2366</v>
      </c>
      <c r="D313" s="399" t="s">
        <v>534</v>
      </c>
      <c r="E313" s="399" t="s">
        <v>891</v>
      </c>
      <c r="F313" s="399" t="s">
        <v>1240</v>
      </c>
      <c r="G313" s="399" t="s">
        <v>1240</v>
      </c>
      <c r="H313" s="399" t="s">
        <v>1240</v>
      </c>
      <c r="I313" s="399" t="s">
        <v>1240</v>
      </c>
      <c r="J313" s="399" t="s">
        <v>2358</v>
      </c>
      <c r="K313" s="789">
        <v>44621</v>
      </c>
      <c r="L313" s="399">
        <v>21284</v>
      </c>
      <c r="M313" s="399">
        <v>21284</v>
      </c>
      <c r="N313" s="399">
        <v>0</v>
      </c>
      <c r="O313" s="399">
        <v>0</v>
      </c>
      <c r="P313" s="399">
        <v>0</v>
      </c>
      <c r="Q313" s="399">
        <v>0</v>
      </c>
      <c r="R313" s="399">
        <v>34.950000000000003</v>
      </c>
      <c r="S313" s="399"/>
      <c r="T313" s="399"/>
      <c r="U313" s="399">
        <v>743875.8</v>
      </c>
      <c r="V313" s="399"/>
      <c r="W313" s="399">
        <v>743875.8</v>
      </c>
      <c r="X313" s="399">
        <v>733872.32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269663.58712142508</v>
      </c>
      <c r="AE313" s="399">
        <v>474309.85331435583</v>
      </c>
      <c r="AF313" s="399"/>
      <c r="AG313" s="399"/>
      <c r="AH313" s="399"/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0</v>
      </c>
      <c r="AO313" s="399">
        <v>0</v>
      </c>
      <c r="AP313" s="399">
        <v>0</v>
      </c>
      <c r="AQ313" s="399">
        <v>0</v>
      </c>
      <c r="AR313" s="399">
        <v>0</v>
      </c>
      <c r="AS313" s="399"/>
      <c r="AT313" s="399"/>
      <c r="AU313" s="399">
        <v>0</v>
      </c>
      <c r="AV313" s="399">
        <v>0</v>
      </c>
      <c r="AW313" s="399">
        <v>0</v>
      </c>
      <c r="AX313" s="399"/>
      <c r="AY313" s="399"/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/>
      <c r="BG313" s="399">
        <v>0</v>
      </c>
      <c r="BH313" s="399">
        <v>0</v>
      </c>
      <c r="BI313" s="399">
        <v>188.02</v>
      </c>
      <c r="BJ313" s="399">
        <v>867.83</v>
      </c>
      <c r="BK313" s="399">
        <v>893386.99</v>
      </c>
      <c r="BL313" s="399">
        <v>70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>
        <v>0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733872.32</v>
      </c>
      <c r="CJ313" s="399">
        <v>-10003.510000000126</v>
      </c>
      <c r="CK313" s="399"/>
      <c r="CL313" s="399"/>
      <c r="CM313" s="399"/>
      <c r="CN313" s="399"/>
      <c r="CO313" s="399">
        <v>-10003.480000000127</v>
      </c>
      <c r="CP313" s="399">
        <v>0</v>
      </c>
      <c r="CQ313" s="399">
        <v>31</v>
      </c>
      <c r="CR313" s="399">
        <v>11285.785603190307</v>
      </c>
      <c r="CS313" s="399">
        <v>0</v>
      </c>
      <c r="CT313" s="399">
        <v>0</v>
      </c>
      <c r="CU313" s="399">
        <v>0</v>
      </c>
      <c r="CV313" s="399">
        <v>0</v>
      </c>
      <c r="CW313" s="399"/>
      <c r="CX313" s="399"/>
      <c r="CY313" s="399"/>
      <c r="CZ313" s="399">
        <v>11285.785603190307</v>
      </c>
      <c r="DA313" s="399">
        <v>0</v>
      </c>
      <c r="DB313" s="399">
        <v>0</v>
      </c>
      <c r="DC313" s="399"/>
      <c r="DD313" s="399"/>
      <c r="DE313" s="399">
        <v>0</v>
      </c>
      <c r="DF313" s="399">
        <v>0</v>
      </c>
      <c r="DG313" s="399">
        <v>0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/>
      <c r="DN313" s="399">
        <v>0</v>
      </c>
      <c r="DO313" s="399">
        <v>0</v>
      </c>
      <c r="DP313" s="399">
        <v>0</v>
      </c>
      <c r="DQ313" s="399">
        <v>0</v>
      </c>
      <c r="DR313" s="399">
        <v>0</v>
      </c>
      <c r="DS313" s="399"/>
      <c r="DT313" s="399"/>
      <c r="DU313" s="399">
        <v>474309.85331435583</v>
      </c>
      <c r="DV313" s="399"/>
      <c r="DW313" s="399">
        <v>0</v>
      </c>
      <c r="DX313" s="399">
        <v>0</v>
      </c>
      <c r="DY313" s="399">
        <v>-10003.480000000098</v>
      </c>
      <c r="DZ313" s="399"/>
      <c r="EA313" s="399">
        <v>0</v>
      </c>
      <c r="EB313" s="399"/>
      <c r="EC313" s="399">
        <v>-21361.60219658463</v>
      </c>
      <c r="ED313" s="399"/>
      <c r="EE313" s="399">
        <v>0</v>
      </c>
      <c r="EF313" s="399">
        <v>0</v>
      </c>
      <c r="EG313" s="399"/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/>
      <c r="EN313" s="399"/>
      <c r="EO313" s="399">
        <v>0</v>
      </c>
      <c r="EP313" s="399">
        <v>0</v>
      </c>
      <c r="EQ313" s="399"/>
      <c r="ER313" s="399">
        <v>0</v>
      </c>
      <c r="ES313" s="399"/>
      <c r="ET313" s="399">
        <v>0</v>
      </c>
      <c r="EU313" s="399"/>
      <c r="EV313" s="399">
        <v>225</v>
      </c>
      <c r="EW313" s="399"/>
      <c r="EX313" s="399"/>
      <c r="EY313" s="399"/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2360</v>
      </c>
      <c r="C314" s="399" t="s">
        <v>2366</v>
      </c>
      <c r="D314" s="399" t="s">
        <v>534</v>
      </c>
      <c r="E314" s="399" t="s">
        <v>891</v>
      </c>
      <c r="F314" s="399" t="s">
        <v>1240</v>
      </c>
      <c r="G314" s="399" t="s">
        <v>1240</v>
      </c>
      <c r="H314" s="399" t="s">
        <v>1240</v>
      </c>
      <c r="I314" s="399" t="s">
        <v>1240</v>
      </c>
      <c r="J314" s="399" t="s">
        <v>2358</v>
      </c>
      <c r="K314" s="789">
        <v>44621</v>
      </c>
      <c r="L314" s="399">
        <v>130</v>
      </c>
      <c r="M314" s="399">
        <v>130</v>
      </c>
      <c r="N314" s="399">
        <v>0</v>
      </c>
      <c r="O314" s="399">
        <v>0</v>
      </c>
      <c r="P314" s="399">
        <v>0</v>
      </c>
      <c r="Q314" s="399">
        <v>0</v>
      </c>
      <c r="R314" s="399">
        <v>34.950000000000003</v>
      </c>
      <c r="S314" s="399"/>
      <c r="T314" s="399"/>
      <c r="U314" s="399">
        <v>4543.5</v>
      </c>
      <c r="V314" s="399"/>
      <c r="W314" s="399">
        <v>4543.5</v>
      </c>
      <c r="X314" s="399">
        <v>4482.3999999999996</v>
      </c>
      <c r="Y314" s="399">
        <v>0</v>
      </c>
      <c r="Z314" s="399">
        <v>0</v>
      </c>
      <c r="AA314" s="399">
        <v>0</v>
      </c>
      <c r="AB314" s="399">
        <v>0</v>
      </c>
      <c r="AC314" s="399">
        <v>0</v>
      </c>
      <c r="AD314" s="399">
        <v>1647.07133648681</v>
      </c>
      <c r="AE314" s="399">
        <v>2897.0250390371293</v>
      </c>
      <c r="AF314" s="399"/>
      <c r="AG314" s="399"/>
      <c r="AH314" s="399"/>
      <c r="AI314" s="399">
        <v>0</v>
      </c>
      <c r="AJ314" s="399">
        <v>0</v>
      </c>
      <c r="AK314" s="399">
        <v>0</v>
      </c>
      <c r="AL314" s="399">
        <v>0</v>
      </c>
      <c r="AM314" s="399"/>
      <c r="AN314" s="399">
        <v>0</v>
      </c>
      <c r="AO314" s="399">
        <v>0</v>
      </c>
      <c r="AP314" s="399">
        <v>0</v>
      </c>
      <c r="AQ314" s="399">
        <v>0</v>
      </c>
      <c r="AR314" s="399">
        <v>0</v>
      </c>
      <c r="AS314" s="399"/>
      <c r="AT314" s="399"/>
      <c r="AU314" s="399">
        <v>0</v>
      </c>
      <c r="AV314" s="399">
        <v>0</v>
      </c>
      <c r="AW314" s="399">
        <v>0</v>
      </c>
      <c r="AX314" s="399"/>
      <c r="AY314" s="399"/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/>
      <c r="BG314" s="399">
        <v>0</v>
      </c>
      <c r="BH314" s="399">
        <v>0</v>
      </c>
      <c r="BI314" s="399">
        <v>0</v>
      </c>
      <c r="BJ314" s="399">
        <v>0</v>
      </c>
      <c r="BK314" s="399">
        <v>2383.66</v>
      </c>
      <c r="BL314" s="399">
        <v>1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0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4482.3999999999996</v>
      </c>
      <c r="CJ314" s="399">
        <v>-61.130000000001019</v>
      </c>
      <c r="CK314" s="399"/>
      <c r="CL314" s="399"/>
      <c r="CM314" s="399"/>
      <c r="CN314" s="399"/>
      <c r="CO314" s="399">
        <v>-61.100000000000776</v>
      </c>
      <c r="CP314" s="399">
        <v>0</v>
      </c>
      <c r="CQ314" s="399">
        <v>31</v>
      </c>
      <c r="CR314" s="399">
        <v>68.932161643240988</v>
      </c>
      <c r="CS314" s="399">
        <v>0</v>
      </c>
      <c r="CT314" s="399">
        <v>0</v>
      </c>
      <c r="CU314" s="399">
        <v>0</v>
      </c>
      <c r="CV314" s="399">
        <v>0</v>
      </c>
      <c r="CW314" s="399"/>
      <c r="CX314" s="399"/>
      <c r="CY314" s="399"/>
      <c r="CZ314" s="399">
        <v>68.932161643240988</v>
      </c>
      <c r="DA314" s="399">
        <v>0</v>
      </c>
      <c r="DB314" s="399">
        <v>0</v>
      </c>
      <c r="DC314" s="399"/>
      <c r="DD314" s="399"/>
      <c r="DE314" s="399">
        <v>0</v>
      </c>
      <c r="DF314" s="399">
        <v>0</v>
      </c>
      <c r="DG314" s="399">
        <v>0</v>
      </c>
      <c r="DH314" s="399">
        <v>0</v>
      </c>
      <c r="DI314" s="399">
        <v>0</v>
      </c>
      <c r="DJ314" s="399"/>
      <c r="DK314" s="399">
        <v>0</v>
      </c>
      <c r="DL314" s="399">
        <v>0</v>
      </c>
      <c r="DM314" s="399"/>
      <c r="DN314" s="399">
        <v>0</v>
      </c>
      <c r="DO314" s="399">
        <v>0</v>
      </c>
      <c r="DP314" s="399">
        <v>0</v>
      </c>
      <c r="DQ314" s="399">
        <v>0</v>
      </c>
      <c r="DR314" s="399">
        <v>0</v>
      </c>
      <c r="DS314" s="399"/>
      <c r="DT314" s="399"/>
      <c r="DU314" s="399">
        <v>2897.0250390371293</v>
      </c>
      <c r="DV314" s="399"/>
      <c r="DW314" s="399">
        <v>0</v>
      </c>
      <c r="DX314" s="399">
        <v>0</v>
      </c>
      <c r="DY314" s="399">
        <v>-61.100000000000364</v>
      </c>
      <c r="DZ314" s="399"/>
      <c r="EA314" s="399">
        <v>0</v>
      </c>
      <c r="EB314" s="399"/>
      <c r="EC314" s="399">
        <v>-130.47398447453543</v>
      </c>
      <c r="ED314" s="399"/>
      <c r="EE314" s="399">
        <v>0</v>
      </c>
      <c r="EF314" s="399">
        <v>0</v>
      </c>
      <c r="EG314" s="399"/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/>
      <c r="EN314" s="399"/>
      <c r="EO314" s="399">
        <v>0</v>
      </c>
      <c r="EP314" s="399">
        <v>0</v>
      </c>
      <c r="EQ314" s="399"/>
      <c r="ER314" s="399">
        <v>0</v>
      </c>
      <c r="ES314" s="399"/>
      <c r="ET314" s="399">
        <v>0</v>
      </c>
      <c r="EU314" s="399"/>
      <c r="EV314" s="399">
        <v>225</v>
      </c>
      <c r="EW314" s="399"/>
      <c r="EX314" s="399"/>
      <c r="EY314" s="399"/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957</v>
      </c>
      <c r="C315" s="399" t="s">
        <v>2357</v>
      </c>
      <c r="D315" s="399" t="s">
        <v>1826</v>
      </c>
      <c r="E315" s="399" t="s">
        <v>919</v>
      </c>
      <c r="F315" s="399" t="s">
        <v>1240</v>
      </c>
      <c r="G315" s="399" t="s">
        <v>1240</v>
      </c>
      <c r="H315" s="399" t="s">
        <v>1240</v>
      </c>
      <c r="I315" s="399" t="s">
        <v>1240</v>
      </c>
      <c r="J315" s="399" t="s">
        <v>2358</v>
      </c>
      <c r="K315" s="789">
        <v>44621</v>
      </c>
      <c r="L315" s="399">
        <v>0</v>
      </c>
      <c r="M315" s="399">
        <v>0</v>
      </c>
      <c r="N315" s="399">
        <v>798.06200000000001</v>
      </c>
      <c r="O315" s="399">
        <v>798.06200000000001</v>
      </c>
      <c r="P315" s="399">
        <v>798.06200000000001</v>
      </c>
      <c r="Q315" s="399">
        <v>798.06200000000001</v>
      </c>
      <c r="R315" s="399"/>
      <c r="S315" s="399">
        <v>522.37</v>
      </c>
      <c r="T315" s="399">
        <v>144.41999999999999</v>
      </c>
      <c r="U315" s="399"/>
      <c r="V315" s="399">
        <v>532139.76098000002</v>
      </c>
      <c r="W315" s="399">
        <v>532139.76098000002</v>
      </c>
      <c r="X315" s="399">
        <v>520128.92788000003</v>
      </c>
      <c r="Y315" s="399">
        <v>0</v>
      </c>
      <c r="Z315" s="399">
        <v>49001.785257667783</v>
      </c>
      <c r="AA315" s="399">
        <v>0</v>
      </c>
      <c r="AB315" s="399">
        <v>0</v>
      </c>
      <c r="AC315" s="399">
        <v>0</v>
      </c>
      <c r="AD315" s="399">
        <v>81373.31720812284</v>
      </c>
      <c r="AE315" s="399">
        <v>264882.538532131</v>
      </c>
      <c r="AF315" s="399">
        <v>115257.56941019291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7567.8269419235203</v>
      </c>
      <c r="AM315" s="399"/>
      <c r="AN315" s="399">
        <v>1161.064642808966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12895.344612544526</v>
      </c>
      <c r="BH315" s="399">
        <v>0</v>
      </c>
      <c r="BI315" s="399">
        <v>274.14999999999998</v>
      </c>
      <c r="BJ315" s="399">
        <v>1267.3900000000001</v>
      </c>
      <c r="BK315" s="399">
        <v>191657.72</v>
      </c>
      <c r="BL315" s="399">
        <v>1213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128152.91402273744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520127.62439999997</v>
      </c>
      <c r="CJ315" s="399">
        <v>-12012.166580000077</v>
      </c>
      <c r="CK315" s="399"/>
      <c r="CL315" s="399"/>
      <c r="CM315" s="399"/>
      <c r="CN315" s="399"/>
      <c r="CO315" s="399">
        <v>-16671.515179999988</v>
      </c>
      <c r="CP315" s="399">
        <v>4660.6820800000032</v>
      </c>
      <c r="CQ315" s="399">
        <v>31</v>
      </c>
      <c r="CR315" s="399">
        <v>-76.596997546905186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3405.5833108009392</v>
      </c>
      <c r="DA315" s="399">
        <v>0</v>
      </c>
      <c r="DB315" s="399">
        <v>0</v>
      </c>
      <c r="DC315" s="399">
        <v>4660.5164010040316</v>
      </c>
      <c r="DD315" s="399">
        <v>0</v>
      </c>
      <c r="DE315" s="399">
        <v>0</v>
      </c>
      <c r="DF315" s="399">
        <v>0</v>
      </c>
      <c r="DG315" s="399">
        <v>521.43182760924356</v>
      </c>
      <c r="DH315" s="399">
        <v>0</v>
      </c>
      <c r="DI315" s="399">
        <v>-7528.1989089946437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-995.8091758308401</v>
      </c>
      <c r="DP315" s="399">
        <v>-140.12045213558679</v>
      </c>
      <c r="DQ315" s="399">
        <v>0</v>
      </c>
      <c r="DR315" s="399">
        <v>0</v>
      </c>
      <c r="DS315" s="399"/>
      <c r="DT315" s="399"/>
      <c r="DU315" s="399"/>
      <c r="DV315" s="399">
        <v>264882.538532131</v>
      </c>
      <c r="DW315" s="399">
        <v>0</v>
      </c>
      <c r="DX315" s="399">
        <v>0</v>
      </c>
      <c r="DY315" s="399">
        <v>-16671.515179999988</v>
      </c>
      <c r="DZ315" s="399">
        <v>4660.6820800000132</v>
      </c>
      <c r="EA315" s="399">
        <v>0</v>
      </c>
      <c r="EB315" s="399">
        <v>0</v>
      </c>
      <c r="EC315" s="399">
        <v>-11929.57594577939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225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2359</v>
      </c>
      <c r="C316" s="399" t="s">
        <v>2357</v>
      </c>
      <c r="D316" s="399" t="s">
        <v>1826</v>
      </c>
      <c r="E316" s="399" t="s">
        <v>919</v>
      </c>
      <c r="F316" s="399" t="s">
        <v>1240</v>
      </c>
      <c r="G316" s="399" t="s">
        <v>1240</v>
      </c>
      <c r="H316" s="399" t="s">
        <v>1240</v>
      </c>
      <c r="I316" s="399" t="s">
        <v>1240</v>
      </c>
      <c r="J316" s="399" t="s">
        <v>2358</v>
      </c>
      <c r="K316" s="789">
        <v>44621</v>
      </c>
      <c r="L316" s="399">
        <v>0</v>
      </c>
      <c r="M316" s="399">
        <v>0</v>
      </c>
      <c r="N316" s="399">
        <v>-7.681</v>
      </c>
      <c r="O316" s="399">
        <v>-7.681</v>
      </c>
      <c r="P316" s="399">
        <v>-7.681</v>
      </c>
      <c r="Q316" s="399">
        <v>-7.681</v>
      </c>
      <c r="R316" s="399"/>
      <c r="S316" s="399">
        <v>522.37</v>
      </c>
      <c r="T316" s="399">
        <v>144.41999999999999</v>
      </c>
      <c r="U316" s="399"/>
      <c r="V316" s="399">
        <v>-5121.6139899999998</v>
      </c>
      <c r="W316" s="399">
        <v>-5121.6139899999998</v>
      </c>
      <c r="X316" s="399">
        <v>-5006.01494</v>
      </c>
      <c r="Y316" s="399">
        <v>0</v>
      </c>
      <c r="Z316" s="399">
        <v>-471.62089231682029</v>
      </c>
      <c r="AA316" s="399">
        <v>0</v>
      </c>
      <c r="AB316" s="399">
        <v>0</v>
      </c>
      <c r="AC316" s="399">
        <v>0</v>
      </c>
      <c r="AD316" s="399">
        <v>-783.18282223134486</v>
      </c>
      <c r="AE316" s="399">
        <v>-2549.3793445437805</v>
      </c>
      <c r="AF316" s="399">
        <v>-1109.3040273057629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-72.83704617049122</v>
      </c>
      <c r="AM316" s="399"/>
      <c r="AN316" s="399">
        <v>-11.174742715999093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-124.11208899678785</v>
      </c>
      <c r="BH316" s="399">
        <v>0</v>
      </c>
      <c r="BI316" s="399">
        <v>-0.2</v>
      </c>
      <c r="BJ316" s="399">
        <v>-0.89</v>
      </c>
      <c r="BK316" s="399">
        <v>-1838.67</v>
      </c>
      <c r="BL316" s="399">
        <v>0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-1233.4161163025508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-5005.3631999999998</v>
      </c>
      <c r="CJ316" s="399">
        <v>116.2207899999994</v>
      </c>
      <c r="CK316" s="399"/>
      <c r="CL316" s="399"/>
      <c r="CM316" s="399"/>
      <c r="CN316" s="399"/>
      <c r="CO316" s="399">
        <v>160.4560899999999</v>
      </c>
      <c r="CP316" s="399">
        <v>-44.857040000000026</v>
      </c>
      <c r="CQ316" s="399">
        <v>31</v>
      </c>
      <c r="CR316" s="399">
        <v>0.73721282075484851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-32.777259674388688</v>
      </c>
      <c r="DA316" s="399">
        <v>0</v>
      </c>
      <c r="DB316" s="399">
        <v>0</v>
      </c>
      <c r="DC316" s="399">
        <v>-44.855445411649725</v>
      </c>
      <c r="DD316" s="399">
        <v>0</v>
      </c>
      <c r="DE316" s="399">
        <v>0</v>
      </c>
      <c r="DF316" s="399">
        <v>0</v>
      </c>
      <c r="DG316" s="399">
        <v>-5.0185547837970006</v>
      </c>
      <c r="DH316" s="399">
        <v>0</v>
      </c>
      <c r="DI316" s="399">
        <v>72.455643571536882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9.5842306481911024</v>
      </c>
      <c r="DP316" s="399">
        <v>1.3485984708624681</v>
      </c>
      <c r="DQ316" s="399">
        <v>0</v>
      </c>
      <c r="DR316" s="399">
        <v>0</v>
      </c>
      <c r="DS316" s="399"/>
      <c r="DT316" s="399"/>
      <c r="DU316" s="399"/>
      <c r="DV316" s="399">
        <v>-2549.3793445437805</v>
      </c>
      <c r="DW316" s="399">
        <v>0</v>
      </c>
      <c r="DX316" s="399">
        <v>0</v>
      </c>
      <c r="DY316" s="399">
        <v>160.45608999999968</v>
      </c>
      <c r="DZ316" s="399">
        <v>-44.857040000000097</v>
      </c>
      <c r="EA316" s="399">
        <v>0</v>
      </c>
      <c r="EB316" s="399">
        <v>0</v>
      </c>
      <c r="EC316" s="399">
        <v>114.81698519605243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225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2360</v>
      </c>
      <c r="C317" s="399" t="s">
        <v>2357</v>
      </c>
      <c r="D317" s="399" t="s">
        <v>1826</v>
      </c>
      <c r="E317" s="399" t="s">
        <v>919</v>
      </c>
      <c r="F317" s="399" t="s">
        <v>1240</v>
      </c>
      <c r="G317" s="399" t="s">
        <v>1240</v>
      </c>
      <c r="H317" s="399" t="s">
        <v>1240</v>
      </c>
      <c r="I317" s="399" t="s">
        <v>1240</v>
      </c>
      <c r="J317" s="399" t="s">
        <v>2358</v>
      </c>
      <c r="K317" s="789">
        <v>44621</v>
      </c>
      <c r="L317" s="399">
        <v>0</v>
      </c>
      <c r="M317" s="399">
        <v>0</v>
      </c>
      <c r="N317" s="399">
        <v>46.667000000000002</v>
      </c>
      <c r="O317" s="399">
        <v>46.667000000000002</v>
      </c>
      <c r="P317" s="399">
        <v>46.667000000000002</v>
      </c>
      <c r="Q317" s="399">
        <v>46.667000000000002</v>
      </c>
      <c r="R317" s="399"/>
      <c r="S317" s="399">
        <v>522.37</v>
      </c>
      <c r="T317" s="399">
        <v>144.41999999999999</v>
      </c>
      <c r="U317" s="399"/>
      <c r="V317" s="399">
        <v>31117.088929999998</v>
      </c>
      <c r="W317" s="399">
        <v>31117.088929999998</v>
      </c>
      <c r="X317" s="399">
        <v>30414.75058</v>
      </c>
      <c r="Y317" s="399">
        <v>0</v>
      </c>
      <c r="Z317" s="399">
        <v>2865.3993206287009</v>
      </c>
      <c r="AA317" s="399">
        <v>0</v>
      </c>
      <c r="AB317" s="399">
        <v>0</v>
      </c>
      <c r="AC317" s="399">
        <v>0</v>
      </c>
      <c r="AD317" s="399">
        <v>4758.3378160487136</v>
      </c>
      <c r="AE317" s="399">
        <v>15489.114161154095</v>
      </c>
      <c r="AF317" s="399">
        <v>6739.7332433638894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442.53175805732502</v>
      </c>
      <c r="AM317" s="399"/>
      <c r="AN317" s="399">
        <v>67.893727161506263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754.06052040269481</v>
      </c>
      <c r="BH317" s="399">
        <v>0</v>
      </c>
      <c r="BI317" s="399">
        <v>0.48</v>
      </c>
      <c r="BJ317" s="399">
        <v>2.2599999999999998</v>
      </c>
      <c r="BK317" s="399">
        <v>18290.77</v>
      </c>
      <c r="BL317" s="399">
        <v>48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7493.7937637665846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30416.705800000003</v>
      </c>
      <c r="CJ317" s="399">
        <v>-700.41312999998991</v>
      </c>
      <c r="CK317" s="399"/>
      <c r="CL317" s="399"/>
      <c r="CM317" s="399"/>
      <c r="CN317" s="399"/>
      <c r="CO317" s="399">
        <v>-974.87362999999937</v>
      </c>
      <c r="CP317" s="399">
        <v>272.53528000000017</v>
      </c>
      <c r="CQ317" s="399">
        <v>31</v>
      </c>
      <c r="CR317" s="399">
        <v>-4.479040581454683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199.14286905672452</v>
      </c>
      <c r="DA317" s="399">
        <v>0</v>
      </c>
      <c r="DB317" s="399">
        <v>0</v>
      </c>
      <c r="DC317" s="399">
        <v>272.52559185333394</v>
      </c>
      <c r="DD317" s="399">
        <v>0</v>
      </c>
      <c r="DE317" s="399">
        <v>0</v>
      </c>
      <c r="DF317" s="399">
        <v>0</v>
      </c>
      <c r="DG317" s="399">
        <v>30.490938171521179</v>
      </c>
      <c r="DH317" s="399">
        <v>0</v>
      </c>
      <c r="DI317" s="399">
        <v>-440.21449271617121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-58.230346525079256</v>
      </c>
      <c r="DP317" s="399">
        <v>-8.1936004217860514</v>
      </c>
      <c r="DQ317" s="399">
        <v>0</v>
      </c>
      <c r="DR317" s="399">
        <v>0</v>
      </c>
      <c r="DS317" s="399"/>
      <c r="DT317" s="399"/>
      <c r="DU317" s="399"/>
      <c r="DV317" s="399">
        <v>15489.114161154095</v>
      </c>
      <c r="DW317" s="399">
        <v>0</v>
      </c>
      <c r="DX317" s="399">
        <v>0</v>
      </c>
      <c r="DY317" s="399">
        <v>-974.87362999999823</v>
      </c>
      <c r="DZ317" s="399">
        <v>272.53528000000006</v>
      </c>
      <c r="EA317" s="399">
        <v>0</v>
      </c>
      <c r="EB317" s="399">
        <v>0</v>
      </c>
      <c r="EC317" s="399">
        <v>-697.5868048618886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225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2360</v>
      </c>
      <c r="C318" s="399" t="s">
        <v>2357</v>
      </c>
      <c r="D318" s="399" t="s">
        <v>1826</v>
      </c>
      <c r="E318" s="399" t="s">
        <v>919</v>
      </c>
      <c r="F318" s="399" t="s">
        <v>1240</v>
      </c>
      <c r="G318" s="399" t="s">
        <v>1240</v>
      </c>
      <c r="H318" s="399" t="s">
        <v>1240</v>
      </c>
      <c r="I318" s="399" t="s">
        <v>1240</v>
      </c>
      <c r="J318" s="399" t="s">
        <v>2358</v>
      </c>
      <c r="K318" s="789">
        <v>44621</v>
      </c>
      <c r="L318" s="399">
        <v>0</v>
      </c>
      <c r="M318" s="399">
        <v>0</v>
      </c>
      <c r="N318" s="399">
        <v>-0.71399999999999997</v>
      </c>
      <c r="O318" s="399">
        <v>-0.71399999999999997</v>
      </c>
      <c r="P318" s="399">
        <v>-0.71399999999999997</v>
      </c>
      <c r="Q318" s="399">
        <v>-0.71399999999999997</v>
      </c>
      <c r="R318" s="399"/>
      <c r="S318" s="399">
        <v>522.37</v>
      </c>
      <c r="T318" s="399">
        <v>144.41999999999999</v>
      </c>
      <c r="U318" s="399"/>
      <c r="V318" s="399">
        <v>-476.08805999999998</v>
      </c>
      <c r="W318" s="399">
        <v>-476.08805999999998</v>
      </c>
      <c r="X318" s="399">
        <v>-465.34235999999999</v>
      </c>
      <c r="Y318" s="399">
        <v>0</v>
      </c>
      <c r="Z318" s="399">
        <v>-43.840296460644403</v>
      </c>
      <c r="AA318" s="399">
        <v>0</v>
      </c>
      <c r="AB318" s="399">
        <v>0</v>
      </c>
      <c r="AC318" s="399">
        <v>0</v>
      </c>
      <c r="AD318" s="399">
        <v>-72.80204857091266</v>
      </c>
      <c r="AE318" s="399">
        <v>-236.98175393884378</v>
      </c>
      <c r="AF318" s="399">
        <v>-103.117182072167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-6.7706875362232424</v>
      </c>
      <c r="AM318" s="399"/>
      <c r="AN318" s="399">
        <v>-1.0387666058095757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-11.537043554707267</v>
      </c>
      <c r="BH318" s="399">
        <v>0</v>
      </c>
      <c r="BI318" s="399">
        <v>0</v>
      </c>
      <c r="BJ318" s="399">
        <v>0</v>
      </c>
      <c r="BK318" s="399">
        <v>-172.27</v>
      </c>
      <c r="BL318" s="399">
        <v>2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-114.65422562687426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-462.73539999999997</v>
      </c>
      <c r="CJ318" s="399">
        <v>13.322660000000042</v>
      </c>
      <c r="CK318" s="399"/>
      <c r="CL318" s="399"/>
      <c r="CM318" s="399"/>
      <c r="CN318" s="399"/>
      <c r="CO318" s="399">
        <v>14.915459999999989</v>
      </c>
      <c r="CP318" s="399">
        <v>-4.1697600000000019</v>
      </c>
      <c r="CQ318" s="399">
        <v>31</v>
      </c>
      <c r="CR318" s="399">
        <v>6.8528831404620405E-2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-3.0468641332526545</v>
      </c>
      <c r="DA318" s="399">
        <v>0</v>
      </c>
      <c r="DB318" s="399">
        <v>0</v>
      </c>
      <c r="DC318" s="399">
        <v>-4.1696117724147683</v>
      </c>
      <c r="DD318" s="399">
        <v>0</v>
      </c>
      <c r="DE318" s="399">
        <v>0</v>
      </c>
      <c r="DF318" s="399">
        <v>0</v>
      </c>
      <c r="DG318" s="399">
        <v>-0.46650802182411866</v>
      </c>
      <c r="DH318" s="399">
        <v>0</v>
      </c>
      <c r="DI318" s="399">
        <v>6.7352336297457782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0.89091793813415521</v>
      </c>
      <c r="DP318" s="399">
        <v>0.12536119101624799</v>
      </c>
      <c r="DQ318" s="399">
        <v>0</v>
      </c>
      <c r="DR318" s="399">
        <v>0</v>
      </c>
      <c r="DS318" s="399"/>
      <c r="DT318" s="399"/>
      <c r="DU318" s="399"/>
      <c r="DV318" s="399">
        <v>-236.98175393884378</v>
      </c>
      <c r="DW318" s="399">
        <v>0</v>
      </c>
      <c r="DX318" s="399">
        <v>0</v>
      </c>
      <c r="DY318" s="399">
        <v>14.915459999999996</v>
      </c>
      <c r="DZ318" s="399">
        <v>-4.1697599999999966</v>
      </c>
      <c r="EA318" s="399">
        <v>0</v>
      </c>
      <c r="EB318" s="399">
        <v>0</v>
      </c>
      <c r="EC318" s="399">
        <v>10.673001878659193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225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957</v>
      </c>
      <c r="C319" s="399" t="s">
        <v>2366</v>
      </c>
      <c r="D319" s="399" t="s">
        <v>534</v>
      </c>
      <c r="E319" s="399" t="s">
        <v>919</v>
      </c>
      <c r="F319" s="399" t="s">
        <v>1240</v>
      </c>
      <c r="G319" s="399" t="s">
        <v>1240</v>
      </c>
      <c r="H319" s="399" t="s">
        <v>1240</v>
      </c>
      <c r="I319" s="399" t="s">
        <v>894</v>
      </c>
      <c r="J319" s="399" t="s">
        <v>2358</v>
      </c>
      <c r="K319" s="789">
        <v>44621</v>
      </c>
      <c r="L319" s="399">
        <v>0</v>
      </c>
      <c r="M319" s="399">
        <v>0</v>
      </c>
      <c r="N319" s="399">
        <v>7.5679999999999996</v>
      </c>
      <c r="O319" s="399">
        <v>7.5679999999999996</v>
      </c>
      <c r="P319" s="399">
        <v>7.5679999999999996</v>
      </c>
      <c r="Q319" s="399">
        <v>7.5679999999999996</v>
      </c>
      <c r="R319" s="399"/>
      <c r="S319" s="399">
        <v>2740.31</v>
      </c>
      <c r="T319" s="399">
        <v>144.41999999999999</v>
      </c>
      <c r="U319" s="399"/>
      <c r="V319" s="399">
        <v>21831.636639999997</v>
      </c>
      <c r="W319" s="399">
        <v>21831.636639999997</v>
      </c>
      <c r="X319" s="399">
        <v>21390.346559999998</v>
      </c>
      <c r="Y319" s="399">
        <v>0</v>
      </c>
      <c r="Z319" s="399">
        <v>404.27384642061133</v>
      </c>
      <c r="AA319" s="399">
        <v>0</v>
      </c>
      <c r="AB319" s="399">
        <v>0</v>
      </c>
      <c r="AC319" s="399">
        <v>0</v>
      </c>
      <c r="AD319" s="399">
        <v>5696.1521706559897</v>
      </c>
      <c r="AE319" s="399">
        <v>14515.481259454626</v>
      </c>
      <c r="AF319" s="399">
        <v>1092.984361235518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71.765494781705186</v>
      </c>
      <c r="AM319" s="399"/>
      <c r="AN319" s="399">
        <v>3.7664816197106745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47.213742927879153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1140.1981041633971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21395.999400000001</v>
      </c>
      <c r="CJ319" s="399">
        <v>-435.66723999999158</v>
      </c>
      <c r="CK319" s="399"/>
      <c r="CL319" s="399"/>
      <c r="CM319" s="399"/>
      <c r="CN319" s="399"/>
      <c r="CO319" s="399">
        <v>-485.48720000000066</v>
      </c>
      <c r="CP319" s="399">
        <v>44.197120000000027</v>
      </c>
      <c r="CQ319" s="399">
        <v>31</v>
      </c>
      <c r="CR319" s="399">
        <v>212.48951316664443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238.39166736377956</v>
      </c>
      <c r="DA319" s="399">
        <v>0</v>
      </c>
      <c r="DB319" s="399">
        <v>0</v>
      </c>
      <c r="DC319" s="399">
        <v>44.19554887063714</v>
      </c>
      <c r="DD319" s="399">
        <v>0</v>
      </c>
      <c r="DE319" s="399">
        <v>0</v>
      </c>
      <c r="DF319" s="399">
        <v>0</v>
      </c>
      <c r="DG319" s="399">
        <v>1.9091190660548207</v>
      </c>
      <c r="DH319" s="399">
        <v>0</v>
      </c>
      <c r="DI319" s="399">
        <v>-62.109041814603302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-9.4432310305312157</v>
      </c>
      <c r="DP319" s="399">
        <v>-0.4545492886920024</v>
      </c>
      <c r="DQ319" s="399">
        <v>0</v>
      </c>
      <c r="DR319" s="399">
        <v>0</v>
      </c>
      <c r="DS319" s="399"/>
      <c r="DT319" s="399"/>
      <c r="DU319" s="399"/>
      <c r="DV319" s="399">
        <v>14515.481259454626</v>
      </c>
      <c r="DW319" s="399">
        <v>0</v>
      </c>
      <c r="DX319" s="399">
        <v>0</v>
      </c>
      <c r="DY319" s="399">
        <v>-485.48719999999958</v>
      </c>
      <c r="DZ319" s="399">
        <v>44.197120000000041</v>
      </c>
      <c r="EA319" s="399">
        <v>0</v>
      </c>
      <c r="EB319" s="399">
        <v>0</v>
      </c>
      <c r="EC319" s="399">
        <v>-653.73707543658202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225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957</v>
      </c>
      <c r="C320" s="399" t="s">
        <v>2366</v>
      </c>
      <c r="D320" s="399" t="s">
        <v>534</v>
      </c>
      <c r="E320" s="399" t="s">
        <v>919</v>
      </c>
      <c r="F320" s="399" t="s">
        <v>1240</v>
      </c>
      <c r="G320" s="399" t="s">
        <v>1240</v>
      </c>
      <c r="H320" s="399" t="s">
        <v>1240</v>
      </c>
      <c r="I320" s="399" t="s">
        <v>2328</v>
      </c>
      <c r="J320" s="399" t="s">
        <v>2358</v>
      </c>
      <c r="K320" s="789">
        <v>44621</v>
      </c>
      <c r="L320" s="399">
        <v>0</v>
      </c>
      <c r="M320" s="399">
        <v>0</v>
      </c>
      <c r="N320" s="399">
        <v>433.97800000000001</v>
      </c>
      <c r="O320" s="399">
        <v>433.97800000000001</v>
      </c>
      <c r="P320" s="399">
        <v>433.97800000000001</v>
      </c>
      <c r="Q320" s="399">
        <v>433.97800000000001</v>
      </c>
      <c r="R320" s="399"/>
      <c r="S320" s="399">
        <v>69.64</v>
      </c>
      <c r="T320" s="399">
        <v>144.41999999999999</v>
      </c>
      <c r="U320" s="399"/>
      <c r="V320" s="399">
        <v>92897.330679999999</v>
      </c>
      <c r="W320" s="399">
        <v>92897.330679999999</v>
      </c>
      <c r="X320" s="399">
        <v>91413.125920000006</v>
      </c>
      <c r="Y320" s="399">
        <v>0</v>
      </c>
      <c r="Z320" s="399">
        <v>23182.605090106248</v>
      </c>
      <c r="AA320" s="399">
        <v>0</v>
      </c>
      <c r="AB320" s="399">
        <v>0</v>
      </c>
      <c r="AC320" s="399">
        <v>0</v>
      </c>
      <c r="AD320" s="399">
        <v>0</v>
      </c>
      <c r="AE320" s="399">
        <v>0</v>
      </c>
      <c r="AF320" s="399">
        <v>62675.89417551105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4115.3073327662332</v>
      </c>
      <c r="AM320" s="399"/>
      <c r="AN320" s="399">
        <v>215.98442922288572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2707.4161903217682</v>
      </c>
      <c r="BH320" s="399">
        <v>0</v>
      </c>
      <c r="BI320" s="399">
        <v>0</v>
      </c>
      <c r="BJ320" s="399">
        <v>0</v>
      </c>
      <c r="BK320" s="399">
        <v>0</v>
      </c>
      <c r="BL320" s="399">
        <v>0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65383.310365832818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91413.547200000001</v>
      </c>
      <c r="CJ320" s="399">
        <v>-1483.8134799999825</v>
      </c>
      <c r="CK320" s="399"/>
      <c r="CL320" s="399"/>
      <c r="CM320" s="399"/>
      <c r="CN320" s="399"/>
      <c r="CO320" s="399">
        <v>-4018.6362799999993</v>
      </c>
      <c r="CP320" s="399">
        <v>2534.4315200000015</v>
      </c>
      <c r="CQ320" s="399">
        <v>31</v>
      </c>
      <c r="CR320" s="399">
        <v>-1485.3283660364687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0</v>
      </c>
      <c r="DA320" s="399">
        <v>0</v>
      </c>
      <c r="DB320" s="399">
        <v>0</v>
      </c>
      <c r="DC320" s="399">
        <v>2534.341425446808</v>
      </c>
      <c r="DD320" s="399">
        <v>0</v>
      </c>
      <c r="DE320" s="399">
        <v>0</v>
      </c>
      <c r="DF320" s="399">
        <v>0</v>
      </c>
      <c r="DG320" s="399">
        <v>109.47617257509773</v>
      </c>
      <c r="DH320" s="399">
        <v>0</v>
      </c>
      <c r="DI320" s="399">
        <v>-3561.5694699548003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-541.51090329913768</v>
      </c>
      <c r="DP320" s="399">
        <v>-26.065590804436795</v>
      </c>
      <c r="DQ320" s="399">
        <v>0</v>
      </c>
      <c r="DR320" s="399">
        <v>0</v>
      </c>
      <c r="DS320" s="399"/>
      <c r="DT320" s="399"/>
      <c r="DU320" s="399"/>
      <c r="DV320" s="399">
        <v>0</v>
      </c>
      <c r="DW320" s="399">
        <v>0</v>
      </c>
      <c r="DX320" s="399">
        <v>0</v>
      </c>
      <c r="DY320" s="399">
        <v>-4018.6362799999988</v>
      </c>
      <c r="DZ320" s="399">
        <v>2534.4315200000055</v>
      </c>
      <c r="EA320" s="399">
        <v>0</v>
      </c>
      <c r="EB320" s="399">
        <v>0</v>
      </c>
      <c r="EC320" s="399">
        <v>0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225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957</v>
      </c>
      <c r="C321" s="399" t="s">
        <v>2366</v>
      </c>
      <c r="D321" s="399" t="s">
        <v>534</v>
      </c>
      <c r="E321" s="399" t="s">
        <v>919</v>
      </c>
      <c r="F321" s="399" t="s">
        <v>1240</v>
      </c>
      <c r="G321" s="399" t="s">
        <v>1240</v>
      </c>
      <c r="H321" s="399" t="s">
        <v>1240</v>
      </c>
      <c r="I321" s="399" t="s">
        <v>1240</v>
      </c>
      <c r="J321" s="399" t="s">
        <v>2358</v>
      </c>
      <c r="K321" s="789">
        <v>44621</v>
      </c>
      <c r="L321" s="399">
        <v>1865</v>
      </c>
      <c r="M321" s="399">
        <v>1865</v>
      </c>
      <c r="N321" s="399">
        <v>0</v>
      </c>
      <c r="O321" s="399">
        <v>0</v>
      </c>
      <c r="P321" s="399">
        <v>0</v>
      </c>
      <c r="Q321" s="399">
        <v>0</v>
      </c>
      <c r="R321" s="399">
        <v>34.950000000000003</v>
      </c>
      <c r="S321" s="399"/>
      <c r="T321" s="399"/>
      <c r="U321" s="399">
        <v>65181.750000000007</v>
      </c>
      <c r="V321" s="399"/>
      <c r="W321" s="399">
        <v>65181.750000000007</v>
      </c>
      <c r="X321" s="399">
        <v>64305.2</v>
      </c>
      <c r="Y321" s="399">
        <v>0</v>
      </c>
      <c r="Z321" s="399">
        <v>0</v>
      </c>
      <c r="AA321" s="399">
        <v>0</v>
      </c>
      <c r="AB321" s="399">
        <v>0</v>
      </c>
      <c r="AC321" s="399">
        <v>0</v>
      </c>
      <c r="AD321" s="399">
        <v>23629.138788830005</v>
      </c>
      <c r="AE321" s="399">
        <v>41561.166906186503</v>
      </c>
      <c r="AF321" s="399"/>
      <c r="AG321" s="399"/>
      <c r="AH321" s="399"/>
      <c r="AI321" s="399">
        <v>0</v>
      </c>
      <c r="AJ321" s="399">
        <v>0</v>
      </c>
      <c r="AK321" s="399">
        <v>0</v>
      </c>
      <c r="AL321" s="399">
        <v>0</v>
      </c>
      <c r="AM321" s="399"/>
      <c r="AN321" s="399">
        <v>0</v>
      </c>
      <c r="AO321" s="399">
        <v>0</v>
      </c>
      <c r="AP321" s="399">
        <v>0</v>
      </c>
      <c r="AQ321" s="399">
        <v>0</v>
      </c>
      <c r="AR321" s="399">
        <v>0</v>
      </c>
      <c r="AS321" s="399"/>
      <c r="AT321" s="399"/>
      <c r="AU321" s="399">
        <v>0</v>
      </c>
      <c r="AV321" s="399">
        <v>0</v>
      </c>
      <c r="AW321" s="399">
        <v>0</v>
      </c>
      <c r="AX321" s="399"/>
      <c r="AY321" s="399"/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/>
      <c r="BG321" s="399">
        <v>0</v>
      </c>
      <c r="BH321" s="399">
        <v>0</v>
      </c>
      <c r="BI321" s="399">
        <v>0</v>
      </c>
      <c r="BJ321" s="399">
        <v>0</v>
      </c>
      <c r="BK321" s="399">
        <v>75905.100000000006</v>
      </c>
      <c r="BL321" s="399">
        <v>14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0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64305.2</v>
      </c>
      <c r="CJ321" s="399">
        <v>-876.5800000000163</v>
      </c>
      <c r="CK321" s="399"/>
      <c r="CL321" s="399"/>
      <c r="CM321" s="399"/>
      <c r="CN321" s="399"/>
      <c r="CO321" s="399">
        <v>-876.5500000000111</v>
      </c>
      <c r="CP321" s="399">
        <v>0</v>
      </c>
      <c r="CQ321" s="399">
        <v>31</v>
      </c>
      <c r="CR321" s="399">
        <v>988.91139588187798</v>
      </c>
      <c r="CS321" s="399">
        <v>0</v>
      </c>
      <c r="CT321" s="399">
        <v>0</v>
      </c>
      <c r="CU321" s="399">
        <v>0</v>
      </c>
      <c r="CV321" s="399">
        <v>0</v>
      </c>
      <c r="CW321" s="399"/>
      <c r="CX321" s="399"/>
      <c r="CY321" s="399"/>
      <c r="CZ321" s="399">
        <v>988.91139588187798</v>
      </c>
      <c r="DA321" s="399">
        <v>0</v>
      </c>
      <c r="DB321" s="399">
        <v>0</v>
      </c>
      <c r="DC321" s="399"/>
      <c r="DD321" s="399"/>
      <c r="DE321" s="399">
        <v>0</v>
      </c>
      <c r="DF321" s="399">
        <v>0</v>
      </c>
      <c r="DG321" s="399">
        <v>0</v>
      </c>
      <c r="DH321" s="399">
        <v>0</v>
      </c>
      <c r="DI321" s="399">
        <v>0</v>
      </c>
      <c r="DJ321" s="399"/>
      <c r="DK321" s="399">
        <v>0</v>
      </c>
      <c r="DL321" s="399">
        <v>0</v>
      </c>
      <c r="DM321" s="399"/>
      <c r="DN321" s="399">
        <v>0</v>
      </c>
      <c r="DO321" s="399">
        <v>0</v>
      </c>
      <c r="DP321" s="399">
        <v>0</v>
      </c>
      <c r="DQ321" s="399">
        <v>0</v>
      </c>
      <c r="DR321" s="399">
        <v>0</v>
      </c>
      <c r="DS321" s="399"/>
      <c r="DT321" s="399"/>
      <c r="DU321" s="399">
        <v>41561.166906186503</v>
      </c>
      <c r="DV321" s="399"/>
      <c r="DW321" s="399">
        <v>0</v>
      </c>
      <c r="DX321" s="399">
        <v>0</v>
      </c>
      <c r="DY321" s="399">
        <v>-876.55000000001019</v>
      </c>
      <c r="DZ321" s="399"/>
      <c r="EA321" s="399">
        <v>0</v>
      </c>
      <c r="EB321" s="399"/>
      <c r="EC321" s="399">
        <v>-1871.7998541923662</v>
      </c>
      <c r="ED321" s="399"/>
      <c r="EE321" s="399">
        <v>0</v>
      </c>
      <c r="EF321" s="399">
        <v>0</v>
      </c>
      <c r="EG321" s="399"/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/>
      <c r="EN321" s="399"/>
      <c r="EO321" s="399">
        <v>0</v>
      </c>
      <c r="EP321" s="399">
        <v>0</v>
      </c>
      <c r="EQ321" s="399"/>
      <c r="ER321" s="399">
        <v>0</v>
      </c>
      <c r="ES321" s="399"/>
      <c r="ET321" s="399">
        <v>0</v>
      </c>
      <c r="EU321" s="399"/>
      <c r="EV321" s="399">
        <v>225</v>
      </c>
      <c r="EW321" s="399"/>
      <c r="EX321" s="399"/>
      <c r="EY321" s="399"/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957</v>
      </c>
      <c r="C322" s="399" t="s">
        <v>2367</v>
      </c>
      <c r="D322" s="399" t="s">
        <v>1826</v>
      </c>
      <c r="E322" s="399" t="s">
        <v>919</v>
      </c>
      <c r="F322" s="399" t="s">
        <v>1240</v>
      </c>
      <c r="G322" s="399" t="s">
        <v>1240</v>
      </c>
      <c r="H322" s="399" t="s">
        <v>1240</v>
      </c>
      <c r="I322" s="399" t="s">
        <v>894</v>
      </c>
      <c r="J322" s="399" t="s">
        <v>2358</v>
      </c>
      <c r="K322" s="789">
        <v>44621</v>
      </c>
      <c r="L322" s="399">
        <v>0</v>
      </c>
      <c r="M322" s="399">
        <v>0</v>
      </c>
      <c r="N322" s="399">
        <v>8.2000000000000003E-2</v>
      </c>
      <c r="O322" s="399">
        <v>8.2000000000000003E-2</v>
      </c>
      <c r="P322" s="399">
        <v>8.2000000000000003E-2</v>
      </c>
      <c r="Q322" s="399">
        <v>8.2000000000000003E-2</v>
      </c>
      <c r="R322" s="399"/>
      <c r="S322" s="399">
        <v>1585.55</v>
      </c>
      <c r="T322" s="399">
        <v>144.41999999999999</v>
      </c>
      <c r="U322" s="399"/>
      <c r="V322" s="399">
        <v>141.85754</v>
      </c>
      <c r="W322" s="399">
        <v>141.85754</v>
      </c>
      <c r="X322" s="399">
        <v>138.47914</v>
      </c>
      <c r="Y322" s="399">
        <v>0</v>
      </c>
      <c r="Z322" s="399">
        <v>5.0348799856762483</v>
      </c>
      <c r="AA322" s="399">
        <v>0</v>
      </c>
      <c r="AB322" s="399">
        <v>0</v>
      </c>
      <c r="AC322" s="399">
        <v>0</v>
      </c>
      <c r="AD322" s="399">
        <v>28.862049608601772</v>
      </c>
      <c r="AE322" s="399">
        <v>93.896487447974408</v>
      </c>
      <c r="AF322" s="399">
        <v>11.842589537699851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0.77758596354384579</v>
      </c>
      <c r="AM322" s="399"/>
      <c r="AN322" s="399">
        <v>0.11929812559717819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1.3249825931176415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13.167572130817494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135.10159999999999</v>
      </c>
      <c r="CJ322" s="399">
        <v>-6.7859399999999823</v>
      </c>
      <c r="CK322" s="399"/>
      <c r="CL322" s="399"/>
      <c r="CM322" s="399"/>
      <c r="CN322" s="399"/>
      <c r="CO322" s="399">
        <v>-3.8572799999999972</v>
      </c>
      <c r="CP322" s="399">
        <v>0.47888000000000031</v>
      </c>
      <c r="CQ322" s="399">
        <v>31</v>
      </c>
      <c r="CR322" s="399">
        <v>0.85012555815185209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1.2079157865858789</v>
      </c>
      <c r="DA322" s="399">
        <v>0</v>
      </c>
      <c r="DB322" s="399">
        <v>0</v>
      </c>
      <c r="DC322" s="399">
        <v>0.47886297666388167</v>
      </c>
      <c r="DD322" s="399">
        <v>0</v>
      </c>
      <c r="DE322" s="399">
        <v>0</v>
      </c>
      <c r="DF322" s="399">
        <v>0</v>
      </c>
      <c r="DG322" s="399">
        <v>5.3576551526019145E-2</v>
      </c>
      <c r="DH322" s="399">
        <v>0</v>
      </c>
      <c r="DI322" s="399">
        <v>-0.7735142263853696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-0.10231830662044916</v>
      </c>
      <c r="DP322" s="399">
        <v>-1.439722361811252E-2</v>
      </c>
      <c r="DQ322" s="399">
        <v>0</v>
      </c>
      <c r="DR322" s="399">
        <v>0</v>
      </c>
      <c r="DS322" s="399"/>
      <c r="DT322" s="399"/>
      <c r="DU322" s="399"/>
      <c r="DV322" s="399">
        <v>93.896487447974408</v>
      </c>
      <c r="DW322" s="399">
        <v>0</v>
      </c>
      <c r="DX322" s="399">
        <v>0</v>
      </c>
      <c r="DY322" s="399">
        <v>-3.8572799999999887</v>
      </c>
      <c r="DZ322" s="399">
        <v>0.47888000000000019</v>
      </c>
      <c r="EA322" s="399">
        <v>0</v>
      </c>
      <c r="EB322" s="399">
        <v>0</v>
      </c>
      <c r="EC322" s="399">
        <v>-4.2288377492152023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225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957</v>
      </c>
      <c r="C323" s="399" t="s">
        <v>2367</v>
      </c>
      <c r="D323" s="399" t="s">
        <v>1826</v>
      </c>
      <c r="E323" s="399" t="s">
        <v>919</v>
      </c>
      <c r="F323" s="399" t="s">
        <v>1240</v>
      </c>
      <c r="G323" s="399" t="s">
        <v>1240</v>
      </c>
      <c r="H323" s="399" t="s">
        <v>1240</v>
      </c>
      <c r="I323" s="399" t="s">
        <v>2328</v>
      </c>
      <c r="J323" s="399" t="s">
        <v>2358</v>
      </c>
      <c r="K323" s="789">
        <v>44621</v>
      </c>
      <c r="L323" s="399">
        <v>0</v>
      </c>
      <c r="M323" s="399">
        <v>0</v>
      </c>
      <c r="N323" s="399">
        <v>6.3239999999999998</v>
      </c>
      <c r="O323" s="399">
        <v>6.3239999999999998</v>
      </c>
      <c r="P323" s="399">
        <v>6.3239999999999998</v>
      </c>
      <c r="Q323" s="399">
        <v>6.3239999999999998</v>
      </c>
      <c r="R323" s="399"/>
      <c r="S323" s="399">
        <v>387.88</v>
      </c>
      <c r="T323" s="399">
        <v>144.41999999999999</v>
      </c>
      <c r="U323" s="399"/>
      <c r="V323" s="399">
        <v>3366.2651999999998</v>
      </c>
      <c r="W323" s="399">
        <v>3366.2651999999998</v>
      </c>
      <c r="X323" s="399">
        <v>3292.0846799999999</v>
      </c>
      <c r="Y323" s="399">
        <v>0</v>
      </c>
      <c r="Z323" s="399">
        <v>388.29976865142186</v>
      </c>
      <c r="AA323" s="399">
        <v>0</v>
      </c>
      <c r="AB323" s="399">
        <v>0</v>
      </c>
      <c r="AC323" s="399">
        <v>0</v>
      </c>
      <c r="AD323" s="399">
        <v>444.98822607733484</v>
      </c>
      <c r="AE323" s="399">
        <v>1448.2963205702345</v>
      </c>
      <c r="AF323" s="399">
        <v>913.32361263919336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59.968946749405866</v>
      </c>
      <c r="AM323" s="399"/>
      <c r="AN323" s="399">
        <v>9.2005042228848151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102.18524291312151</v>
      </c>
      <c r="BH323" s="399">
        <v>0</v>
      </c>
      <c r="BI323" s="399">
        <v>0</v>
      </c>
      <c r="BJ323" s="399">
        <v>0</v>
      </c>
      <c r="BK323" s="399">
        <v>0</v>
      </c>
      <c r="BL323" s="399">
        <v>0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1015.5088555523149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3290.0024000000003</v>
      </c>
      <c r="CJ323" s="399">
        <v>-76.29280000000017</v>
      </c>
      <c r="CK323" s="399"/>
      <c r="CL323" s="399"/>
      <c r="CM323" s="399"/>
      <c r="CN323" s="399"/>
      <c r="CO323" s="399">
        <v>-111.11267999999995</v>
      </c>
      <c r="CP323" s="399">
        <v>36.932160000000017</v>
      </c>
      <c r="CQ323" s="399">
        <v>31</v>
      </c>
      <c r="CR323" s="399">
        <v>-8.9701218286732001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18.623358715434563</v>
      </c>
      <c r="DA323" s="399">
        <v>0</v>
      </c>
      <c r="DB323" s="399">
        <v>0</v>
      </c>
      <c r="DC323" s="399">
        <v>36.930847127102311</v>
      </c>
      <c r="DD323" s="399">
        <v>0</v>
      </c>
      <c r="DE323" s="399">
        <v>0</v>
      </c>
      <c r="DF323" s="399">
        <v>0</v>
      </c>
      <c r="DG323" s="399">
        <v>4.1319281932993306</v>
      </c>
      <c r="DH323" s="399">
        <v>0</v>
      </c>
      <c r="DI323" s="399">
        <v>-59.654926434891138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-7.8909874520453798</v>
      </c>
      <c r="DP323" s="399">
        <v>-1.1103419775724834</v>
      </c>
      <c r="DQ323" s="399">
        <v>0</v>
      </c>
      <c r="DR323" s="399">
        <v>0</v>
      </c>
      <c r="DS323" s="399"/>
      <c r="DT323" s="399"/>
      <c r="DU323" s="399"/>
      <c r="DV323" s="399">
        <v>1448.2963205702345</v>
      </c>
      <c r="DW323" s="399">
        <v>0</v>
      </c>
      <c r="DX323" s="399">
        <v>0</v>
      </c>
      <c r="DY323" s="399">
        <v>-111.11268000000018</v>
      </c>
      <c r="DZ323" s="399">
        <v>36.932159999999953</v>
      </c>
      <c r="EA323" s="399">
        <v>0</v>
      </c>
      <c r="EB323" s="399">
        <v>0</v>
      </c>
      <c r="EC323" s="399">
        <v>-65.227255235401799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225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957</v>
      </c>
      <c r="C324" s="399" t="s">
        <v>2367</v>
      </c>
      <c r="D324" s="399" t="s">
        <v>1826</v>
      </c>
      <c r="E324" s="399" t="s">
        <v>919</v>
      </c>
      <c r="F324" s="399" t="s">
        <v>1240</v>
      </c>
      <c r="G324" s="399" t="s">
        <v>1240</v>
      </c>
      <c r="H324" s="399" t="s">
        <v>1240</v>
      </c>
      <c r="I324" s="399" t="s">
        <v>1240</v>
      </c>
      <c r="J324" s="399" t="s">
        <v>2358</v>
      </c>
      <c r="K324" s="789">
        <v>44621</v>
      </c>
      <c r="L324" s="399">
        <v>0</v>
      </c>
      <c r="M324" s="399">
        <v>0</v>
      </c>
      <c r="N324" s="399">
        <v>0</v>
      </c>
      <c r="O324" s="399">
        <v>0</v>
      </c>
      <c r="P324" s="399">
        <v>0</v>
      </c>
      <c r="Q324" s="399">
        <v>0</v>
      </c>
      <c r="R324" s="399"/>
      <c r="S324" s="399"/>
      <c r="T324" s="399"/>
      <c r="U324" s="399"/>
      <c r="V324" s="399"/>
      <c r="W324" s="399"/>
      <c r="X324" s="399"/>
      <c r="Y324" s="399"/>
      <c r="Z324" s="399"/>
      <c r="AA324" s="399">
        <v>0</v>
      </c>
      <c r="AB324" s="399"/>
      <c r="AC324" s="399"/>
      <c r="AD324" s="399"/>
      <c r="AE324" s="399"/>
      <c r="AF324" s="399"/>
      <c r="AG324" s="399"/>
      <c r="AH324" s="399"/>
      <c r="AI324" s="399"/>
      <c r="AJ324" s="399"/>
      <c r="AK324" s="399"/>
      <c r="AL324" s="399"/>
      <c r="AM324" s="399"/>
      <c r="AN324" s="399"/>
      <c r="AO324" s="399"/>
      <c r="AP324" s="399"/>
      <c r="AQ324" s="399"/>
      <c r="AR324" s="399"/>
      <c r="AS324" s="399"/>
      <c r="AT324" s="399"/>
      <c r="AU324" s="399"/>
      <c r="AV324" s="399"/>
      <c r="AW324" s="399"/>
      <c r="AX324" s="399"/>
      <c r="AY324" s="399"/>
      <c r="AZ324" s="399">
        <v>0</v>
      </c>
      <c r="BA324" s="399"/>
      <c r="BB324" s="399"/>
      <c r="BC324" s="399"/>
      <c r="BD324" s="399"/>
      <c r="BE324" s="399"/>
      <c r="BF324" s="399"/>
      <c r="BG324" s="399"/>
      <c r="BH324" s="399"/>
      <c r="BI324" s="399">
        <v>0</v>
      </c>
      <c r="BJ324" s="399">
        <v>0</v>
      </c>
      <c r="BK324" s="399">
        <v>1378.75</v>
      </c>
      <c r="BL324" s="399">
        <v>4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/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/>
      <c r="CJ324" s="399">
        <v>-0.03</v>
      </c>
      <c r="CK324" s="399"/>
      <c r="CL324" s="399"/>
      <c r="CM324" s="399"/>
      <c r="CN324" s="399"/>
      <c r="CO324" s="399">
        <v>0</v>
      </c>
      <c r="CP324" s="399">
        <v>0</v>
      </c>
      <c r="CQ324" s="399">
        <v>31</v>
      </c>
      <c r="CR324" s="399"/>
      <c r="CS324" s="399"/>
      <c r="CT324" s="399"/>
      <c r="CU324" s="399"/>
      <c r="CV324" s="399"/>
      <c r="CW324" s="399"/>
      <c r="CX324" s="399"/>
      <c r="CY324" s="399"/>
      <c r="CZ324" s="399"/>
      <c r="DA324" s="399"/>
      <c r="DB324" s="399"/>
      <c r="DC324" s="399"/>
      <c r="DD324" s="399"/>
      <c r="DE324" s="399"/>
      <c r="DF324" s="399"/>
      <c r="DG324" s="399"/>
      <c r="DH324" s="399"/>
      <c r="DI324" s="399"/>
      <c r="DJ324" s="399"/>
      <c r="DK324" s="399">
        <v>0</v>
      </c>
      <c r="DL324" s="399"/>
      <c r="DM324" s="399"/>
      <c r="DN324" s="399"/>
      <c r="DO324" s="399"/>
      <c r="DP324" s="399"/>
      <c r="DQ324" s="399"/>
      <c r="DR324" s="399"/>
      <c r="DS324" s="399"/>
      <c r="DT324" s="399"/>
      <c r="DU324" s="399"/>
      <c r="DV324" s="399"/>
      <c r="DW324" s="399"/>
      <c r="DX324" s="399"/>
      <c r="DY324" s="399"/>
      <c r="DZ324" s="399"/>
      <c r="EA324" s="399"/>
      <c r="EB324" s="399"/>
      <c r="EC324" s="399"/>
      <c r="ED324" s="399"/>
      <c r="EE324" s="399"/>
      <c r="EF324" s="399"/>
      <c r="EG324" s="399"/>
      <c r="EH324" s="399"/>
      <c r="EI324" s="399"/>
      <c r="EJ324" s="399"/>
      <c r="EK324" s="399"/>
      <c r="EL324" s="399"/>
      <c r="EM324" s="399"/>
      <c r="EN324" s="399"/>
      <c r="EO324" s="399"/>
      <c r="EP324" s="399"/>
      <c r="EQ324" s="399"/>
      <c r="ER324" s="399"/>
      <c r="ES324" s="399"/>
      <c r="ET324" s="399"/>
      <c r="EU324" s="399"/>
      <c r="EV324" s="399">
        <v>225</v>
      </c>
      <c r="EW324" s="399"/>
      <c r="EX324" s="399"/>
      <c r="EY324" s="399"/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957</v>
      </c>
      <c r="C325" s="399" t="s">
        <v>2367</v>
      </c>
      <c r="D325" s="399" t="s">
        <v>1826</v>
      </c>
      <c r="E325" s="399" t="s">
        <v>919</v>
      </c>
      <c r="F325" s="399" t="s">
        <v>1240</v>
      </c>
      <c r="G325" s="399" t="s">
        <v>1240</v>
      </c>
      <c r="H325" s="399" t="s">
        <v>1240</v>
      </c>
      <c r="I325" s="399" t="s">
        <v>2368</v>
      </c>
      <c r="J325" s="399" t="s">
        <v>2358</v>
      </c>
      <c r="K325" s="789">
        <v>44621</v>
      </c>
      <c r="L325" s="399">
        <v>0</v>
      </c>
      <c r="M325" s="399">
        <v>0</v>
      </c>
      <c r="N325" s="399">
        <v>0.161</v>
      </c>
      <c r="O325" s="399">
        <v>0.161</v>
      </c>
      <c r="P325" s="399">
        <v>0.161</v>
      </c>
      <c r="Q325" s="399">
        <v>0.161</v>
      </c>
      <c r="R325" s="399"/>
      <c r="S325" s="399">
        <v>986.74</v>
      </c>
      <c r="T325" s="399">
        <v>144.41999999999999</v>
      </c>
      <c r="U325" s="399"/>
      <c r="V325" s="399">
        <v>182.11676</v>
      </c>
      <c r="W325" s="399">
        <v>182.11676</v>
      </c>
      <c r="X325" s="399">
        <v>177.85508999999999</v>
      </c>
      <c r="Y325" s="399">
        <v>0</v>
      </c>
      <c r="Z325" s="399">
        <v>9.8855570450472676</v>
      </c>
      <c r="AA325" s="399">
        <v>0</v>
      </c>
      <c r="AB325" s="399">
        <v>0</v>
      </c>
      <c r="AC325" s="399">
        <v>0</v>
      </c>
      <c r="AD325" s="399">
        <v>34.002525669865108</v>
      </c>
      <c r="AE325" s="399">
        <v>110.61466205493741</v>
      </c>
      <c r="AF325" s="399">
        <v>23.251913604508246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1.5267236601287704</v>
      </c>
      <c r="AM325" s="399"/>
      <c r="AN325" s="399">
        <v>0.2342316856237279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2.6014902133163447</v>
      </c>
      <c r="BH325" s="399">
        <v>0</v>
      </c>
      <c r="BI325" s="399">
        <v>0</v>
      </c>
      <c r="BJ325" s="399">
        <v>0</v>
      </c>
      <c r="BK325" s="399">
        <v>0</v>
      </c>
      <c r="BL325" s="399">
        <v>0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25.853403817824592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176.75039999999998</v>
      </c>
      <c r="CJ325" s="399">
        <v>-5.3963599999999872</v>
      </c>
      <c r="CK325" s="399"/>
      <c r="CL325" s="399"/>
      <c r="CM325" s="399"/>
      <c r="CN325" s="399"/>
      <c r="CO325" s="399">
        <v>-5.2019100000000096</v>
      </c>
      <c r="CP325" s="399">
        <v>0.94024000000000052</v>
      </c>
      <c r="CQ325" s="399">
        <v>31</v>
      </c>
      <c r="CR325" s="399">
        <v>0.72056108724778767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1.4230516577097134</v>
      </c>
      <c r="DA325" s="399">
        <v>0</v>
      </c>
      <c r="DB325" s="399">
        <v>0</v>
      </c>
      <c r="DC325" s="399">
        <v>0.94020657613274139</v>
      </c>
      <c r="DD325" s="399">
        <v>0</v>
      </c>
      <c r="DE325" s="399">
        <v>0</v>
      </c>
      <c r="DF325" s="399">
        <v>0</v>
      </c>
      <c r="DG325" s="399">
        <v>0.10519298531328181</v>
      </c>
      <c r="DH325" s="399">
        <v>0</v>
      </c>
      <c r="DI325" s="399">
        <v>-1.5187291518054202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-0.20089326055966228</v>
      </c>
      <c r="DP325" s="399">
        <v>-2.826771954287946E-2</v>
      </c>
      <c r="DQ325" s="399">
        <v>0</v>
      </c>
      <c r="DR325" s="399">
        <v>0</v>
      </c>
      <c r="DS325" s="399"/>
      <c r="DT325" s="399"/>
      <c r="DU325" s="399"/>
      <c r="DV325" s="399">
        <v>110.61466205493741</v>
      </c>
      <c r="DW325" s="399">
        <v>0</v>
      </c>
      <c r="DX325" s="399">
        <v>0</v>
      </c>
      <c r="DY325" s="399">
        <v>-5.201909999999998</v>
      </c>
      <c r="DZ325" s="399">
        <v>0.9402399999999993</v>
      </c>
      <c r="EA325" s="399">
        <v>0</v>
      </c>
      <c r="EB325" s="399">
        <v>0</v>
      </c>
      <c r="EC325" s="399">
        <v>-4.9817780326848577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225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957</v>
      </c>
      <c r="C326" s="399" t="s">
        <v>2357</v>
      </c>
      <c r="D326" s="399" t="s">
        <v>2369</v>
      </c>
      <c r="E326" s="399" t="s">
        <v>895</v>
      </c>
      <c r="F326" s="399" t="s">
        <v>1240</v>
      </c>
      <c r="G326" s="399" t="s">
        <v>1240</v>
      </c>
      <c r="H326" s="399" t="s">
        <v>1240</v>
      </c>
      <c r="I326" s="399" t="s">
        <v>1240</v>
      </c>
      <c r="J326" s="399" t="s">
        <v>2358</v>
      </c>
      <c r="K326" s="789">
        <v>44621</v>
      </c>
      <c r="L326" s="399">
        <v>0</v>
      </c>
      <c r="M326" s="399">
        <v>0</v>
      </c>
      <c r="N326" s="399">
        <v>247.32499999999999</v>
      </c>
      <c r="O326" s="399">
        <v>247.32499999999999</v>
      </c>
      <c r="P326" s="399">
        <v>247.32499999999999</v>
      </c>
      <c r="Q326" s="399">
        <v>247.32499999999999</v>
      </c>
      <c r="R326" s="399"/>
      <c r="S326" s="399">
        <v>522.37</v>
      </c>
      <c r="T326" s="399">
        <v>144.41999999999999</v>
      </c>
      <c r="U326" s="399"/>
      <c r="V326" s="399">
        <v>164913.83674999999</v>
      </c>
      <c r="W326" s="399">
        <v>164913.83674999999</v>
      </c>
      <c r="X326" s="399">
        <v>161191.5955</v>
      </c>
      <c r="Y326" s="399">
        <v>0</v>
      </c>
      <c r="Z326" s="399">
        <v>15185.99624948022</v>
      </c>
      <c r="AA326" s="399">
        <v>0</v>
      </c>
      <c r="AB326" s="399">
        <v>0</v>
      </c>
      <c r="AC326" s="399">
        <v>0</v>
      </c>
      <c r="AD326" s="399">
        <v>25218.160592158227</v>
      </c>
      <c r="AE326" s="399">
        <v>82088.952791210831</v>
      </c>
      <c r="AF326" s="399">
        <v>35719.127529409947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2345.3225418717275</v>
      </c>
      <c r="AM326" s="399"/>
      <c r="AN326" s="399">
        <v>359.8220599185621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3996.3575590587884</v>
      </c>
      <c r="BH326" s="399">
        <v>0</v>
      </c>
      <c r="BI326" s="399">
        <v>5.08</v>
      </c>
      <c r="BJ326" s="399">
        <v>23.56</v>
      </c>
      <c r="BK326" s="399">
        <v>31543.8</v>
      </c>
      <c r="BL326" s="399">
        <v>753</v>
      </c>
      <c r="BM326" s="399"/>
      <c r="BN326" s="399"/>
      <c r="BO326" s="399"/>
      <c r="BP326" s="399"/>
      <c r="BQ326" s="399"/>
      <c r="BR326" s="399">
        <v>19340.815000000002</v>
      </c>
      <c r="BS326" s="399"/>
      <c r="BT326" s="399"/>
      <c r="BU326" s="399"/>
      <c r="BV326" s="399">
        <v>39715.485088468733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141853.6482</v>
      </c>
      <c r="CJ326" s="399">
        <v>-3269.2720499999996</v>
      </c>
      <c r="CK326" s="399"/>
      <c r="CL326" s="399"/>
      <c r="CM326" s="399"/>
      <c r="CN326" s="399"/>
      <c r="CO326" s="399">
        <v>-5166.6192499999961</v>
      </c>
      <c r="CP326" s="399">
        <v>1444.3780000000008</v>
      </c>
      <c r="CQ326" s="399">
        <v>31</v>
      </c>
      <c r="CR326" s="399">
        <v>-23.737945696295355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1055.4141061018381</v>
      </c>
      <c r="DA326" s="399">
        <v>0</v>
      </c>
      <c r="DB326" s="399">
        <v>0</v>
      </c>
      <c r="DC326" s="399">
        <v>1444.326654919445</v>
      </c>
      <c r="DD326" s="399">
        <v>0</v>
      </c>
      <c r="DE326" s="399">
        <v>0</v>
      </c>
      <c r="DF326" s="399">
        <v>0</v>
      </c>
      <c r="DG326" s="399">
        <v>161.59537324600888</v>
      </c>
      <c r="DH326" s="399">
        <v>0</v>
      </c>
      <c r="DI326" s="399">
        <v>-2333.0415370824576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-308.60823396222668</v>
      </c>
      <c r="DP326" s="399">
        <v>-43.424308918898532</v>
      </c>
      <c r="DQ326" s="399">
        <v>0</v>
      </c>
      <c r="DR326" s="399">
        <v>0</v>
      </c>
      <c r="DS326" s="399"/>
      <c r="DT326" s="399"/>
      <c r="DU326" s="399"/>
      <c r="DV326" s="399">
        <v>82088.952791210831</v>
      </c>
      <c r="DW326" s="399">
        <v>0</v>
      </c>
      <c r="DX326" s="399">
        <v>0</v>
      </c>
      <c r="DY326" s="399">
        <v>-5166.6192500000034</v>
      </c>
      <c r="DZ326" s="399">
        <v>1444.3780000000042</v>
      </c>
      <c r="EA326" s="399">
        <v>0</v>
      </c>
      <c r="EB326" s="399">
        <v>0</v>
      </c>
      <c r="EC326" s="399">
        <v>-3697.0590891307802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225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2359</v>
      </c>
      <c r="C327" s="399" t="s">
        <v>2357</v>
      </c>
      <c r="D327" s="399" t="s">
        <v>2369</v>
      </c>
      <c r="E327" s="399" t="s">
        <v>895</v>
      </c>
      <c r="F327" s="399" t="s">
        <v>1240</v>
      </c>
      <c r="G327" s="399" t="s">
        <v>1240</v>
      </c>
      <c r="H327" s="399" t="s">
        <v>1240</v>
      </c>
      <c r="I327" s="399" t="s">
        <v>1240</v>
      </c>
      <c r="J327" s="399" t="s">
        <v>2358</v>
      </c>
      <c r="K327" s="789">
        <v>44621</v>
      </c>
      <c r="L327" s="399">
        <v>0</v>
      </c>
      <c r="M327" s="399">
        <v>0</v>
      </c>
      <c r="N327" s="399">
        <v>-0.27300000000000002</v>
      </c>
      <c r="O327" s="399">
        <v>-0.27300000000000002</v>
      </c>
      <c r="P327" s="399">
        <v>-0.27300000000000002</v>
      </c>
      <c r="Q327" s="399">
        <v>-0.27300000000000002</v>
      </c>
      <c r="R327" s="399"/>
      <c r="S327" s="399">
        <v>522.37</v>
      </c>
      <c r="T327" s="399">
        <v>144.41999999999999</v>
      </c>
      <c r="U327" s="399"/>
      <c r="V327" s="399">
        <v>-182.03367</v>
      </c>
      <c r="W327" s="399">
        <v>-182.03367</v>
      </c>
      <c r="X327" s="399">
        <v>-177.92502000000002</v>
      </c>
      <c r="Y327" s="399">
        <v>0</v>
      </c>
      <c r="Z327" s="399">
        <v>-16.762466293775802</v>
      </c>
      <c r="AA327" s="399">
        <v>0</v>
      </c>
      <c r="AB327" s="399">
        <v>0</v>
      </c>
      <c r="AC327" s="399">
        <v>0</v>
      </c>
      <c r="AD327" s="399">
        <v>-27.836077394760729</v>
      </c>
      <c r="AE327" s="399">
        <v>-90.610670623675574</v>
      </c>
      <c r="AF327" s="399">
        <v>-39.427157851122679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-2.5887922932618284</v>
      </c>
      <c r="AM327" s="399"/>
      <c r="AN327" s="399">
        <v>-0.3971754669271908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-4.4112225356233674</v>
      </c>
      <c r="BH327" s="399">
        <v>0</v>
      </c>
      <c r="BI327" s="399">
        <v>0</v>
      </c>
      <c r="BJ327" s="399">
        <v>0</v>
      </c>
      <c r="BK327" s="399">
        <v>-50.79</v>
      </c>
      <c r="BL327" s="399">
        <v>0</v>
      </c>
      <c r="BM327" s="399"/>
      <c r="BN327" s="399"/>
      <c r="BO327" s="399"/>
      <c r="BP327" s="399"/>
      <c r="BQ327" s="399"/>
      <c r="BR327" s="399">
        <v>-21.348600000000005</v>
      </c>
      <c r="BS327" s="399"/>
      <c r="BT327" s="399"/>
      <c r="BU327" s="399"/>
      <c r="BV327" s="399">
        <v>-43.838380386746046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-154.85580000000002</v>
      </c>
      <c r="CJ327" s="399">
        <v>5.3024099999999805</v>
      </c>
      <c r="CK327" s="399"/>
      <c r="CL327" s="399"/>
      <c r="CM327" s="399"/>
      <c r="CN327" s="399"/>
      <c r="CO327" s="399">
        <v>5.702969999999997</v>
      </c>
      <c r="CP327" s="399">
        <v>-1.5943200000000011</v>
      </c>
      <c r="CQ327" s="399">
        <v>31</v>
      </c>
      <c r="CR327" s="399">
        <v>2.6202200242963158E-2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-1.1649774627142477</v>
      </c>
      <c r="DA327" s="399">
        <v>0</v>
      </c>
      <c r="DB327" s="399">
        <v>0</v>
      </c>
      <c r="DC327" s="399">
        <v>-1.5942633247468265</v>
      </c>
      <c r="DD327" s="399">
        <v>0</v>
      </c>
      <c r="DE327" s="399">
        <v>0</v>
      </c>
      <c r="DF327" s="399">
        <v>0</v>
      </c>
      <c r="DG327" s="399">
        <v>-0.1783707142268689</v>
      </c>
      <c r="DH327" s="399">
        <v>0</v>
      </c>
      <c r="DI327" s="399">
        <v>2.5752363878439724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0.340645093992471</v>
      </c>
      <c r="DP327" s="399">
        <v>4.7932220094447808E-2</v>
      </c>
      <c r="DQ327" s="399">
        <v>0</v>
      </c>
      <c r="DR327" s="399">
        <v>0</v>
      </c>
      <c r="DS327" s="399"/>
      <c r="DT327" s="399"/>
      <c r="DU327" s="399"/>
      <c r="DV327" s="399">
        <v>-90.610670623675574</v>
      </c>
      <c r="DW327" s="399">
        <v>0</v>
      </c>
      <c r="DX327" s="399">
        <v>0</v>
      </c>
      <c r="DY327" s="399">
        <v>5.7029699999999934</v>
      </c>
      <c r="DZ327" s="399">
        <v>-1.5943200000000033</v>
      </c>
      <c r="EA327" s="399">
        <v>0</v>
      </c>
      <c r="EB327" s="399">
        <v>0</v>
      </c>
      <c r="EC327" s="399">
        <v>4.0808536594873317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225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2360</v>
      </c>
      <c r="C328" s="399" t="s">
        <v>2357</v>
      </c>
      <c r="D328" s="399" t="s">
        <v>2369</v>
      </c>
      <c r="E328" s="399" t="s">
        <v>895</v>
      </c>
      <c r="F328" s="399" t="s">
        <v>1240</v>
      </c>
      <c r="G328" s="399" t="s">
        <v>1240</v>
      </c>
      <c r="H328" s="399" t="s">
        <v>1240</v>
      </c>
      <c r="I328" s="399" t="s">
        <v>1240</v>
      </c>
      <c r="J328" s="399" t="s">
        <v>2358</v>
      </c>
      <c r="K328" s="789">
        <v>44621</v>
      </c>
      <c r="L328" s="399">
        <v>0</v>
      </c>
      <c r="M328" s="399">
        <v>0</v>
      </c>
      <c r="N328" s="399">
        <v>4.9139999999999997</v>
      </c>
      <c r="O328" s="399">
        <v>4.9139999999999997</v>
      </c>
      <c r="P328" s="399">
        <v>4.9139999999999997</v>
      </c>
      <c r="Q328" s="399">
        <v>4.9139999999999997</v>
      </c>
      <c r="R328" s="399"/>
      <c r="S328" s="399">
        <v>522.37</v>
      </c>
      <c r="T328" s="399">
        <v>144.41999999999999</v>
      </c>
      <c r="U328" s="399"/>
      <c r="V328" s="399">
        <v>3276.6060600000001</v>
      </c>
      <c r="W328" s="399">
        <v>3276.6060600000001</v>
      </c>
      <c r="X328" s="399">
        <v>3202.6503599999996</v>
      </c>
      <c r="Y328" s="399">
        <v>0</v>
      </c>
      <c r="Z328" s="399">
        <v>301.7243932879644</v>
      </c>
      <c r="AA328" s="399">
        <v>0</v>
      </c>
      <c r="AB328" s="399">
        <v>0</v>
      </c>
      <c r="AC328" s="399">
        <v>0</v>
      </c>
      <c r="AD328" s="399">
        <v>501.04939310569307</v>
      </c>
      <c r="AE328" s="399">
        <v>1630.9920712261601</v>
      </c>
      <c r="AF328" s="399">
        <v>709.6888413202081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46.598261278712904</v>
      </c>
      <c r="AM328" s="399"/>
      <c r="AN328" s="399">
        <v>7.149158404689433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79.402005641220597</v>
      </c>
      <c r="BH328" s="399">
        <v>0</v>
      </c>
      <c r="BI328" s="399">
        <v>0</v>
      </c>
      <c r="BJ328" s="399">
        <v>0</v>
      </c>
      <c r="BK328" s="399">
        <v>1275.72</v>
      </c>
      <c r="BL328" s="399">
        <v>12</v>
      </c>
      <c r="BM328" s="399"/>
      <c r="BN328" s="399"/>
      <c r="BO328" s="399"/>
      <c r="BP328" s="399"/>
      <c r="BQ328" s="399"/>
      <c r="BR328" s="399">
        <v>384.27480000000008</v>
      </c>
      <c r="BS328" s="399"/>
      <c r="BT328" s="399"/>
      <c r="BU328" s="399"/>
      <c r="BV328" s="399">
        <v>789.09084696142872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2816.0814</v>
      </c>
      <c r="CJ328" s="399">
        <v>-67.336380000000645</v>
      </c>
      <c r="CK328" s="399"/>
      <c r="CL328" s="399"/>
      <c r="CM328" s="399"/>
      <c r="CN328" s="399"/>
      <c r="CO328" s="399">
        <v>-102.65345999999992</v>
      </c>
      <c r="CP328" s="399">
        <v>28.697760000000017</v>
      </c>
      <c r="CQ328" s="399">
        <v>31</v>
      </c>
      <c r="CR328" s="399">
        <v>-0.47163960437319474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20.969594328856374</v>
      </c>
      <c r="DA328" s="399">
        <v>0</v>
      </c>
      <c r="DB328" s="399">
        <v>0</v>
      </c>
      <c r="DC328" s="399">
        <v>28.696739845442835</v>
      </c>
      <c r="DD328" s="399">
        <v>0</v>
      </c>
      <c r="DE328" s="399">
        <v>0</v>
      </c>
      <c r="DF328" s="399">
        <v>0</v>
      </c>
      <c r="DG328" s="399">
        <v>3.2106728560836473</v>
      </c>
      <c r="DH328" s="399">
        <v>0</v>
      </c>
      <c r="DI328" s="399">
        <v>-46.354254981191502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-6.1316116918644781</v>
      </c>
      <c r="DP328" s="399">
        <v>-0.86277996170005977</v>
      </c>
      <c r="DQ328" s="399">
        <v>0</v>
      </c>
      <c r="DR328" s="399">
        <v>0</v>
      </c>
      <c r="DS328" s="399"/>
      <c r="DT328" s="399"/>
      <c r="DU328" s="399"/>
      <c r="DV328" s="399">
        <v>1630.9920712261601</v>
      </c>
      <c r="DW328" s="399">
        <v>0</v>
      </c>
      <c r="DX328" s="399">
        <v>0</v>
      </c>
      <c r="DY328" s="399">
        <v>-102.65346</v>
      </c>
      <c r="DZ328" s="399">
        <v>28.697760000000017</v>
      </c>
      <c r="EA328" s="399">
        <v>0</v>
      </c>
      <c r="EB328" s="399">
        <v>0</v>
      </c>
      <c r="EC328" s="399">
        <v>-73.455365870772084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225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957</v>
      </c>
      <c r="C329" s="399" t="s">
        <v>2366</v>
      </c>
      <c r="D329" s="399" t="s">
        <v>534</v>
      </c>
      <c r="E329" s="399" t="s">
        <v>895</v>
      </c>
      <c r="F329" s="399" t="s">
        <v>1240</v>
      </c>
      <c r="G329" s="399" t="s">
        <v>1240</v>
      </c>
      <c r="H329" s="399" t="s">
        <v>1240</v>
      </c>
      <c r="I329" s="399" t="s">
        <v>2328</v>
      </c>
      <c r="J329" s="399" t="s">
        <v>2358</v>
      </c>
      <c r="K329" s="789">
        <v>44621</v>
      </c>
      <c r="L329" s="399">
        <v>0</v>
      </c>
      <c r="M329" s="399">
        <v>0</v>
      </c>
      <c r="N329" s="399">
        <v>39.790999999999997</v>
      </c>
      <c r="O329" s="399">
        <v>38.199359999999999</v>
      </c>
      <c r="P329" s="399">
        <v>39.790999999999997</v>
      </c>
      <c r="Q329" s="399">
        <v>38.199359999999999</v>
      </c>
      <c r="R329" s="399"/>
      <c r="S329" s="399">
        <v>69.64</v>
      </c>
      <c r="T329" s="399">
        <v>144.41999999999999</v>
      </c>
      <c r="U329" s="399"/>
      <c r="V329" s="399">
        <v>8517.6614599999994</v>
      </c>
      <c r="W329" s="399">
        <v>8517.6614599999994</v>
      </c>
      <c r="X329" s="399">
        <v>8381.5762399999985</v>
      </c>
      <c r="Y329" s="399">
        <v>0</v>
      </c>
      <c r="Z329" s="399">
        <v>2125.5894057772921</v>
      </c>
      <c r="AA329" s="399">
        <v>0</v>
      </c>
      <c r="AB329" s="399">
        <v>0</v>
      </c>
      <c r="AC329" s="399">
        <v>0</v>
      </c>
      <c r="AD329" s="399">
        <v>0</v>
      </c>
      <c r="AE329" s="399">
        <v>0</v>
      </c>
      <c r="AF329" s="399">
        <v>5746.6887840806676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377.32833018747766</v>
      </c>
      <c r="AM329" s="399"/>
      <c r="AN329" s="399">
        <v>19.803391930484597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248.24022791269019</v>
      </c>
      <c r="BH329" s="399">
        <v>0</v>
      </c>
      <c r="BI329" s="399">
        <v>0</v>
      </c>
      <c r="BJ329" s="399">
        <v>0</v>
      </c>
      <c r="BK329" s="399">
        <v>0</v>
      </c>
      <c r="BL329" s="399">
        <v>0</v>
      </c>
      <c r="BM329" s="399"/>
      <c r="BN329" s="399"/>
      <c r="BO329" s="399"/>
      <c r="BP329" s="399"/>
      <c r="BQ329" s="399"/>
      <c r="BR329" s="399">
        <v>335.26304959999959</v>
      </c>
      <c r="BS329" s="399"/>
      <c r="BT329" s="399"/>
      <c r="BU329" s="399"/>
      <c r="BV329" s="399">
        <v>5994.9290119933576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8046.4480000000003</v>
      </c>
      <c r="CJ329" s="399">
        <v>-130.53700159999971</v>
      </c>
      <c r="CK329" s="399"/>
      <c r="CL329" s="399"/>
      <c r="CM329" s="399"/>
      <c r="CN329" s="399"/>
      <c r="CO329" s="399">
        <v>-368.46465999999987</v>
      </c>
      <c r="CP329" s="399">
        <v>232.37944000000013</v>
      </c>
      <c r="CQ329" s="399">
        <v>31</v>
      </c>
      <c r="CR329" s="399">
        <v>-136.18824229098573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0</v>
      </c>
      <c r="DA329" s="399">
        <v>0</v>
      </c>
      <c r="DB329" s="399">
        <v>0</v>
      </c>
      <c r="DC329" s="399">
        <v>232.37117932234742</v>
      </c>
      <c r="DD329" s="399">
        <v>0</v>
      </c>
      <c r="DE329" s="399">
        <v>0</v>
      </c>
      <c r="DF329" s="399">
        <v>0</v>
      </c>
      <c r="DG329" s="399">
        <v>10.037758556737259</v>
      </c>
      <c r="DH329" s="399">
        <v>0</v>
      </c>
      <c r="DI329" s="399">
        <v>-326.55667056618427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-49.650582179686523</v>
      </c>
      <c r="DP329" s="399">
        <v>-2.3899274241997155</v>
      </c>
      <c r="DQ329" s="399">
        <v>0</v>
      </c>
      <c r="DR329" s="399">
        <v>0</v>
      </c>
      <c r="DS329" s="399"/>
      <c r="DT329" s="399"/>
      <c r="DU329" s="399"/>
      <c r="DV329" s="399">
        <v>0</v>
      </c>
      <c r="DW329" s="399">
        <v>0</v>
      </c>
      <c r="DX329" s="399">
        <v>0</v>
      </c>
      <c r="DY329" s="399">
        <v>-368.46466000000009</v>
      </c>
      <c r="DZ329" s="399">
        <v>232.37944000000061</v>
      </c>
      <c r="EA329" s="399">
        <v>0</v>
      </c>
      <c r="EB329" s="399">
        <v>0</v>
      </c>
      <c r="EC329" s="399">
        <v>0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225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957</v>
      </c>
      <c r="C330" s="399" t="s">
        <v>2366</v>
      </c>
      <c r="D330" s="399" t="s">
        <v>534</v>
      </c>
      <c r="E330" s="399" t="s">
        <v>895</v>
      </c>
      <c r="F330" s="399" t="s">
        <v>1240</v>
      </c>
      <c r="G330" s="399" t="s">
        <v>1240</v>
      </c>
      <c r="H330" s="399" t="s">
        <v>1240</v>
      </c>
      <c r="I330" s="399" t="s">
        <v>1240</v>
      </c>
      <c r="J330" s="399" t="s">
        <v>2358</v>
      </c>
      <c r="K330" s="789">
        <v>44621</v>
      </c>
      <c r="L330" s="399">
        <v>151</v>
      </c>
      <c r="M330" s="399">
        <v>144.96</v>
      </c>
      <c r="N330" s="399">
        <v>0</v>
      </c>
      <c r="O330" s="399">
        <v>0</v>
      </c>
      <c r="P330" s="399">
        <v>0</v>
      </c>
      <c r="Q330" s="399">
        <v>0</v>
      </c>
      <c r="R330" s="399">
        <v>34.950000000000003</v>
      </c>
      <c r="S330" s="399"/>
      <c r="T330" s="399"/>
      <c r="U330" s="399">
        <v>5277.4500000000007</v>
      </c>
      <c r="V330" s="399"/>
      <c r="W330" s="399">
        <v>5277.4500000000007</v>
      </c>
      <c r="X330" s="399">
        <v>5206.4799999999996</v>
      </c>
      <c r="Y330" s="399">
        <v>0</v>
      </c>
      <c r="Z330" s="399">
        <v>0</v>
      </c>
      <c r="AA330" s="399">
        <v>0</v>
      </c>
      <c r="AB330" s="399">
        <v>0</v>
      </c>
      <c r="AC330" s="399">
        <v>0</v>
      </c>
      <c r="AD330" s="399">
        <v>1913.1367062269869</v>
      </c>
      <c r="AE330" s="399">
        <v>3365.0060068815883</v>
      </c>
      <c r="AF330" s="399"/>
      <c r="AG330" s="399"/>
      <c r="AH330" s="399"/>
      <c r="AI330" s="399">
        <v>0</v>
      </c>
      <c r="AJ330" s="399">
        <v>0</v>
      </c>
      <c r="AK330" s="399">
        <v>0</v>
      </c>
      <c r="AL330" s="399">
        <v>0</v>
      </c>
      <c r="AM330" s="399"/>
      <c r="AN330" s="399">
        <v>0</v>
      </c>
      <c r="AO330" s="399">
        <v>0</v>
      </c>
      <c r="AP330" s="399">
        <v>0</v>
      </c>
      <c r="AQ330" s="399">
        <v>0</v>
      </c>
      <c r="AR330" s="399">
        <v>0</v>
      </c>
      <c r="AS330" s="399"/>
      <c r="AT330" s="399"/>
      <c r="AU330" s="399">
        <v>0</v>
      </c>
      <c r="AV330" s="399">
        <v>0</v>
      </c>
      <c r="AW330" s="399">
        <v>0</v>
      </c>
      <c r="AX330" s="399"/>
      <c r="AY330" s="399"/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/>
      <c r="BG330" s="399">
        <v>0</v>
      </c>
      <c r="BH330" s="399">
        <v>0</v>
      </c>
      <c r="BI330" s="399">
        <v>0</v>
      </c>
      <c r="BJ330" s="399">
        <v>0</v>
      </c>
      <c r="BK330" s="399">
        <v>6066.59</v>
      </c>
      <c r="BL330" s="399">
        <v>1</v>
      </c>
      <c r="BM330" s="399"/>
      <c r="BN330" s="399"/>
      <c r="BO330" s="399"/>
      <c r="BP330" s="399"/>
      <c r="BQ330" s="399"/>
      <c r="BR330" s="399">
        <v>208.25919999999971</v>
      </c>
      <c r="BS330" s="399"/>
      <c r="BT330" s="399"/>
      <c r="BU330" s="399"/>
      <c r="BV330" s="399">
        <v>0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4998.2208000000001</v>
      </c>
      <c r="CJ330" s="399">
        <v>-68.161200000001372</v>
      </c>
      <c r="CK330" s="399"/>
      <c r="CL330" s="399"/>
      <c r="CM330" s="399"/>
      <c r="CN330" s="399"/>
      <c r="CO330" s="399">
        <v>-70.970000000000908</v>
      </c>
      <c r="CP330" s="399">
        <v>0</v>
      </c>
      <c r="CQ330" s="399">
        <v>31</v>
      </c>
      <c r="CR330" s="399">
        <v>80.067356985610559</v>
      </c>
      <c r="CS330" s="399">
        <v>0</v>
      </c>
      <c r="CT330" s="399">
        <v>0</v>
      </c>
      <c r="CU330" s="399">
        <v>0</v>
      </c>
      <c r="CV330" s="399">
        <v>0</v>
      </c>
      <c r="CW330" s="399"/>
      <c r="CX330" s="399"/>
      <c r="CY330" s="399"/>
      <c r="CZ330" s="399">
        <v>80.067356985610559</v>
      </c>
      <c r="DA330" s="399">
        <v>0</v>
      </c>
      <c r="DB330" s="399">
        <v>0</v>
      </c>
      <c r="DC330" s="399"/>
      <c r="DD330" s="399"/>
      <c r="DE330" s="399">
        <v>0</v>
      </c>
      <c r="DF330" s="399">
        <v>0</v>
      </c>
      <c r="DG330" s="399">
        <v>0</v>
      </c>
      <c r="DH330" s="399">
        <v>0</v>
      </c>
      <c r="DI330" s="399">
        <v>0</v>
      </c>
      <c r="DJ330" s="399"/>
      <c r="DK330" s="399">
        <v>0</v>
      </c>
      <c r="DL330" s="399">
        <v>0</v>
      </c>
      <c r="DM330" s="399"/>
      <c r="DN330" s="399">
        <v>0</v>
      </c>
      <c r="DO330" s="399">
        <v>0</v>
      </c>
      <c r="DP330" s="399">
        <v>0</v>
      </c>
      <c r="DQ330" s="399">
        <v>0</v>
      </c>
      <c r="DR330" s="399">
        <v>0</v>
      </c>
      <c r="DS330" s="399"/>
      <c r="DT330" s="399"/>
      <c r="DU330" s="399">
        <v>3365.0060068815883</v>
      </c>
      <c r="DV330" s="399"/>
      <c r="DW330" s="399">
        <v>0</v>
      </c>
      <c r="DX330" s="399">
        <v>0</v>
      </c>
      <c r="DY330" s="399">
        <v>-70.970000000001164</v>
      </c>
      <c r="DZ330" s="399"/>
      <c r="EA330" s="399">
        <v>0</v>
      </c>
      <c r="EB330" s="399"/>
      <c r="EC330" s="399">
        <v>-151.55055119734425</v>
      </c>
      <c r="ED330" s="399"/>
      <c r="EE330" s="399">
        <v>0</v>
      </c>
      <c r="EF330" s="399">
        <v>0</v>
      </c>
      <c r="EG330" s="399"/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/>
      <c r="EN330" s="399"/>
      <c r="EO330" s="399">
        <v>0</v>
      </c>
      <c r="EP330" s="399">
        <v>0</v>
      </c>
      <c r="EQ330" s="399"/>
      <c r="ER330" s="399">
        <v>0</v>
      </c>
      <c r="ES330" s="399"/>
      <c r="ET330" s="399">
        <v>0</v>
      </c>
      <c r="EU330" s="399"/>
      <c r="EV330" s="399">
        <v>225</v>
      </c>
      <c r="EW330" s="399"/>
      <c r="EX330" s="399"/>
      <c r="EY330" s="399"/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957</v>
      </c>
      <c r="C331" s="399" t="s">
        <v>2357</v>
      </c>
      <c r="D331" s="399" t="s">
        <v>1826</v>
      </c>
      <c r="E331" s="399" t="s">
        <v>2370</v>
      </c>
      <c r="F331" s="399" t="s">
        <v>1240</v>
      </c>
      <c r="G331" s="399" t="s">
        <v>1240</v>
      </c>
      <c r="H331" s="399" t="s">
        <v>1240</v>
      </c>
      <c r="I331" s="399" t="s">
        <v>1240</v>
      </c>
      <c r="J331" s="399" t="s">
        <v>2358</v>
      </c>
      <c r="K331" s="789">
        <v>44621</v>
      </c>
      <c r="L331" s="399">
        <v>0</v>
      </c>
      <c r="M331" s="399">
        <v>0</v>
      </c>
      <c r="N331" s="399">
        <v>115.595</v>
      </c>
      <c r="O331" s="399">
        <v>115.595</v>
      </c>
      <c r="P331" s="399">
        <v>115.595</v>
      </c>
      <c r="Q331" s="399">
        <v>115.595</v>
      </c>
      <c r="R331" s="399"/>
      <c r="S331" s="399">
        <v>522.37</v>
      </c>
      <c r="T331" s="399">
        <v>144.41999999999999</v>
      </c>
      <c r="U331" s="399"/>
      <c r="V331" s="399">
        <v>77077.590049999999</v>
      </c>
      <c r="W331" s="399">
        <v>77077.590049999999</v>
      </c>
      <c r="X331" s="399">
        <v>75337.885299999994</v>
      </c>
      <c r="Y331" s="399">
        <v>0</v>
      </c>
      <c r="Z331" s="399">
        <v>7097.6457554176332</v>
      </c>
      <c r="AA331" s="399">
        <v>0</v>
      </c>
      <c r="AB331" s="399">
        <v>0</v>
      </c>
      <c r="AC331" s="399">
        <v>0</v>
      </c>
      <c r="AD331" s="399">
        <v>11786.488521785224</v>
      </c>
      <c r="AE331" s="399">
        <v>38366.814911149369</v>
      </c>
      <c r="AF331" s="399">
        <v>16694.440702566029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1096.1591397054983</v>
      </c>
      <c r="AM331" s="399"/>
      <c r="AN331" s="399">
        <v>168.17398571226599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1867.8214981882165</v>
      </c>
      <c r="BH331" s="399">
        <v>0</v>
      </c>
      <c r="BI331" s="399">
        <v>563.75</v>
      </c>
      <c r="BJ331" s="399">
        <v>2605.29</v>
      </c>
      <c r="BK331" s="399">
        <v>23121.439999999999</v>
      </c>
      <c r="BL331" s="399">
        <v>125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18562.262200754245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75341.144</v>
      </c>
      <c r="CJ331" s="399">
        <v>-1736.4760499999975</v>
      </c>
      <c r="CK331" s="399"/>
      <c r="CL331" s="399"/>
      <c r="CM331" s="399"/>
      <c r="CN331" s="399"/>
      <c r="CO331" s="399">
        <v>-2414.7795499999984</v>
      </c>
      <c r="CP331" s="399">
        <v>675.07480000000044</v>
      </c>
      <c r="CQ331" s="399">
        <v>31</v>
      </c>
      <c r="CR331" s="399">
        <v>-11.094664238407859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493.28047546686139</v>
      </c>
      <c r="DA331" s="399">
        <v>0</v>
      </c>
      <c r="DB331" s="399">
        <v>0</v>
      </c>
      <c r="DC331" s="399">
        <v>675.05080228611405</v>
      </c>
      <c r="DD331" s="399">
        <v>0</v>
      </c>
      <c r="DE331" s="399">
        <v>0</v>
      </c>
      <c r="DF331" s="399">
        <v>0</v>
      </c>
      <c r="DG331" s="399">
        <v>75.526603337197457</v>
      </c>
      <c r="DH331" s="399">
        <v>0</v>
      </c>
      <c r="DI331" s="399">
        <v>-1090.4192316953267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-144.23761772915645</v>
      </c>
      <c r="DP331" s="399">
        <v>-20.295695904094117</v>
      </c>
      <c r="DQ331" s="399">
        <v>0</v>
      </c>
      <c r="DR331" s="399">
        <v>0</v>
      </c>
      <c r="DS331" s="399"/>
      <c r="DT331" s="399"/>
      <c r="DU331" s="399"/>
      <c r="DV331" s="399">
        <v>38366.814911149369</v>
      </c>
      <c r="DW331" s="399">
        <v>0</v>
      </c>
      <c r="DX331" s="399">
        <v>0</v>
      </c>
      <c r="DY331" s="399">
        <v>-2414.7795499999993</v>
      </c>
      <c r="DZ331" s="399">
        <v>675.07480000000214</v>
      </c>
      <c r="EA331" s="399">
        <v>0</v>
      </c>
      <c r="EB331" s="399">
        <v>0</v>
      </c>
      <c r="EC331" s="399">
        <v>-1727.9350870638809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225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2360</v>
      </c>
      <c r="C332" s="399" t="s">
        <v>2357</v>
      </c>
      <c r="D332" s="399" t="s">
        <v>1826</v>
      </c>
      <c r="E332" s="399" t="s">
        <v>2370</v>
      </c>
      <c r="F332" s="399" t="s">
        <v>1240</v>
      </c>
      <c r="G332" s="399" t="s">
        <v>1240</v>
      </c>
      <c r="H332" s="399" t="s">
        <v>1240</v>
      </c>
      <c r="I332" s="399" t="s">
        <v>1240</v>
      </c>
      <c r="J332" s="399" t="s">
        <v>2358</v>
      </c>
      <c r="K332" s="789">
        <v>44621</v>
      </c>
      <c r="L332" s="399">
        <v>0</v>
      </c>
      <c r="M332" s="399">
        <v>0</v>
      </c>
      <c r="N332" s="399">
        <v>3.359</v>
      </c>
      <c r="O332" s="399">
        <v>3.359</v>
      </c>
      <c r="P332" s="399">
        <v>3.359</v>
      </c>
      <c r="Q332" s="399">
        <v>3.359</v>
      </c>
      <c r="R332" s="399"/>
      <c r="S332" s="399">
        <v>522.37</v>
      </c>
      <c r="T332" s="399">
        <v>144.41999999999999</v>
      </c>
      <c r="U332" s="399"/>
      <c r="V332" s="399">
        <v>2239.7476099999999</v>
      </c>
      <c r="W332" s="399">
        <v>2239.7476099999999</v>
      </c>
      <c r="X332" s="399">
        <v>2189.1946600000001</v>
      </c>
      <c r="Y332" s="399">
        <v>0</v>
      </c>
      <c r="Z332" s="399">
        <v>206.24587648642094</v>
      </c>
      <c r="AA332" s="399">
        <v>0</v>
      </c>
      <c r="AB332" s="399">
        <v>0</v>
      </c>
      <c r="AC332" s="399">
        <v>0</v>
      </c>
      <c r="AD332" s="399">
        <v>342.49591197436365</v>
      </c>
      <c r="AE332" s="399">
        <v>1114.8763466114515</v>
      </c>
      <c r="AF332" s="399">
        <v>485.11290557480243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31.852576238338756</v>
      </c>
      <c r="AM332" s="399"/>
      <c r="AN332" s="399">
        <v>4.8868585839136767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54.275811344904362</v>
      </c>
      <c r="BH332" s="399">
        <v>0</v>
      </c>
      <c r="BI332" s="399">
        <v>14.31</v>
      </c>
      <c r="BJ332" s="399">
        <v>66.05</v>
      </c>
      <c r="BK332" s="399">
        <v>882.2</v>
      </c>
      <c r="BL332" s="399">
        <v>2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539.38871691970678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2189.8463999999999</v>
      </c>
      <c r="CJ332" s="399">
        <v>-49.931210000000192</v>
      </c>
      <c r="CK332" s="399"/>
      <c r="CL332" s="399"/>
      <c r="CM332" s="399"/>
      <c r="CN332" s="399"/>
      <c r="CO332" s="399">
        <v>-70.16950999999996</v>
      </c>
      <c r="CP332" s="399">
        <v>19.61656000000001</v>
      </c>
      <c r="CQ332" s="399">
        <v>31</v>
      </c>
      <c r="CR332" s="399">
        <v>-0.32239263961923825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14.333916839769813</v>
      </c>
      <c r="DA332" s="399">
        <v>0</v>
      </c>
      <c r="DB332" s="399">
        <v>0</v>
      </c>
      <c r="DC332" s="399">
        <v>19.615862666024157</v>
      </c>
      <c r="DD332" s="399">
        <v>0</v>
      </c>
      <c r="DE332" s="399">
        <v>0</v>
      </c>
      <c r="DF332" s="399">
        <v>0</v>
      </c>
      <c r="DG332" s="399">
        <v>2.1946784948280254</v>
      </c>
      <c r="DH332" s="399">
        <v>0</v>
      </c>
      <c r="DI332" s="399">
        <v>-31.685783980834827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-4.1913072187571778</v>
      </c>
      <c r="DP332" s="399">
        <v>-0.58975944064926811</v>
      </c>
      <c r="DQ332" s="399">
        <v>0</v>
      </c>
      <c r="DR332" s="399">
        <v>0</v>
      </c>
      <c r="DS332" s="399"/>
      <c r="DT332" s="399"/>
      <c r="DU332" s="399"/>
      <c r="DV332" s="399">
        <v>1114.8763466114515</v>
      </c>
      <c r="DW332" s="399">
        <v>0</v>
      </c>
      <c r="DX332" s="399">
        <v>0</v>
      </c>
      <c r="DY332" s="399">
        <v>-70.169509999999946</v>
      </c>
      <c r="DZ332" s="399">
        <v>19.616559999999993</v>
      </c>
      <c r="EA332" s="399">
        <v>0</v>
      </c>
      <c r="EB332" s="399">
        <v>0</v>
      </c>
      <c r="EC332" s="399">
        <v>-50.210943011787549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225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957</v>
      </c>
      <c r="C333" s="399" t="s">
        <v>2366</v>
      </c>
      <c r="D333" s="399" t="s">
        <v>534</v>
      </c>
      <c r="E333" s="399" t="s">
        <v>2370</v>
      </c>
      <c r="F333" s="399" t="s">
        <v>1240</v>
      </c>
      <c r="G333" s="399" t="s">
        <v>1240</v>
      </c>
      <c r="H333" s="399" t="s">
        <v>1240</v>
      </c>
      <c r="I333" s="399" t="s">
        <v>894</v>
      </c>
      <c r="J333" s="399" t="s">
        <v>2358</v>
      </c>
      <c r="K333" s="789">
        <v>44621</v>
      </c>
      <c r="L333" s="399">
        <v>0</v>
      </c>
      <c r="M333" s="399">
        <v>0</v>
      </c>
      <c r="N333" s="399">
        <v>8.4000000000000005E-2</v>
      </c>
      <c r="O333" s="399">
        <v>8.4000000000000005E-2</v>
      </c>
      <c r="P333" s="399">
        <v>8.4000000000000005E-2</v>
      </c>
      <c r="Q333" s="399">
        <v>8.4000000000000005E-2</v>
      </c>
      <c r="R333" s="399"/>
      <c r="S333" s="399">
        <v>2740.31</v>
      </c>
      <c r="T333" s="399">
        <v>144.41999999999999</v>
      </c>
      <c r="U333" s="399"/>
      <c r="V333" s="399">
        <v>242.31732000000002</v>
      </c>
      <c r="W333" s="399">
        <v>242.31732000000002</v>
      </c>
      <c r="X333" s="399">
        <v>237.41927999999999</v>
      </c>
      <c r="Y333" s="399">
        <v>0</v>
      </c>
      <c r="Z333" s="399">
        <v>4.4871832847953694</v>
      </c>
      <c r="AA333" s="399">
        <v>0</v>
      </c>
      <c r="AB333" s="399">
        <v>0</v>
      </c>
      <c r="AC333" s="399">
        <v>0</v>
      </c>
      <c r="AD333" s="399">
        <v>63.223676312777904</v>
      </c>
      <c r="AE333" s="399">
        <v>161.11263554362958</v>
      </c>
      <c r="AF333" s="399">
        <v>12.131433184960823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0.79655147484979327</v>
      </c>
      <c r="AM333" s="399"/>
      <c r="AN333" s="399">
        <v>4.1805557089811929E-2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0.52404260120796109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12.655475786168784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226.11359999999999</v>
      </c>
      <c r="CJ333" s="399">
        <v>-16.233720000000005</v>
      </c>
      <c r="CK333" s="399"/>
      <c r="CL333" s="399"/>
      <c r="CM333" s="399"/>
      <c r="CN333" s="399"/>
      <c r="CO333" s="399">
        <v>-5.3886000000000083</v>
      </c>
      <c r="CP333" s="399">
        <v>0.49056000000000033</v>
      </c>
      <c r="CQ333" s="399">
        <v>31</v>
      </c>
      <c r="CR333" s="399">
        <v>2.3584988247883416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2.645996307948927</v>
      </c>
      <c r="DA333" s="399">
        <v>0</v>
      </c>
      <c r="DB333" s="399">
        <v>0</v>
      </c>
      <c r="DC333" s="399">
        <v>0.49054256146056296</v>
      </c>
      <c r="DD333" s="399">
        <v>0</v>
      </c>
      <c r="DE333" s="399">
        <v>0</v>
      </c>
      <c r="DF333" s="399">
        <v>0</v>
      </c>
      <c r="DG333" s="399">
        <v>2.1190010775449908E-2</v>
      </c>
      <c r="DH333" s="399">
        <v>0</v>
      </c>
      <c r="DI333" s="399">
        <v>-0.68937097151515303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-0.10481387507460649</v>
      </c>
      <c r="DP333" s="399">
        <v>-5.045208806835115E-3</v>
      </c>
      <c r="DQ333" s="399">
        <v>0</v>
      </c>
      <c r="DR333" s="399">
        <v>0</v>
      </c>
      <c r="DS333" s="399"/>
      <c r="DT333" s="399"/>
      <c r="DU333" s="399"/>
      <c r="DV333" s="399">
        <v>161.11263554362958</v>
      </c>
      <c r="DW333" s="399">
        <v>0</v>
      </c>
      <c r="DX333" s="399">
        <v>0</v>
      </c>
      <c r="DY333" s="399">
        <v>-5.3886000000000251</v>
      </c>
      <c r="DZ333" s="399">
        <v>0.49056000000000033</v>
      </c>
      <c r="EA333" s="399">
        <v>0</v>
      </c>
      <c r="EB333" s="399">
        <v>0</v>
      </c>
      <c r="EC333" s="399">
        <v>-7.2560669049514956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225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957</v>
      </c>
      <c r="C334" s="399" t="s">
        <v>2366</v>
      </c>
      <c r="D334" s="399" t="s">
        <v>534</v>
      </c>
      <c r="E334" s="399" t="s">
        <v>2370</v>
      </c>
      <c r="F334" s="399" t="s">
        <v>1240</v>
      </c>
      <c r="G334" s="399" t="s">
        <v>1240</v>
      </c>
      <c r="H334" s="399" t="s">
        <v>1240</v>
      </c>
      <c r="I334" s="399" t="s">
        <v>2328</v>
      </c>
      <c r="J334" s="399" t="s">
        <v>2358</v>
      </c>
      <c r="K334" s="789">
        <v>44621</v>
      </c>
      <c r="L334" s="399">
        <v>0</v>
      </c>
      <c r="M334" s="399">
        <v>0</v>
      </c>
      <c r="N334" s="399">
        <v>2.5779999999999998</v>
      </c>
      <c r="O334" s="399">
        <v>2.5779999999999998</v>
      </c>
      <c r="P334" s="399">
        <v>2.5779999999999998</v>
      </c>
      <c r="Q334" s="399">
        <v>2.5779999999999998</v>
      </c>
      <c r="R334" s="399"/>
      <c r="S334" s="399">
        <v>69.64</v>
      </c>
      <c r="T334" s="399">
        <v>144.41999999999999</v>
      </c>
      <c r="U334" s="399"/>
      <c r="V334" s="399">
        <v>551.84667999999988</v>
      </c>
      <c r="W334" s="399">
        <v>551.84667999999988</v>
      </c>
      <c r="X334" s="399">
        <v>543.02991999999995</v>
      </c>
      <c r="Y334" s="399">
        <v>0</v>
      </c>
      <c r="Z334" s="399">
        <v>137.713791764315</v>
      </c>
      <c r="AA334" s="399">
        <v>0</v>
      </c>
      <c r="AB334" s="399">
        <v>0</v>
      </c>
      <c r="AC334" s="399">
        <v>0</v>
      </c>
      <c r="AD334" s="399">
        <v>0</v>
      </c>
      <c r="AE334" s="399">
        <v>0</v>
      </c>
      <c r="AF334" s="399">
        <v>372.31946131939287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24.446544073366272</v>
      </c>
      <c r="AM334" s="399"/>
      <c r="AN334" s="399">
        <v>1.283032454494466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16.083116975168139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388.40257829456101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543.45119999999997</v>
      </c>
      <c r="CJ334" s="399">
        <v>-8.4254799999998795</v>
      </c>
      <c r="CK334" s="399"/>
      <c r="CL334" s="399"/>
      <c r="CM334" s="399"/>
      <c r="CN334" s="399"/>
      <c r="CO334" s="399">
        <v>-23.872279999999993</v>
      </c>
      <c r="CP334" s="399">
        <v>15.055520000000008</v>
      </c>
      <c r="CQ334" s="399">
        <v>31</v>
      </c>
      <c r="CR334" s="399">
        <v>-8.8234346617616666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0</v>
      </c>
      <c r="DA334" s="399">
        <v>0</v>
      </c>
      <c r="DB334" s="399">
        <v>0</v>
      </c>
      <c r="DC334" s="399">
        <v>15.054984802920558</v>
      </c>
      <c r="DD334" s="399">
        <v>0</v>
      </c>
      <c r="DE334" s="399">
        <v>0</v>
      </c>
      <c r="DF334" s="399">
        <v>0</v>
      </c>
      <c r="DG334" s="399">
        <v>0.65033152117987925</v>
      </c>
      <c r="DH334" s="399">
        <v>0</v>
      </c>
      <c r="DI334" s="399">
        <v>-21.157123387691243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-3.2167877374087546</v>
      </c>
      <c r="DP334" s="399">
        <v>-0.15483986076215395</v>
      </c>
      <c r="DQ334" s="399">
        <v>0</v>
      </c>
      <c r="DR334" s="399">
        <v>0</v>
      </c>
      <c r="DS334" s="399"/>
      <c r="DT334" s="399"/>
      <c r="DU334" s="399"/>
      <c r="DV334" s="399">
        <v>0</v>
      </c>
      <c r="DW334" s="399">
        <v>0</v>
      </c>
      <c r="DX334" s="399">
        <v>0</v>
      </c>
      <c r="DY334" s="399">
        <v>-23.872279999999989</v>
      </c>
      <c r="DZ334" s="399">
        <v>15.055520000000058</v>
      </c>
      <c r="EA334" s="399">
        <v>0</v>
      </c>
      <c r="EB334" s="399">
        <v>0</v>
      </c>
      <c r="EC334" s="399">
        <v>0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225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957</v>
      </c>
      <c r="C335" s="399" t="s">
        <v>2366</v>
      </c>
      <c r="D335" s="399" t="s">
        <v>534</v>
      </c>
      <c r="E335" s="399" t="s">
        <v>2370</v>
      </c>
      <c r="F335" s="399" t="s">
        <v>1240</v>
      </c>
      <c r="G335" s="399" t="s">
        <v>1240</v>
      </c>
      <c r="H335" s="399" t="s">
        <v>1240</v>
      </c>
      <c r="I335" s="399" t="s">
        <v>1240</v>
      </c>
      <c r="J335" s="399" t="s">
        <v>2358</v>
      </c>
      <c r="K335" s="789">
        <v>44621</v>
      </c>
      <c r="L335" s="399">
        <v>75</v>
      </c>
      <c r="M335" s="399">
        <v>75</v>
      </c>
      <c r="N335" s="399">
        <v>0</v>
      </c>
      <c r="O335" s="399">
        <v>0</v>
      </c>
      <c r="P335" s="399">
        <v>0</v>
      </c>
      <c r="Q335" s="399">
        <v>0</v>
      </c>
      <c r="R335" s="399">
        <v>34.950000000000003</v>
      </c>
      <c r="S335" s="399"/>
      <c r="T335" s="399"/>
      <c r="U335" s="399">
        <v>2621.25</v>
      </c>
      <c r="V335" s="399"/>
      <c r="W335" s="399">
        <v>2621.25</v>
      </c>
      <c r="X335" s="399">
        <v>2585.9999999999995</v>
      </c>
      <c r="Y335" s="399">
        <v>0</v>
      </c>
      <c r="Z335" s="399">
        <v>0</v>
      </c>
      <c r="AA335" s="399">
        <v>0</v>
      </c>
      <c r="AB335" s="399">
        <v>0</v>
      </c>
      <c r="AC335" s="399">
        <v>0</v>
      </c>
      <c r="AD335" s="399">
        <v>950.23346335777501</v>
      </c>
      <c r="AE335" s="399">
        <v>1671.3605994444974</v>
      </c>
      <c r="AF335" s="399"/>
      <c r="AG335" s="399"/>
      <c r="AH335" s="399"/>
      <c r="AI335" s="399">
        <v>0</v>
      </c>
      <c r="AJ335" s="399">
        <v>0</v>
      </c>
      <c r="AK335" s="399">
        <v>0</v>
      </c>
      <c r="AL335" s="399">
        <v>0</v>
      </c>
      <c r="AM335" s="399"/>
      <c r="AN335" s="399">
        <v>0</v>
      </c>
      <c r="AO335" s="399">
        <v>0</v>
      </c>
      <c r="AP335" s="399">
        <v>0</v>
      </c>
      <c r="AQ335" s="399">
        <v>0</v>
      </c>
      <c r="AR335" s="399">
        <v>0</v>
      </c>
      <c r="AS335" s="399"/>
      <c r="AT335" s="399"/>
      <c r="AU335" s="399">
        <v>0</v>
      </c>
      <c r="AV335" s="399">
        <v>0</v>
      </c>
      <c r="AW335" s="399">
        <v>0</v>
      </c>
      <c r="AX335" s="399"/>
      <c r="AY335" s="399"/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/>
      <c r="BG335" s="399">
        <v>0</v>
      </c>
      <c r="BH335" s="399">
        <v>0</v>
      </c>
      <c r="BI335" s="399">
        <v>23.66</v>
      </c>
      <c r="BJ335" s="399">
        <v>109.22</v>
      </c>
      <c r="BK335" s="399">
        <v>803.61</v>
      </c>
      <c r="BL335" s="399">
        <v>1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0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2585.9999999999995</v>
      </c>
      <c r="CJ335" s="399">
        <v>-35.28000000000111</v>
      </c>
      <c r="CK335" s="399"/>
      <c r="CL335" s="399"/>
      <c r="CM335" s="399"/>
      <c r="CN335" s="399"/>
      <c r="CO335" s="399">
        <v>-35.250000000000448</v>
      </c>
      <c r="CP335" s="399">
        <v>0</v>
      </c>
      <c r="CQ335" s="399">
        <v>31</v>
      </c>
      <c r="CR335" s="399">
        <v>39.768554794177476</v>
      </c>
      <c r="CS335" s="399">
        <v>0</v>
      </c>
      <c r="CT335" s="399">
        <v>0</v>
      </c>
      <c r="CU335" s="399">
        <v>0</v>
      </c>
      <c r="CV335" s="399">
        <v>0</v>
      </c>
      <c r="CW335" s="399"/>
      <c r="CX335" s="399"/>
      <c r="CY335" s="399"/>
      <c r="CZ335" s="399">
        <v>39.768554794177476</v>
      </c>
      <c r="DA335" s="399">
        <v>0</v>
      </c>
      <c r="DB335" s="399">
        <v>0</v>
      </c>
      <c r="DC335" s="399"/>
      <c r="DD335" s="399"/>
      <c r="DE335" s="399">
        <v>0</v>
      </c>
      <c r="DF335" s="399">
        <v>0</v>
      </c>
      <c r="DG335" s="399">
        <v>0</v>
      </c>
      <c r="DH335" s="399">
        <v>0</v>
      </c>
      <c r="DI335" s="399">
        <v>0</v>
      </c>
      <c r="DJ335" s="399"/>
      <c r="DK335" s="399">
        <v>0</v>
      </c>
      <c r="DL335" s="399">
        <v>0</v>
      </c>
      <c r="DM335" s="399"/>
      <c r="DN335" s="399">
        <v>0</v>
      </c>
      <c r="DO335" s="399">
        <v>0</v>
      </c>
      <c r="DP335" s="399">
        <v>0</v>
      </c>
      <c r="DQ335" s="399">
        <v>0</v>
      </c>
      <c r="DR335" s="399">
        <v>0</v>
      </c>
      <c r="DS335" s="399"/>
      <c r="DT335" s="399"/>
      <c r="DU335" s="399">
        <v>1671.3605994444974</v>
      </c>
      <c r="DV335" s="399"/>
      <c r="DW335" s="399">
        <v>0</v>
      </c>
      <c r="DX335" s="399">
        <v>0</v>
      </c>
      <c r="DY335" s="399">
        <v>-35.250000000000455</v>
      </c>
      <c r="DZ335" s="399"/>
      <c r="EA335" s="399">
        <v>0</v>
      </c>
      <c r="EB335" s="399"/>
      <c r="EC335" s="399">
        <v>-75.273452581462379</v>
      </c>
      <c r="ED335" s="399"/>
      <c r="EE335" s="399">
        <v>0</v>
      </c>
      <c r="EF335" s="399">
        <v>0</v>
      </c>
      <c r="EG335" s="399"/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/>
      <c r="EN335" s="399"/>
      <c r="EO335" s="399">
        <v>0</v>
      </c>
      <c r="EP335" s="399">
        <v>0</v>
      </c>
      <c r="EQ335" s="399"/>
      <c r="ER335" s="399">
        <v>0</v>
      </c>
      <c r="ES335" s="399"/>
      <c r="ET335" s="399">
        <v>0</v>
      </c>
      <c r="EU335" s="399"/>
      <c r="EV335" s="399">
        <v>225</v>
      </c>
      <c r="EW335" s="399"/>
      <c r="EX335" s="399"/>
      <c r="EY335" s="399"/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957</v>
      </c>
      <c r="C336" s="399" t="s">
        <v>2357</v>
      </c>
      <c r="D336" s="399" t="s">
        <v>2371</v>
      </c>
      <c r="E336" s="399" t="s">
        <v>2372</v>
      </c>
      <c r="F336" s="399" t="s">
        <v>2373</v>
      </c>
      <c r="G336" s="399" t="s">
        <v>1240</v>
      </c>
      <c r="H336" s="399" t="s">
        <v>1240</v>
      </c>
      <c r="I336" s="399" t="s">
        <v>1240</v>
      </c>
      <c r="J336" s="399" t="s">
        <v>2358</v>
      </c>
      <c r="K336" s="789">
        <v>44621</v>
      </c>
      <c r="L336" s="399">
        <v>0</v>
      </c>
      <c r="M336" s="399">
        <v>0</v>
      </c>
      <c r="N336" s="399">
        <v>420.53800000000001</v>
      </c>
      <c r="O336" s="399">
        <v>420.53800000000001</v>
      </c>
      <c r="P336" s="399">
        <v>420.53800000000001</v>
      </c>
      <c r="Q336" s="399">
        <v>420.53800000000001</v>
      </c>
      <c r="R336" s="399"/>
      <c r="S336" s="399">
        <v>287.3</v>
      </c>
      <c r="T336" s="399">
        <v>79.430000000000007</v>
      </c>
      <c r="U336" s="399"/>
      <c r="V336" s="399">
        <v>154223.90074000001</v>
      </c>
      <c r="W336" s="399">
        <v>154223.90074000001</v>
      </c>
      <c r="X336" s="399">
        <v>150746.05147999999</v>
      </c>
      <c r="Y336" s="399">
        <v>0</v>
      </c>
      <c r="Z336" s="399">
        <v>14201.793874133837</v>
      </c>
      <c r="AA336" s="399">
        <v>0</v>
      </c>
      <c r="AB336" s="399">
        <v>0</v>
      </c>
      <c r="AC336" s="399">
        <v>0</v>
      </c>
      <c r="AD336" s="399">
        <v>23583.774994471933</v>
      </c>
      <c r="AE336" s="399">
        <v>76768.778796727434</v>
      </c>
      <c r="AF336" s="399">
        <v>33404.175676254607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2193.3225032346459</v>
      </c>
      <c r="AM336" s="399"/>
      <c r="AN336" s="399">
        <v>336.50204058917626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3737.3541629204783</v>
      </c>
      <c r="BH336" s="399">
        <v>0</v>
      </c>
      <c r="BI336" s="399">
        <v>1343.4</v>
      </c>
      <c r="BJ336" s="399">
        <v>6200.44</v>
      </c>
      <c r="BK336" s="399">
        <v>68893.679999999993</v>
      </c>
      <c r="BL336" s="399">
        <v>6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37141.529839175084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150746.7684</v>
      </c>
      <c r="CJ336" s="399">
        <v>-3477.1623400000099</v>
      </c>
      <c r="CK336" s="399"/>
      <c r="CL336" s="399"/>
      <c r="CM336" s="399"/>
      <c r="CN336" s="399"/>
      <c r="CO336" s="399">
        <v>-4827.7762400000074</v>
      </c>
      <c r="CP336" s="399">
        <v>1349.9269799999975</v>
      </c>
      <c r="CQ336" s="399">
        <v>31</v>
      </c>
      <c r="CR336" s="399">
        <v>-22.199492627260042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987.01285977354928</v>
      </c>
      <c r="DA336" s="399">
        <v>0</v>
      </c>
      <c r="DB336" s="399">
        <v>0</v>
      </c>
      <c r="DC336" s="399">
        <v>1350.7200385870456</v>
      </c>
      <c r="DD336" s="399">
        <v>0</v>
      </c>
      <c r="DE336" s="399">
        <v>0</v>
      </c>
      <c r="DF336" s="399">
        <v>0</v>
      </c>
      <c r="DG336" s="399">
        <v>151.12239883057282</v>
      </c>
      <c r="DH336" s="399">
        <v>0</v>
      </c>
      <c r="DI336" s="399">
        <v>-2181.8374287147126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-288.60737580795762</v>
      </c>
      <c r="DP336" s="399">
        <v>-40.609985295764602</v>
      </c>
      <c r="DQ336" s="399">
        <v>0</v>
      </c>
      <c r="DR336" s="399">
        <v>0</v>
      </c>
      <c r="DS336" s="399"/>
      <c r="DT336" s="399"/>
      <c r="DU336" s="399"/>
      <c r="DV336" s="399">
        <v>76768.778796727434</v>
      </c>
      <c r="DW336" s="399">
        <v>0</v>
      </c>
      <c r="DX336" s="399">
        <v>0</v>
      </c>
      <c r="DY336" s="399">
        <v>-4827.7762400000211</v>
      </c>
      <c r="DZ336" s="399">
        <v>1349.9269799999965</v>
      </c>
      <c r="EA336" s="399">
        <v>0</v>
      </c>
      <c r="EB336" s="399">
        <v>0</v>
      </c>
      <c r="EC336" s="399">
        <v>-3457.4531865911849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225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957</v>
      </c>
      <c r="C337" s="399" t="s">
        <v>2357</v>
      </c>
      <c r="D337" s="399" t="s">
        <v>1826</v>
      </c>
      <c r="E337" s="399" t="s">
        <v>922</v>
      </c>
      <c r="F337" s="399" t="s">
        <v>2374</v>
      </c>
      <c r="G337" s="399" t="s">
        <v>1240</v>
      </c>
      <c r="H337" s="399" t="s">
        <v>1240</v>
      </c>
      <c r="I337" s="399" t="s">
        <v>1240</v>
      </c>
      <c r="J337" s="399" t="s">
        <v>2358</v>
      </c>
      <c r="K337" s="789">
        <v>44621</v>
      </c>
      <c r="L337" s="399">
        <v>0</v>
      </c>
      <c r="M337" s="399">
        <v>0</v>
      </c>
      <c r="N337" s="399">
        <v>22.068000000000001</v>
      </c>
      <c r="O337" s="399">
        <v>20.743919999999999</v>
      </c>
      <c r="P337" s="399">
        <v>22.068000000000001</v>
      </c>
      <c r="Q337" s="399">
        <v>20.743919999999999</v>
      </c>
      <c r="R337" s="399"/>
      <c r="S337" s="399">
        <v>522.37</v>
      </c>
      <c r="T337" s="399">
        <v>144.41999999999999</v>
      </c>
      <c r="U337" s="399"/>
      <c r="V337" s="399">
        <v>14714.721720000001</v>
      </c>
      <c r="W337" s="399">
        <v>14714.721720000001</v>
      </c>
      <c r="X337" s="399">
        <v>14382.598320000001</v>
      </c>
      <c r="Y337" s="399">
        <v>0</v>
      </c>
      <c r="Z337" s="399">
        <v>1354.9967259012617</v>
      </c>
      <c r="AA337" s="399">
        <v>0</v>
      </c>
      <c r="AB337" s="399">
        <v>0</v>
      </c>
      <c r="AC337" s="399">
        <v>0</v>
      </c>
      <c r="AD337" s="399">
        <v>2250.1339045698892</v>
      </c>
      <c r="AE337" s="399">
        <v>7324.528495689643</v>
      </c>
      <c r="AF337" s="399">
        <v>3187.1008038775649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209.26545174982428</v>
      </c>
      <c r="AM337" s="399"/>
      <c r="AN337" s="399">
        <v>32.10574433754303</v>
      </c>
      <c r="AO337" s="399">
        <v>0</v>
      </c>
      <c r="AP337" s="399">
        <v>0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356.58190079170868</v>
      </c>
      <c r="BH337" s="399">
        <v>0</v>
      </c>
      <c r="BI337" s="399">
        <v>102.32</v>
      </c>
      <c r="BJ337" s="399">
        <v>473.46</v>
      </c>
      <c r="BK337" s="399">
        <v>5525.79</v>
      </c>
      <c r="BL337" s="399">
        <v>35</v>
      </c>
      <c r="BM337" s="399"/>
      <c r="BN337" s="399"/>
      <c r="BO337" s="399"/>
      <c r="BP337" s="399"/>
      <c r="BQ337" s="399">
        <v>862.95589920000145</v>
      </c>
      <c r="BR337" s="399"/>
      <c r="BS337" s="399"/>
      <c r="BT337" s="399"/>
      <c r="BU337" s="399"/>
      <c r="BV337" s="399">
        <v>3543.6827046692733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13517.087599999999</v>
      </c>
      <c r="CJ337" s="399">
        <v>-314.78081680000105</v>
      </c>
      <c r="CK337" s="399"/>
      <c r="CL337" s="399"/>
      <c r="CM337" s="399"/>
      <c r="CN337" s="399"/>
      <c r="CO337" s="399">
        <v>-461.00051999999971</v>
      </c>
      <c r="CP337" s="399">
        <v>128.87712000000008</v>
      </c>
      <c r="CQ337" s="399">
        <v>31</v>
      </c>
      <c r="CR337" s="399">
        <v>-2.1180591756838112</v>
      </c>
      <c r="CS337" s="399">
        <v>0</v>
      </c>
      <c r="CT337" s="399">
        <v>0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94.171145227758188</v>
      </c>
      <c r="DA337" s="399">
        <v>0</v>
      </c>
      <c r="DB337" s="399">
        <v>0</v>
      </c>
      <c r="DC337" s="399">
        <v>128.87253864656759</v>
      </c>
      <c r="DD337" s="399">
        <v>0</v>
      </c>
      <c r="DE337" s="399">
        <v>0</v>
      </c>
      <c r="DF337" s="399">
        <v>0</v>
      </c>
      <c r="DG337" s="399">
        <v>14.418626086295035</v>
      </c>
      <c r="DH337" s="399">
        <v>0</v>
      </c>
      <c r="DI337" s="399">
        <v>-208.16965790088216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-27.536102323171633</v>
      </c>
      <c r="DP337" s="399">
        <v>-3.8746089122500891</v>
      </c>
      <c r="DQ337" s="399">
        <v>0</v>
      </c>
      <c r="DR337" s="399">
        <v>0</v>
      </c>
      <c r="DS337" s="399"/>
      <c r="DT337" s="399"/>
      <c r="DU337" s="399"/>
      <c r="DV337" s="399">
        <v>7324.528495689643</v>
      </c>
      <c r="DW337" s="399">
        <v>0</v>
      </c>
      <c r="DX337" s="399">
        <v>0</v>
      </c>
      <c r="DY337" s="399">
        <v>-461.0005199999996</v>
      </c>
      <c r="DZ337" s="399">
        <v>128.8771200000001</v>
      </c>
      <c r="EA337" s="399">
        <v>0</v>
      </c>
      <c r="EB337" s="399">
        <v>0</v>
      </c>
      <c r="EC337" s="399">
        <v>-329.87647823284442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0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225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957</v>
      </c>
      <c r="C338" s="399" t="s">
        <v>2366</v>
      </c>
      <c r="D338" s="399" t="s">
        <v>534</v>
      </c>
      <c r="E338" s="399" t="s">
        <v>922</v>
      </c>
      <c r="F338" s="399" t="s">
        <v>2374</v>
      </c>
      <c r="G338" s="399" t="s">
        <v>1240</v>
      </c>
      <c r="H338" s="399" t="s">
        <v>1240</v>
      </c>
      <c r="I338" s="399" t="s">
        <v>894</v>
      </c>
      <c r="J338" s="399" t="s">
        <v>2358</v>
      </c>
      <c r="K338" s="789">
        <v>44621</v>
      </c>
      <c r="L338" s="399">
        <v>0</v>
      </c>
      <c r="M338" s="399">
        <v>0</v>
      </c>
      <c r="N338" s="399">
        <v>0.40400000000000003</v>
      </c>
      <c r="O338" s="399">
        <v>0.37975999999999999</v>
      </c>
      <c r="P338" s="399">
        <v>0.40400000000000003</v>
      </c>
      <c r="Q338" s="399">
        <v>0.37975999999999999</v>
      </c>
      <c r="R338" s="399"/>
      <c r="S338" s="399">
        <v>2740.31</v>
      </c>
      <c r="T338" s="399">
        <v>144.41999999999999</v>
      </c>
      <c r="U338" s="399"/>
      <c r="V338" s="399">
        <v>1165.43092</v>
      </c>
      <c r="W338" s="399">
        <v>1165.43092</v>
      </c>
      <c r="X338" s="399">
        <v>1141.8736800000001</v>
      </c>
      <c r="Y338" s="399">
        <v>0</v>
      </c>
      <c r="Z338" s="399">
        <v>21.581214845920588</v>
      </c>
      <c r="AA338" s="399">
        <v>0</v>
      </c>
      <c r="AB338" s="399">
        <v>0</v>
      </c>
      <c r="AC338" s="399">
        <v>0</v>
      </c>
      <c r="AD338" s="399">
        <v>304.07577655193182</v>
      </c>
      <c r="AE338" s="399">
        <v>774.87505666221841</v>
      </c>
      <c r="AF338" s="399">
        <v>58.346416746716343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3.831033283801387</v>
      </c>
      <c r="AM338" s="399"/>
      <c r="AN338" s="399">
        <v>0.20106482219385738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2.5203953677144795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>
        <v>68.5124208000001</v>
      </c>
      <c r="BR338" s="399"/>
      <c r="BS338" s="399"/>
      <c r="BT338" s="399"/>
      <c r="BU338" s="399"/>
      <c r="BV338" s="399">
        <v>60.866812114430822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1074.0396000000001</v>
      </c>
      <c r="CJ338" s="399">
        <v>-21.495464799999809</v>
      </c>
      <c r="CK338" s="399"/>
      <c r="CL338" s="399"/>
      <c r="CM338" s="399"/>
      <c r="CN338" s="399"/>
      <c r="CO338" s="399">
        <v>-25.916600000000038</v>
      </c>
      <c r="CP338" s="399">
        <v>2.3593600000000015</v>
      </c>
      <c r="CQ338" s="399">
        <v>31</v>
      </c>
      <c r="CR338" s="399">
        <v>11.343256252553488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12.725982242992472</v>
      </c>
      <c r="DA338" s="399">
        <v>0</v>
      </c>
      <c r="DB338" s="399">
        <v>0</v>
      </c>
      <c r="DC338" s="399">
        <v>2.3592761289293662</v>
      </c>
      <c r="DD338" s="399">
        <v>0</v>
      </c>
      <c r="DE338" s="399">
        <v>0</v>
      </c>
      <c r="DF338" s="399">
        <v>0</v>
      </c>
      <c r="DG338" s="399">
        <v>0.10191386134859259</v>
      </c>
      <c r="DH338" s="399">
        <v>0</v>
      </c>
      <c r="DI338" s="399">
        <v>-3.3155461010966896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-0.50410482773977394</v>
      </c>
      <c r="DP338" s="399">
        <v>-2.4265051880492716E-2</v>
      </c>
      <c r="DQ338" s="399">
        <v>0</v>
      </c>
      <c r="DR338" s="399">
        <v>0</v>
      </c>
      <c r="DS338" s="399"/>
      <c r="DT338" s="399"/>
      <c r="DU338" s="399"/>
      <c r="DV338" s="399">
        <v>774.87505666221841</v>
      </c>
      <c r="DW338" s="399">
        <v>0</v>
      </c>
      <c r="DX338" s="399">
        <v>0</v>
      </c>
      <c r="DY338" s="399">
        <v>-25.916600000000017</v>
      </c>
      <c r="DZ338" s="399">
        <v>2.3593599999999952</v>
      </c>
      <c r="EA338" s="399">
        <v>0</v>
      </c>
      <c r="EB338" s="399">
        <v>0</v>
      </c>
      <c r="EC338" s="399">
        <v>-34.898226542861948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225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957</v>
      </c>
      <c r="C339" s="399" t="s">
        <v>2366</v>
      </c>
      <c r="D339" s="399" t="s">
        <v>534</v>
      </c>
      <c r="E339" s="399" t="s">
        <v>922</v>
      </c>
      <c r="F339" s="399" t="s">
        <v>2374</v>
      </c>
      <c r="G339" s="399" t="s">
        <v>1240</v>
      </c>
      <c r="H339" s="399" t="s">
        <v>1240</v>
      </c>
      <c r="I339" s="399" t="s">
        <v>2328</v>
      </c>
      <c r="J339" s="399" t="s">
        <v>2358</v>
      </c>
      <c r="K339" s="789">
        <v>44621</v>
      </c>
      <c r="L339" s="399">
        <v>0</v>
      </c>
      <c r="M339" s="399">
        <v>0</v>
      </c>
      <c r="N339" s="399">
        <v>2.2210000000000001</v>
      </c>
      <c r="O339" s="399">
        <v>2.0877400000000002</v>
      </c>
      <c r="P339" s="399">
        <v>2.2210000000000001</v>
      </c>
      <c r="Q339" s="399">
        <v>2.0877400000000002</v>
      </c>
      <c r="R339" s="399"/>
      <c r="S339" s="399">
        <v>69.64</v>
      </c>
      <c r="T339" s="399">
        <v>144.41999999999999</v>
      </c>
      <c r="U339" s="399"/>
      <c r="V339" s="399">
        <v>475.42726000000005</v>
      </c>
      <c r="W339" s="399">
        <v>475.42726000000005</v>
      </c>
      <c r="X339" s="399">
        <v>467.83144000000004</v>
      </c>
      <c r="Y339" s="399">
        <v>0</v>
      </c>
      <c r="Z339" s="399">
        <v>118.6432628039347</v>
      </c>
      <c r="AA339" s="399">
        <v>0</v>
      </c>
      <c r="AB339" s="399">
        <v>0</v>
      </c>
      <c r="AC339" s="399">
        <v>0</v>
      </c>
      <c r="AD339" s="399">
        <v>0</v>
      </c>
      <c r="AE339" s="399">
        <v>0</v>
      </c>
      <c r="AF339" s="399">
        <v>320.76087028330937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21.061200305254655</v>
      </c>
      <c r="AM339" s="399"/>
      <c r="AN339" s="399">
        <v>1.1053588368627654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13.855935920034304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>
        <v>28.069886399999987</v>
      </c>
      <c r="BR339" s="399"/>
      <c r="BS339" s="399"/>
      <c r="BT339" s="399"/>
      <c r="BU339" s="399"/>
      <c r="BV339" s="399">
        <v>334.61680620334369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440.23759999999993</v>
      </c>
      <c r="CJ339" s="399">
        <v>-6.694024400000103</v>
      </c>
      <c r="CK339" s="399"/>
      <c r="CL339" s="399"/>
      <c r="CM339" s="399"/>
      <c r="CN339" s="399"/>
      <c r="CO339" s="399">
        <v>-20.566459999999996</v>
      </c>
      <c r="CP339" s="399">
        <v>12.970640000000008</v>
      </c>
      <c r="CQ339" s="399">
        <v>31</v>
      </c>
      <c r="CR339" s="399">
        <v>-7.601570358329127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0</v>
      </c>
      <c r="DA339" s="399">
        <v>0</v>
      </c>
      <c r="DB339" s="399">
        <v>0</v>
      </c>
      <c r="DC339" s="399">
        <v>12.970178916713223</v>
      </c>
      <c r="DD339" s="399">
        <v>0</v>
      </c>
      <c r="DE339" s="399">
        <v>0</v>
      </c>
      <c r="DF339" s="399">
        <v>0</v>
      </c>
      <c r="DG339" s="399">
        <v>0.5602739753842183</v>
      </c>
      <c r="DH339" s="399">
        <v>0</v>
      </c>
      <c r="DI339" s="399">
        <v>-18.227296758751848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-2.7713287683416787</v>
      </c>
      <c r="DP339" s="399">
        <v>-0.13339772333310473</v>
      </c>
      <c r="DQ339" s="399">
        <v>0</v>
      </c>
      <c r="DR339" s="399">
        <v>0</v>
      </c>
      <c r="DS339" s="399"/>
      <c r="DT339" s="399"/>
      <c r="DU339" s="399"/>
      <c r="DV339" s="399">
        <v>0</v>
      </c>
      <c r="DW339" s="399">
        <v>0</v>
      </c>
      <c r="DX339" s="399">
        <v>0</v>
      </c>
      <c r="DY339" s="399">
        <v>-20.566460000000006</v>
      </c>
      <c r="DZ339" s="399">
        <v>12.970640000000003</v>
      </c>
      <c r="EA339" s="399">
        <v>0</v>
      </c>
      <c r="EB339" s="399">
        <v>0</v>
      </c>
      <c r="EC339" s="399">
        <v>0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225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957</v>
      </c>
      <c r="C340" s="399" t="s">
        <v>2366</v>
      </c>
      <c r="D340" s="399" t="s">
        <v>534</v>
      </c>
      <c r="E340" s="399" t="s">
        <v>922</v>
      </c>
      <c r="F340" s="399" t="s">
        <v>2374</v>
      </c>
      <c r="G340" s="399" t="s">
        <v>1240</v>
      </c>
      <c r="H340" s="399" t="s">
        <v>1240</v>
      </c>
      <c r="I340" s="399" t="s">
        <v>1240</v>
      </c>
      <c r="J340" s="399" t="s">
        <v>2358</v>
      </c>
      <c r="K340" s="789">
        <v>44621</v>
      </c>
      <c r="L340" s="399">
        <v>78</v>
      </c>
      <c r="M340" s="399">
        <v>73.319999999999993</v>
      </c>
      <c r="N340" s="399">
        <v>0</v>
      </c>
      <c r="O340" s="399">
        <v>0</v>
      </c>
      <c r="P340" s="399">
        <v>0</v>
      </c>
      <c r="Q340" s="399">
        <v>0</v>
      </c>
      <c r="R340" s="399">
        <v>34.950000000000003</v>
      </c>
      <c r="S340" s="399"/>
      <c r="T340" s="399"/>
      <c r="U340" s="399">
        <v>2726.1000000000004</v>
      </c>
      <c r="V340" s="399"/>
      <c r="W340" s="399">
        <v>2726.1000000000004</v>
      </c>
      <c r="X340" s="399">
        <v>2689.4399999999996</v>
      </c>
      <c r="Y340" s="399">
        <v>0</v>
      </c>
      <c r="Z340" s="399">
        <v>0</v>
      </c>
      <c r="AA340" s="399">
        <v>0</v>
      </c>
      <c r="AB340" s="399">
        <v>0</v>
      </c>
      <c r="AC340" s="399">
        <v>0</v>
      </c>
      <c r="AD340" s="399">
        <v>988.24280189208594</v>
      </c>
      <c r="AE340" s="399">
        <v>1738.2150234222775</v>
      </c>
      <c r="AF340" s="399"/>
      <c r="AG340" s="399"/>
      <c r="AH340" s="399"/>
      <c r="AI340" s="399">
        <v>0</v>
      </c>
      <c r="AJ340" s="399">
        <v>0</v>
      </c>
      <c r="AK340" s="399">
        <v>0</v>
      </c>
      <c r="AL340" s="399">
        <v>0</v>
      </c>
      <c r="AM340" s="399"/>
      <c r="AN340" s="399">
        <v>0</v>
      </c>
      <c r="AO340" s="399">
        <v>0</v>
      </c>
      <c r="AP340" s="399">
        <v>0</v>
      </c>
      <c r="AQ340" s="399">
        <v>0</v>
      </c>
      <c r="AR340" s="399">
        <v>0</v>
      </c>
      <c r="AS340" s="399"/>
      <c r="AT340" s="399"/>
      <c r="AU340" s="399">
        <v>0</v>
      </c>
      <c r="AV340" s="399">
        <v>0</v>
      </c>
      <c r="AW340" s="399">
        <v>0</v>
      </c>
      <c r="AX340" s="399"/>
      <c r="AY340" s="399"/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/>
      <c r="BG340" s="399">
        <v>0</v>
      </c>
      <c r="BH340" s="399">
        <v>0</v>
      </c>
      <c r="BI340" s="399">
        <v>27.88</v>
      </c>
      <c r="BJ340" s="399">
        <v>128.69</v>
      </c>
      <c r="BK340" s="399">
        <v>759.52</v>
      </c>
      <c r="BL340" s="399">
        <v>1</v>
      </c>
      <c r="BM340" s="399"/>
      <c r="BN340" s="399"/>
      <c r="BO340" s="399"/>
      <c r="BP340" s="399"/>
      <c r="BQ340" s="399">
        <v>161.36640000000023</v>
      </c>
      <c r="BR340" s="399"/>
      <c r="BS340" s="399"/>
      <c r="BT340" s="399"/>
      <c r="BU340" s="399"/>
      <c r="BV340" s="399">
        <v>0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2528.0735999999997</v>
      </c>
      <c r="CJ340" s="399">
        <v>-34.490400000001046</v>
      </c>
      <c r="CK340" s="399"/>
      <c r="CL340" s="399"/>
      <c r="CM340" s="399"/>
      <c r="CN340" s="399"/>
      <c r="CO340" s="399">
        <v>-36.660000000000466</v>
      </c>
      <c r="CP340" s="399">
        <v>0</v>
      </c>
      <c r="CQ340" s="399">
        <v>31</v>
      </c>
      <c r="CR340" s="399">
        <v>41.359296985944638</v>
      </c>
      <c r="CS340" s="399">
        <v>0</v>
      </c>
      <c r="CT340" s="399">
        <v>0</v>
      </c>
      <c r="CU340" s="399">
        <v>0</v>
      </c>
      <c r="CV340" s="399">
        <v>0</v>
      </c>
      <c r="CW340" s="399"/>
      <c r="CX340" s="399"/>
      <c r="CY340" s="399"/>
      <c r="CZ340" s="399">
        <v>41.359296985944638</v>
      </c>
      <c r="DA340" s="399">
        <v>0</v>
      </c>
      <c r="DB340" s="399">
        <v>0</v>
      </c>
      <c r="DC340" s="399"/>
      <c r="DD340" s="399"/>
      <c r="DE340" s="399">
        <v>0</v>
      </c>
      <c r="DF340" s="399">
        <v>0</v>
      </c>
      <c r="DG340" s="399">
        <v>0</v>
      </c>
      <c r="DH340" s="399">
        <v>0</v>
      </c>
      <c r="DI340" s="399">
        <v>0</v>
      </c>
      <c r="DJ340" s="399"/>
      <c r="DK340" s="399">
        <v>0</v>
      </c>
      <c r="DL340" s="399">
        <v>0</v>
      </c>
      <c r="DM340" s="399"/>
      <c r="DN340" s="399">
        <v>0</v>
      </c>
      <c r="DO340" s="399">
        <v>0</v>
      </c>
      <c r="DP340" s="399">
        <v>0</v>
      </c>
      <c r="DQ340" s="399">
        <v>0</v>
      </c>
      <c r="DR340" s="399">
        <v>0</v>
      </c>
      <c r="DS340" s="399"/>
      <c r="DT340" s="399"/>
      <c r="DU340" s="399">
        <v>1738.2150234222775</v>
      </c>
      <c r="DV340" s="399"/>
      <c r="DW340" s="399">
        <v>0</v>
      </c>
      <c r="DX340" s="399">
        <v>0</v>
      </c>
      <c r="DY340" s="399">
        <v>-36.660000000000764</v>
      </c>
      <c r="DZ340" s="399"/>
      <c r="EA340" s="399">
        <v>0</v>
      </c>
      <c r="EB340" s="399"/>
      <c r="EC340" s="399">
        <v>-78.284390684721075</v>
      </c>
      <c r="ED340" s="399"/>
      <c r="EE340" s="399">
        <v>0</v>
      </c>
      <c r="EF340" s="399">
        <v>0</v>
      </c>
      <c r="EG340" s="399"/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/>
      <c r="EN340" s="399"/>
      <c r="EO340" s="399">
        <v>0</v>
      </c>
      <c r="EP340" s="399">
        <v>0</v>
      </c>
      <c r="EQ340" s="399"/>
      <c r="ER340" s="399">
        <v>0</v>
      </c>
      <c r="ES340" s="399"/>
      <c r="ET340" s="399">
        <v>0</v>
      </c>
      <c r="EU340" s="399"/>
      <c r="EV340" s="399">
        <v>225</v>
      </c>
      <c r="EW340" s="399"/>
      <c r="EX340" s="399"/>
      <c r="EY340" s="399"/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957</v>
      </c>
      <c r="C341" s="399" t="s">
        <v>2357</v>
      </c>
      <c r="D341" s="399" t="s">
        <v>1826</v>
      </c>
      <c r="E341" s="399" t="s">
        <v>2375</v>
      </c>
      <c r="F341" s="399" t="s">
        <v>1240</v>
      </c>
      <c r="G341" s="399" t="s">
        <v>1240</v>
      </c>
      <c r="H341" s="399" t="s">
        <v>1240</v>
      </c>
      <c r="I341" s="399" t="s">
        <v>1240</v>
      </c>
      <c r="J341" s="399" t="s">
        <v>2358</v>
      </c>
      <c r="K341" s="789">
        <v>44621</v>
      </c>
      <c r="L341" s="399">
        <v>0</v>
      </c>
      <c r="M341" s="399">
        <v>0</v>
      </c>
      <c r="N341" s="399">
        <v>8.0239999999999991</v>
      </c>
      <c r="O341" s="399">
        <v>8.0239999999999991</v>
      </c>
      <c r="P341" s="399">
        <v>8.0239999999999991</v>
      </c>
      <c r="Q341" s="399">
        <v>8.0239999999999991</v>
      </c>
      <c r="R341" s="399"/>
      <c r="S341" s="399">
        <v>522.37</v>
      </c>
      <c r="T341" s="399">
        <v>144.41999999999999</v>
      </c>
      <c r="U341" s="399"/>
      <c r="V341" s="399">
        <v>5350.3229599999995</v>
      </c>
      <c r="W341" s="399">
        <v>5350.3229599999995</v>
      </c>
      <c r="X341" s="399">
        <v>5229.5617599999996</v>
      </c>
      <c r="Y341" s="399">
        <v>0</v>
      </c>
      <c r="Z341" s="399">
        <v>492.68142689105139</v>
      </c>
      <c r="AA341" s="399">
        <v>0</v>
      </c>
      <c r="AB341" s="399">
        <v>0</v>
      </c>
      <c r="AC341" s="399">
        <v>0</v>
      </c>
      <c r="AD341" s="399">
        <v>818.1563553683518</v>
      </c>
      <c r="AE341" s="399">
        <v>2663.2235204555777</v>
      </c>
      <c r="AF341" s="399">
        <v>1158.8407128110196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76.089631359461194</v>
      </c>
      <c r="AM341" s="399"/>
      <c r="AN341" s="399">
        <v>11.673758046240946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129.65439423385308</v>
      </c>
      <c r="BH341" s="399">
        <v>0</v>
      </c>
      <c r="BI341" s="399">
        <v>0</v>
      </c>
      <c r="BJ341" s="399">
        <v>0</v>
      </c>
      <c r="BK341" s="399">
        <v>0</v>
      </c>
      <c r="BL341" s="399">
        <v>4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1288.4951070448726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5226.9547999999995</v>
      </c>
      <c r="CJ341" s="399">
        <v>-123.39816000000064</v>
      </c>
      <c r="CK341" s="399"/>
      <c r="CL341" s="399"/>
      <c r="CM341" s="399"/>
      <c r="CN341" s="399"/>
      <c r="CO341" s="399">
        <v>-167.62135999999987</v>
      </c>
      <c r="CP341" s="399">
        <v>46.860160000000022</v>
      </c>
      <c r="CQ341" s="399">
        <v>31</v>
      </c>
      <c r="CR341" s="399">
        <v>-0.77013353388110772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34.240949307029723</v>
      </c>
      <c r="DA341" s="399">
        <v>0</v>
      </c>
      <c r="DB341" s="399">
        <v>0</v>
      </c>
      <c r="DC341" s="399">
        <v>46.858494204280305</v>
      </c>
      <c r="DD341" s="399">
        <v>0</v>
      </c>
      <c r="DE341" s="399">
        <v>0</v>
      </c>
      <c r="DF341" s="399">
        <v>0</v>
      </c>
      <c r="DG341" s="399">
        <v>5.2426615785948627</v>
      </c>
      <c r="DH341" s="399">
        <v>0</v>
      </c>
      <c r="DI341" s="399">
        <v>-75.691196981904966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-10.012220638079071</v>
      </c>
      <c r="DP341" s="399">
        <v>-1.4088210038016449</v>
      </c>
      <c r="DQ341" s="399">
        <v>0</v>
      </c>
      <c r="DR341" s="399">
        <v>0</v>
      </c>
      <c r="DS341" s="399"/>
      <c r="DT341" s="399"/>
      <c r="DU341" s="399"/>
      <c r="DV341" s="399">
        <v>2663.2235204555777</v>
      </c>
      <c r="DW341" s="399">
        <v>0</v>
      </c>
      <c r="DX341" s="399">
        <v>0</v>
      </c>
      <c r="DY341" s="399">
        <v>-167.6213600000001</v>
      </c>
      <c r="DZ341" s="399">
        <v>46.860159999999951</v>
      </c>
      <c r="EA341" s="399">
        <v>0</v>
      </c>
      <c r="EB341" s="399">
        <v>0</v>
      </c>
      <c r="EC341" s="399">
        <v>-119.94421158874138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225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957</v>
      </c>
      <c r="C342" s="399" t="s">
        <v>2357</v>
      </c>
      <c r="D342" s="399" t="s">
        <v>2369</v>
      </c>
      <c r="E342" s="399" t="s">
        <v>895</v>
      </c>
      <c r="F342" s="399" t="s">
        <v>2376</v>
      </c>
      <c r="G342" s="399" t="s">
        <v>2377</v>
      </c>
      <c r="H342" s="399" t="s">
        <v>1240</v>
      </c>
      <c r="I342" s="399" t="s">
        <v>1240</v>
      </c>
      <c r="J342" s="399" t="s">
        <v>2358</v>
      </c>
      <c r="K342" s="789">
        <v>44621</v>
      </c>
      <c r="L342" s="399">
        <v>0</v>
      </c>
      <c r="M342" s="399">
        <v>0</v>
      </c>
      <c r="N342" s="399">
        <v>0</v>
      </c>
      <c r="O342" s="399">
        <v>0</v>
      </c>
      <c r="P342" s="399">
        <v>0</v>
      </c>
      <c r="Q342" s="399">
        <v>0</v>
      </c>
      <c r="R342" s="399"/>
      <c r="S342" s="399"/>
      <c r="T342" s="399"/>
      <c r="U342" s="399"/>
      <c r="V342" s="399"/>
      <c r="W342" s="399"/>
      <c r="X342" s="399"/>
      <c r="Y342" s="399"/>
      <c r="Z342" s="399"/>
      <c r="AA342" s="399">
        <v>0</v>
      </c>
      <c r="AB342" s="399"/>
      <c r="AC342" s="399"/>
      <c r="AD342" s="399"/>
      <c r="AE342" s="399"/>
      <c r="AF342" s="399"/>
      <c r="AG342" s="399"/>
      <c r="AH342" s="399"/>
      <c r="AI342" s="399"/>
      <c r="AJ342" s="399"/>
      <c r="AK342" s="399"/>
      <c r="AL342" s="399"/>
      <c r="AM342" s="399"/>
      <c r="AN342" s="399"/>
      <c r="AO342" s="399"/>
      <c r="AP342" s="399"/>
      <c r="AQ342" s="399"/>
      <c r="AR342" s="399"/>
      <c r="AS342" s="399"/>
      <c r="AT342" s="399"/>
      <c r="AU342" s="399"/>
      <c r="AV342" s="399"/>
      <c r="AW342" s="399"/>
      <c r="AX342" s="399"/>
      <c r="AY342" s="399"/>
      <c r="AZ342" s="399">
        <v>0</v>
      </c>
      <c r="BA342" s="399"/>
      <c r="BB342" s="399"/>
      <c r="BC342" s="399"/>
      <c r="BD342" s="399"/>
      <c r="BE342" s="399"/>
      <c r="BF342" s="399"/>
      <c r="BG342" s="399"/>
      <c r="BH342" s="399"/>
      <c r="BI342" s="399">
        <v>0</v>
      </c>
      <c r="BJ342" s="399">
        <v>0</v>
      </c>
      <c r="BK342" s="399">
        <v>2053.2600000000002</v>
      </c>
      <c r="BL342" s="399">
        <v>2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/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/>
      <c r="CJ342" s="399">
        <v>-0.03</v>
      </c>
      <c r="CK342" s="399"/>
      <c r="CL342" s="399"/>
      <c r="CM342" s="399"/>
      <c r="CN342" s="399"/>
      <c r="CO342" s="399">
        <v>0</v>
      </c>
      <c r="CP342" s="399">
        <v>0</v>
      </c>
      <c r="CQ342" s="399">
        <v>31</v>
      </c>
      <c r="CR342" s="399"/>
      <c r="CS342" s="399"/>
      <c r="CT342" s="399"/>
      <c r="CU342" s="399"/>
      <c r="CV342" s="399"/>
      <c r="CW342" s="399"/>
      <c r="CX342" s="399"/>
      <c r="CY342" s="399"/>
      <c r="CZ342" s="399"/>
      <c r="DA342" s="399"/>
      <c r="DB342" s="399"/>
      <c r="DC342" s="399"/>
      <c r="DD342" s="399"/>
      <c r="DE342" s="399"/>
      <c r="DF342" s="399"/>
      <c r="DG342" s="399"/>
      <c r="DH342" s="399"/>
      <c r="DI342" s="399"/>
      <c r="DJ342" s="399"/>
      <c r="DK342" s="399">
        <v>0</v>
      </c>
      <c r="DL342" s="399"/>
      <c r="DM342" s="399"/>
      <c r="DN342" s="399"/>
      <c r="DO342" s="399"/>
      <c r="DP342" s="399"/>
      <c r="DQ342" s="399"/>
      <c r="DR342" s="399"/>
      <c r="DS342" s="399"/>
      <c r="DT342" s="399"/>
      <c r="DU342" s="399"/>
      <c r="DV342" s="399"/>
      <c r="DW342" s="399"/>
      <c r="DX342" s="399"/>
      <c r="DY342" s="399"/>
      <c r="DZ342" s="399"/>
      <c r="EA342" s="399"/>
      <c r="EB342" s="399"/>
      <c r="EC342" s="399"/>
      <c r="ED342" s="399"/>
      <c r="EE342" s="399"/>
      <c r="EF342" s="399"/>
      <c r="EG342" s="399"/>
      <c r="EH342" s="399"/>
      <c r="EI342" s="399"/>
      <c r="EJ342" s="399"/>
      <c r="EK342" s="399"/>
      <c r="EL342" s="399"/>
      <c r="EM342" s="399"/>
      <c r="EN342" s="399"/>
      <c r="EO342" s="399"/>
      <c r="EP342" s="399"/>
      <c r="EQ342" s="399"/>
      <c r="ER342" s="399"/>
      <c r="ES342" s="399"/>
      <c r="ET342" s="399"/>
      <c r="EU342" s="399"/>
      <c r="EV342" s="399">
        <v>225</v>
      </c>
      <c r="EW342" s="399"/>
      <c r="EX342" s="399"/>
      <c r="EY342" s="399"/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957</v>
      </c>
      <c r="C343" s="399" t="s">
        <v>2357</v>
      </c>
      <c r="D343" s="399" t="s">
        <v>2369</v>
      </c>
      <c r="E343" s="399" t="s">
        <v>895</v>
      </c>
      <c r="F343" s="399" t="s">
        <v>2376</v>
      </c>
      <c r="G343" s="399" t="s">
        <v>2377</v>
      </c>
      <c r="H343" s="399" t="s">
        <v>1240</v>
      </c>
      <c r="I343" s="399" t="s">
        <v>1240</v>
      </c>
      <c r="J343" s="399" t="s">
        <v>2358</v>
      </c>
      <c r="K343" s="789">
        <v>44621</v>
      </c>
      <c r="L343" s="399">
        <v>0</v>
      </c>
      <c r="M343" s="399">
        <v>0</v>
      </c>
      <c r="N343" s="399">
        <v>8.2249999999999996</v>
      </c>
      <c r="O343" s="399">
        <v>8.2249999999999996</v>
      </c>
      <c r="P343" s="399">
        <v>8.2249999999999996</v>
      </c>
      <c r="Q343" s="399">
        <v>8.2249999999999996</v>
      </c>
      <c r="R343" s="399"/>
      <c r="S343" s="399">
        <v>522.37</v>
      </c>
      <c r="T343" s="399">
        <v>144.41999999999999</v>
      </c>
      <c r="U343" s="399"/>
      <c r="V343" s="399">
        <v>5484.347749999999</v>
      </c>
      <c r="W343" s="399">
        <v>5484.347749999999</v>
      </c>
      <c r="X343" s="399">
        <v>5360.5614999999998</v>
      </c>
      <c r="Y343" s="399">
        <v>0</v>
      </c>
      <c r="Z343" s="399">
        <v>505.02302295350171</v>
      </c>
      <c r="AA343" s="399">
        <v>0</v>
      </c>
      <c r="AB343" s="399">
        <v>0</v>
      </c>
      <c r="AC343" s="399">
        <v>0</v>
      </c>
      <c r="AD343" s="399">
        <v>838.65104971394487</v>
      </c>
      <c r="AE343" s="399">
        <v>2729.9368713543276</v>
      </c>
      <c r="AF343" s="399">
        <v>1187.8694993607471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77.995665245708921</v>
      </c>
      <c r="AM343" s="399"/>
      <c r="AN343" s="399">
        <v>11.966183939473055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132.90221741942196</v>
      </c>
      <c r="BH343" s="399">
        <v>0</v>
      </c>
      <c r="BI343" s="399">
        <v>0</v>
      </c>
      <c r="BJ343" s="399">
        <v>0</v>
      </c>
      <c r="BK343" s="399">
        <v>0</v>
      </c>
      <c r="BL343" s="399">
        <v>0</v>
      </c>
      <c r="BM343" s="399"/>
      <c r="BN343" s="399"/>
      <c r="BO343" s="399"/>
      <c r="BP343" s="399"/>
      <c r="BQ343" s="399"/>
      <c r="BR343" s="399">
        <v>643.19500000000016</v>
      </c>
      <c r="BS343" s="399"/>
      <c r="BT343" s="399"/>
      <c r="BU343" s="399"/>
      <c r="BV343" s="399">
        <v>1320.7717167801691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4720.2342000000008</v>
      </c>
      <c r="CJ343" s="399">
        <v>-105.97904999999992</v>
      </c>
      <c r="CK343" s="399"/>
      <c r="CL343" s="399"/>
      <c r="CM343" s="399"/>
      <c r="CN343" s="399"/>
      <c r="CO343" s="399">
        <v>-171.82024999999987</v>
      </c>
      <c r="CP343" s="399">
        <v>48.034000000000027</v>
      </c>
      <c r="CQ343" s="399">
        <v>31</v>
      </c>
      <c r="CR343" s="399">
        <v>-0.78942526372929933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35.098679966390819</v>
      </c>
      <c r="DA343" s="399">
        <v>0</v>
      </c>
      <c r="DB343" s="399">
        <v>0</v>
      </c>
      <c r="DC343" s="399">
        <v>48.032292476346811</v>
      </c>
      <c r="DD343" s="399">
        <v>0</v>
      </c>
      <c r="DE343" s="399">
        <v>0</v>
      </c>
      <c r="DF343" s="399">
        <v>0</v>
      </c>
      <c r="DG343" s="399">
        <v>5.3739894670915476</v>
      </c>
      <c r="DH343" s="399">
        <v>0</v>
      </c>
      <c r="DI343" s="399">
        <v>-77.587250146581255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-10.263025267721886</v>
      </c>
      <c r="DP343" s="399">
        <v>-1.444111759255799</v>
      </c>
      <c r="DQ343" s="399">
        <v>0</v>
      </c>
      <c r="DR343" s="399">
        <v>0</v>
      </c>
      <c r="DS343" s="399"/>
      <c r="DT343" s="399"/>
      <c r="DU343" s="399"/>
      <c r="DV343" s="399">
        <v>2729.9368713543276</v>
      </c>
      <c r="DW343" s="399">
        <v>0</v>
      </c>
      <c r="DX343" s="399">
        <v>0</v>
      </c>
      <c r="DY343" s="399">
        <v>-171.82024999999976</v>
      </c>
      <c r="DZ343" s="399">
        <v>48.033999999999878</v>
      </c>
      <c r="EA343" s="399">
        <v>0</v>
      </c>
      <c r="EB343" s="399">
        <v>0</v>
      </c>
      <c r="EC343" s="399">
        <v>-122.9487961512209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225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957</v>
      </c>
      <c r="C344" s="399" t="s">
        <v>2357</v>
      </c>
      <c r="D344" s="399" t="s">
        <v>2369</v>
      </c>
      <c r="E344" s="399" t="s">
        <v>895</v>
      </c>
      <c r="F344" s="399" t="s">
        <v>2376</v>
      </c>
      <c r="G344" s="399" t="s">
        <v>2378</v>
      </c>
      <c r="H344" s="399" t="s">
        <v>1240</v>
      </c>
      <c r="I344" s="399" t="s">
        <v>1240</v>
      </c>
      <c r="J344" s="399" t="s">
        <v>2358</v>
      </c>
      <c r="K344" s="789">
        <v>44621</v>
      </c>
      <c r="L344" s="399">
        <v>0</v>
      </c>
      <c r="M344" s="399">
        <v>0</v>
      </c>
      <c r="N344" s="399">
        <v>0.876</v>
      </c>
      <c r="O344" s="399">
        <v>0.35039999999999999</v>
      </c>
      <c r="P344" s="399">
        <v>0.876</v>
      </c>
      <c r="Q344" s="399">
        <v>0.35039999999999999</v>
      </c>
      <c r="R344" s="399"/>
      <c r="S344" s="399">
        <v>522.37</v>
      </c>
      <c r="T344" s="399">
        <v>144.41999999999999</v>
      </c>
      <c r="U344" s="399"/>
      <c r="V344" s="399">
        <v>584.10803999999996</v>
      </c>
      <c r="W344" s="399">
        <v>584.10803999999996</v>
      </c>
      <c r="X344" s="399">
        <v>570.92424000000005</v>
      </c>
      <c r="Y344" s="399">
        <v>0</v>
      </c>
      <c r="Z344" s="399">
        <v>53.787254481126752</v>
      </c>
      <c r="AA344" s="399">
        <v>0</v>
      </c>
      <c r="AB344" s="399">
        <v>0</v>
      </c>
      <c r="AC344" s="399">
        <v>0</v>
      </c>
      <c r="AD344" s="399">
        <v>89.320160431539918</v>
      </c>
      <c r="AE344" s="399">
        <v>290.75072331992601</v>
      </c>
      <c r="AF344" s="399">
        <v>126.51351750030572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8.3068939520049874</v>
      </c>
      <c r="AM344" s="399"/>
      <c r="AN344" s="399">
        <v>1.2744531466235132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14.154692092329926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/>
      <c r="BR344" s="399"/>
      <c r="BS344" s="399">
        <v>369.95582400000006</v>
      </c>
      <c r="BT344" s="399"/>
      <c r="BU344" s="399"/>
      <c r="BV344" s="399">
        <v>140.66820959263566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200.73899999999998</v>
      </c>
      <c r="CJ344" s="399">
        <v>-4.8952079999999683</v>
      </c>
      <c r="CK344" s="399"/>
      <c r="CL344" s="399"/>
      <c r="CM344" s="399"/>
      <c r="CN344" s="399"/>
      <c r="CO344" s="399">
        <v>-18.299639999999989</v>
      </c>
      <c r="CP344" s="399">
        <v>5.1158400000000031</v>
      </c>
      <c r="CQ344" s="399">
        <v>31</v>
      </c>
      <c r="CR344" s="399">
        <v>-8.4077389790650159E-2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3.738169440797364</v>
      </c>
      <c r="DA344" s="399">
        <v>0</v>
      </c>
      <c r="DB344" s="399">
        <v>0</v>
      </c>
      <c r="DC344" s="399">
        <v>5.1156581409458539</v>
      </c>
      <c r="DD344" s="399">
        <v>0</v>
      </c>
      <c r="DE344" s="399">
        <v>0</v>
      </c>
      <c r="DF344" s="399">
        <v>0</v>
      </c>
      <c r="DG344" s="399">
        <v>0.57235437971698566</v>
      </c>
      <c r="DH344" s="399">
        <v>0</v>
      </c>
      <c r="DI344" s="399">
        <v>-8.2633958818729738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-1.0930589829208968</v>
      </c>
      <c r="DP344" s="399">
        <v>-0.15380448645690925</v>
      </c>
      <c r="DQ344" s="399">
        <v>0</v>
      </c>
      <c r="DR344" s="399">
        <v>0</v>
      </c>
      <c r="DS344" s="399"/>
      <c r="DT344" s="399"/>
      <c r="DU344" s="399"/>
      <c r="DV344" s="399">
        <v>290.75072331992601</v>
      </c>
      <c r="DW344" s="399">
        <v>0</v>
      </c>
      <c r="DX344" s="399">
        <v>0</v>
      </c>
      <c r="DY344" s="399">
        <v>-18.299639999999954</v>
      </c>
      <c r="DZ344" s="399">
        <v>5.1158400000000057</v>
      </c>
      <c r="EA344" s="399">
        <v>0</v>
      </c>
      <c r="EB344" s="399">
        <v>0</v>
      </c>
      <c r="EC344" s="399">
        <v>-13.094607346926409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225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343</v>
      </c>
      <c r="B345" s="399" t="s">
        <v>957</v>
      </c>
      <c r="C345" s="399" t="s">
        <v>2357</v>
      </c>
      <c r="D345" s="399" t="s">
        <v>1823</v>
      </c>
      <c r="E345" s="399" t="s">
        <v>890</v>
      </c>
      <c r="F345" s="399" t="s">
        <v>890</v>
      </c>
      <c r="G345" s="399" t="s">
        <v>1240</v>
      </c>
      <c r="H345" s="399" t="s">
        <v>1240</v>
      </c>
      <c r="I345" s="399" t="s">
        <v>1240</v>
      </c>
      <c r="J345" s="399" t="s">
        <v>2358</v>
      </c>
      <c r="K345" s="789">
        <v>44652</v>
      </c>
      <c r="L345" s="399">
        <v>0</v>
      </c>
      <c r="M345" s="399">
        <v>0</v>
      </c>
      <c r="N345" s="399">
        <v>2415.0230000000001</v>
      </c>
      <c r="O345" s="399">
        <v>2415.0230000000001</v>
      </c>
      <c r="P345" s="399">
        <v>2415.0230000000001</v>
      </c>
      <c r="Q345" s="399">
        <v>2415.0230000000001</v>
      </c>
      <c r="R345" s="399"/>
      <c r="S345" s="399">
        <v>522.37</v>
      </c>
      <c r="T345" s="399">
        <v>144.41999999999999</v>
      </c>
      <c r="U345" s="399"/>
      <c r="V345" s="399">
        <v>1610313.1861700001</v>
      </c>
      <c r="W345" s="399">
        <v>1610313.1861700001</v>
      </c>
      <c r="X345" s="399">
        <v>1573967.09002</v>
      </c>
      <c r="Y345" s="399">
        <v>0</v>
      </c>
      <c r="Z345" s="399">
        <v>148284.76789814403</v>
      </c>
      <c r="AA345" s="399">
        <v>0</v>
      </c>
      <c r="AB345" s="399">
        <v>0</v>
      </c>
      <c r="AC345" s="399">
        <v>0</v>
      </c>
      <c r="AD345" s="399">
        <v>246244.56827152835</v>
      </c>
      <c r="AE345" s="399">
        <v>801563.56630623026</v>
      </c>
      <c r="AF345" s="399">
        <v>348782.02576956718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22901.073005311577</v>
      </c>
      <c r="AM345" s="399"/>
      <c r="AN345" s="399">
        <v>3513.508746025293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39022.724841204217</v>
      </c>
      <c r="BH345" s="399">
        <v>0</v>
      </c>
      <c r="BI345" s="399">
        <v>533.86</v>
      </c>
      <c r="BJ345" s="399">
        <v>2480.34</v>
      </c>
      <c r="BK345" s="399">
        <v>336384.35</v>
      </c>
      <c r="BL345" s="399">
        <v>12000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387804.75061077141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1573965.1347999999</v>
      </c>
      <c r="CJ345" s="399">
        <v>-36348.081370000262</v>
      </c>
      <c r="CK345" s="399"/>
      <c r="CL345" s="399"/>
      <c r="CM345" s="399"/>
      <c r="CN345" s="399"/>
      <c r="CO345" s="399">
        <v>-50449.830469999972</v>
      </c>
      <c r="CP345" s="399">
        <v>14103.734320000009</v>
      </c>
      <c r="CQ345" s="399">
        <v>30</v>
      </c>
      <c r="CR345" s="399">
        <v>-231.79090196813922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10305.668010756577</v>
      </c>
      <c r="DA345" s="399">
        <v>0</v>
      </c>
      <c r="DB345" s="399">
        <v>0</v>
      </c>
      <c r="DC345" s="399">
        <v>14103.232957216329</v>
      </c>
      <c r="DD345" s="399">
        <v>0</v>
      </c>
      <c r="DE345" s="399">
        <v>0</v>
      </c>
      <c r="DF345" s="399">
        <v>0</v>
      </c>
      <c r="DG345" s="399">
        <v>1577.909807268552</v>
      </c>
      <c r="DH345" s="399">
        <v>0</v>
      </c>
      <c r="DI345" s="399">
        <v>-22781.154238388699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-3013.4276074321606</v>
      </c>
      <c r="DP345" s="399">
        <v>-424.01983138884088</v>
      </c>
      <c r="DQ345" s="399">
        <v>0</v>
      </c>
      <c r="DR345" s="399">
        <v>0</v>
      </c>
      <c r="DS345" s="399"/>
      <c r="DT345" s="399"/>
      <c r="DU345" s="399"/>
      <c r="DV345" s="399">
        <v>801563.56630623026</v>
      </c>
      <c r="DW345" s="399">
        <v>0</v>
      </c>
      <c r="DX345" s="399">
        <v>0</v>
      </c>
      <c r="DY345" s="399">
        <v>-50449.830470000161</v>
      </c>
      <c r="DZ345" s="399">
        <v>14103.734319999989</v>
      </c>
      <c r="EA345" s="399">
        <v>0</v>
      </c>
      <c r="EB345" s="399">
        <v>0</v>
      </c>
      <c r="EC345" s="399">
        <v>-36100.203103648731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225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344</v>
      </c>
      <c r="B346" s="399" t="s">
        <v>2359</v>
      </c>
      <c r="C346" s="399" t="s">
        <v>2357</v>
      </c>
      <c r="D346" s="399" t="s">
        <v>1823</v>
      </c>
      <c r="E346" s="399" t="s">
        <v>890</v>
      </c>
      <c r="F346" s="399" t="s">
        <v>890</v>
      </c>
      <c r="G346" s="399" t="s">
        <v>1240</v>
      </c>
      <c r="H346" s="399" t="s">
        <v>1240</v>
      </c>
      <c r="I346" s="399" t="s">
        <v>1240</v>
      </c>
      <c r="J346" s="399" t="s">
        <v>2358</v>
      </c>
      <c r="K346" s="789">
        <v>44652</v>
      </c>
      <c r="L346" s="399">
        <v>0</v>
      </c>
      <c r="M346" s="399">
        <v>0</v>
      </c>
      <c r="N346" s="399">
        <v>-2.2850000000000001</v>
      </c>
      <c r="O346" s="399">
        <v>-2.2850000000000001</v>
      </c>
      <c r="P346" s="399">
        <v>-2.2850000000000001</v>
      </c>
      <c r="Q346" s="399">
        <v>-2.2850000000000001</v>
      </c>
      <c r="R346" s="399"/>
      <c r="S346" s="399">
        <v>522.37</v>
      </c>
      <c r="T346" s="399">
        <v>144.41999999999999</v>
      </c>
      <c r="U346" s="399"/>
      <c r="V346" s="399">
        <v>-1523.6151500000001</v>
      </c>
      <c r="W346" s="399">
        <v>-1523.6151500000001</v>
      </c>
      <c r="X346" s="399">
        <v>-1489.2259000000001</v>
      </c>
      <c r="Y346" s="399">
        <v>0</v>
      </c>
      <c r="Z346" s="399">
        <v>-140.30122886914913</v>
      </c>
      <c r="AA346" s="399">
        <v>0</v>
      </c>
      <c r="AB346" s="399">
        <v>0</v>
      </c>
      <c r="AC346" s="399">
        <v>0</v>
      </c>
      <c r="AD346" s="399">
        <v>-232.98694815761269</v>
      </c>
      <c r="AE346" s="399">
        <v>-758.40799404798054</v>
      </c>
      <c r="AF346" s="399">
        <v>-330.00386699566053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-21.668096667044974</v>
      </c>
      <c r="AM346" s="399"/>
      <c r="AN346" s="399">
        <v>-3.3243441096286848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-36.921771039924522</v>
      </c>
      <c r="BH346" s="399">
        <v>0</v>
      </c>
      <c r="BI346" s="399">
        <v>0</v>
      </c>
      <c r="BJ346" s="399">
        <v>0</v>
      </c>
      <c r="BK346" s="399">
        <v>-403.81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-366.92563803558505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-1492.4846</v>
      </c>
      <c r="CJ346" s="399">
        <v>31.100550000000112</v>
      </c>
      <c r="CK346" s="399"/>
      <c r="CL346" s="399"/>
      <c r="CM346" s="399"/>
      <c r="CN346" s="399"/>
      <c r="CO346" s="399">
        <v>47.733649999999969</v>
      </c>
      <c r="CP346" s="399">
        <v>-13.344400000000009</v>
      </c>
      <c r="CQ346" s="399">
        <v>30</v>
      </c>
      <c r="CR346" s="399">
        <v>0.21931145624614601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-9.7508186897510996</v>
      </c>
      <c r="DA346" s="399">
        <v>0</v>
      </c>
      <c r="DB346" s="399">
        <v>0</v>
      </c>
      <c r="DC346" s="399">
        <v>-13.343925630206911</v>
      </c>
      <c r="DD346" s="399">
        <v>0</v>
      </c>
      <c r="DE346" s="399">
        <v>0</v>
      </c>
      <c r="DF346" s="399">
        <v>0</v>
      </c>
      <c r="DG346" s="399">
        <v>-1.4929563443530967</v>
      </c>
      <c r="DH346" s="399">
        <v>0</v>
      </c>
      <c r="DI346" s="399">
        <v>21.554634235250859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2.8511869588747132</v>
      </c>
      <c r="DP346" s="399">
        <v>0.4011909264315503</v>
      </c>
      <c r="DQ346" s="399">
        <v>0</v>
      </c>
      <c r="DR346" s="399">
        <v>0</v>
      </c>
      <c r="DS346" s="399"/>
      <c r="DT346" s="399"/>
      <c r="DU346" s="399"/>
      <c r="DV346" s="399">
        <v>-758.40799404798054</v>
      </c>
      <c r="DW346" s="399">
        <v>0</v>
      </c>
      <c r="DX346" s="399">
        <v>0</v>
      </c>
      <c r="DY346" s="399">
        <v>47.733649999999898</v>
      </c>
      <c r="DZ346" s="399">
        <v>-13.344400000000007</v>
      </c>
      <c r="EA346" s="399">
        <v>0</v>
      </c>
      <c r="EB346" s="399">
        <v>0</v>
      </c>
      <c r="EC346" s="399">
        <v>34.156595648090047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225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345</v>
      </c>
      <c r="B347" s="399" t="s">
        <v>2360</v>
      </c>
      <c r="C347" s="399" t="s">
        <v>2357</v>
      </c>
      <c r="D347" s="399" t="s">
        <v>1823</v>
      </c>
      <c r="E347" s="399" t="s">
        <v>890</v>
      </c>
      <c r="F347" s="399" t="s">
        <v>890</v>
      </c>
      <c r="G347" s="399" t="s">
        <v>1240</v>
      </c>
      <c r="H347" s="399" t="s">
        <v>1240</v>
      </c>
      <c r="I347" s="399" t="s">
        <v>1240</v>
      </c>
      <c r="J347" s="399" t="s">
        <v>2358</v>
      </c>
      <c r="K347" s="789">
        <v>44652</v>
      </c>
      <c r="L347" s="399">
        <v>0</v>
      </c>
      <c r="M347" s="399">
        <v>0</v>
      </c>
      <c r="N347" s="399">
        <v>11.023</v>
      </c>
      <c r="O347" s="399">
        <v>11.023</v>
      </c>
      <c r="P347" s="399">
        <v>11.023</v>
      </c>
      <c r="Q347" s="399">
        <v>11.023</v>
      </c>
      <c r="R347" s="399"/>
      <c r="S347" s="399">
        <v>522.37</v>
      </c>
      <c r="T347" s="399">
        <v>144.41999999999999</v>
      </c>
      <c r="U347" s="399"/>
      <c r="V347" s="399">
        <v>7350.0261699999992</v>
      </c>
      <c r="W347" s="399">
        <v>7350.0261699999992</v>
      </c>
      <c r="X347" s="399">
        <v>7184.1300200000005</v>
      </c>
      <c r="Y347" s="399">
        <v>0</v>
      </c>
      <c r="Z347" s="399">
        <v>676.82295222084497</v>
      </c>
      <c r="AA347" s="399">
        <v>0</v>
      </c>
      <c r="AB347" s="399">
        <v>0</v>
      </c>
      <c r="AC347" s="399">
        <v>0</v>
      </c>
      <c r="AD347" s="399">
        <v>1123.9453520968773</v>
      </c>
      <c r="AE347" s="399">
        <v>3658.6132684424019</v>
      </c>
      <c r="AF347" s="399">
        <v>1591.961761878847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104.52841556272942</v>
      </c>
      <c r="AM347" s="399"/>
      <c r="AN347" s="399">
        <v>16.036868761679209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178.11320882848489</v>
      </c>
      <c r="BH347" s="399">
        <v>0</v>
      </c>
      <c r="BI347" s="399">
        <v>2.08</v>
      </c>
      <c r="BJ347" s="399">
        <v>9.64</v>
      </c>
      <c r="BK347" s="399">
        <v>5713.75</v>
      </c>
      <c r="BL347" s="399">
        <v>97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1770.0749707073319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7182.1747999999989</v>
      </c>
      <c r="CJ347" s="399">
        <v>-167.88137000000097</v>
      </c>
      <c r="CK347" s="399"/>
      <c r="CL347" s="399"/>
      <c r="CM347" s="399"/>
      <c r="CN347" s="399"/>
      <c r="CO347" s="399">
        <v>-230.27046999999985</v>
      </c>
      <c r="CP347" s="399">
        <v>64.37432000000004</v>
      </c>
      <c r="CQ347" s="399">
        <v>30</v>
      </c>
      <c r="CR347" s="399">
        <v>-1.0579738215319594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47.03863213003342</v>
      </c>
      <c r="DA347" s="399">
        <v>0</v>
      </c>
      <c r="DB347" s="399">
        <v>0</v>
      </c>
      <c r="DC347" s="399">
        <v>64.372031606902056</v>
      </c>
      <c r="DD347" s="399">
        <v>0</v>
      </c>
      <c r="DE347" s="399">
        <v>0</v>
      </c>
      <c r="DF347" s="399">
        <v>0</v>
      </c>
      <c r="DG347" s="399">
        <v>7.2021259447720638</v>
      </c>
      <c r="DH347" s="399">
        <v>0</v>
      </c>
      <c r="DI347" s="399">
        <v>-103.98106484690163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-13.754325535087943</v>
      </c>
      <c r="DP347" s="399">
        <v>-1.9353731212494445</v>
      </c>
      <c r="DQ347" s="399">
        <v>0</v>
      </c>
      <c r="DR347" s="399">
        <v>0</v>
      </c>
      <c r="DS347" s="399"/>
      <c r="DT347" s="399"/>
      <c r="DU347" s="399"/>
      <c r="DV347" s="399">
        <v>3658.6132684424019</v>
      </c>
      <c r="DW347" s="399">
        <v>0</v>
      </c>
      <c r="DX347" s="399">
        <v>0</v>
      </c>
      <c r="DY347" s="399">
        <v>-230.27046999999948</v>
      </c>
      <c r="DZ347" s="399">
        <v>64.374320000000125</v>
      </c>
      <c r="EA347" s="399">
        <v>0</v>
      </c>
      <c r="EB347" s="399">
        <v>0</v>
      </c>
      <c r="EC347" s="399">
        <v>-164.77380911549062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225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346</v>
      </c>
      <c r="B348" s="399" t="s">
        <v>2360</v>
      </c>
      <c r="C348" s="399" t="s">
        <v>2357</v>
      </c>
      <c r="D348" s="399" t="s">
        <v>1823</v>
      </c>
      <c r="E348" s="399" t="s">
        <v>890</v>
      </c>
      <c r="F348" s="399" t="s">
        <v>890</v>
      </c>
      <c r="G348" s="399" t="s">
        <v>1240</v>
      </c>
      <c r="H348" s="399" t="s">
        <v>1240</v>
      </c>
      <c r="I348" s="399" t="s">
        <v>1240</v>
      </c>
      <c r="J348" s="399" t="s">
        <v>2358</v>
      </c>
      <c r="K348" s="789">
        <v>44652</v>
      </c>
      <c r="L348" s="399">
        <v>0</v>
      </c>
      <c r="M348" s="399">
        <v>0</v>
      </c>
      <c r="N348" s="399">
        <v>0</v>
      </c>
      <c r="O348" s="399">
        <v>0</v>
      </c>
      <c r="P348" s="399">
        <v>0</v>
      </c>
      <c r="Q348" s="399">
        <v>0</v>
      </c>
      <c r="R348" s="399"/>
      <c r="S348" s="399"/>
      <c r="T348" s="399"/>
      <c r="U348" s="399"/>
      <c r="V348" s="399"/>
      <c r="W348" s="399"/>
      <c r="X348" s="399"/>
      <c r="Y348" s="399"/>
      <c r="Z348" s="399"/>
      <c r="AA348" s="399">
        <v>0</v>
      </c>
      <c r="AB348" s="399"/>
      <c r="AC348" s="399"/>
      <c r="AD348" s="399"/>
      <c r="AE348" s="399"/>
      <c r="AF348" s="399"/>
      <c r="AG348" s="399"/>
      <c r="AH348" s="399"/>
      <c r="AI348" s="399"/>
      <c r="AJ348" s="399"/>
      <c r="AK348" s="399"/>
      <c r="AL348" s="399"/>
      <c r="AM348" s="399"/>
      <c r="AN348" s="399"/>
      <c r="AO348" s="399"/>
      <c r="AP348" s="399"/>
      <c r="AQ348" s="399"/>
      <c r="AR348" s="399"/>
      <c r="AS348" s="399"/>
      <c r="AT348" s="399"/>
      <c r="AU348" s="399"/>
      <c r="AV348" s="399"/>
      <c r="AW348" s="399"/>
      <c r="AX348" s="399"/>
      <c r="AY348" s="399"/>
      <c r="AZ348" s="399">
        <v>0</v>
      </c>
      <c r="BA348" s="399"/>
      <c r="BB348" s="399"/>
      <c r="BC348" s="399"/>
      <c r="BD348" s="399"/>
      <c r="BE348" s="399"/>
      <c r="BF348" s="399"/>
      <c r="BG348" s="399"/>
      <c r="BH348" s="399"/>
      <c r="BI348" s="399">
        <v>0</v>
      </c>
      <c r="BJ348" s="399">
        <v>0</v>
      </c>
      <c r="BK348" s="399">
        <v>0</v>
      </c>
      <c r="BL348" s="399">
        <v>2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/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/>
      <c r="CJ348" s="399">
        <v>-0.03</v>
      </c>
      <c r="CK348" s="399"/>
      <c r="CL348" s="399"/>
      <c r="CM348" s="399"/>
      <c r="CN348" s="399"/>
      <c r="CO348" s="399">
        <v>0</v>
      </c>
      <c r="CP348" s="399">
        <v>0</v>
      </c>
      <c r="CQ348" s="399">
        <v>30</v>
      </c>
      <c r="CR348" s="399"/>
      <c r="CS348" s="399"/>
      <c r="CT348" s="399"/>
      <c r="CU348" s="399"/>
      <c r="CV348" s="399"/>
      <c r="CW348" s="399"/>
      <c r="CX348" s="399"/>
      <c r="CY348" s="399"/>
      <c r="CZ348" s="399"/>
      <c r="DA348" s="399"/>
      <c r="DB348" s="399"/>
      <c r="DC348" s="399"/>
      <c r="DD348" s="399"/>
      <c r="DE348" s="399"/>
      <c r="DF348" s="399"/>
      <c r="DG348" s="399"/>
      <c r="DH348" s="399"/>
      <c r="DI348" s="399"/>
      <c r="DJ348" s="399"/>
      <c r="DK348" s="399">
        <v>0</v>
      </c>
      <c r="DL348" s="399"/>
      <c r="DM348" s="399"/>
      <c r="DN348" s="399"/>
      <c r="DO348" s="399"/>
      <c r="DP348" s="399"/>
      <c r="DQ348" s="399"/>
      <c r="DR348" s="399"/>
      <c r="DS348" s="399"/>
      <c r="DT348" s="399"/>
      <c r="DU348" s="399"/>
      <c r="DV348" s="399"/>
      <c r="DW348" s="399"/>
      <c r="DX348" s="399"/>
      <c r="DY348" s="399"/>
      <c r="DZ348" s="399"/>
      <c r="EA348" s="399"/>
      <c r="EB348" s="399"/>
      <c r="EC348" s="399"/>
      <c r="ED348" s="399"/>
      <c r="EE348" s="399"/>
      <c r="EF348" s="399"/>
      <c r="EG348" s="399"/>
      <c r="EH348" s="399"/>
      <c r="EI348" s="399"/>
      <c r="EJ348" s="399"/>
      <c r="EK348" s="399"/>
      <c r="EL348" s="399"/>
      <c r="EM348" s="399"/>
      <c r="EN348" s="399"/>
      <c r="EO348" s="399"/>
      <c r="EP348" s="399"/>
      <c r="EQ348" s="399"/>
      <c r="ER348" s="399"/>
      <c r="ES348" s="399"/>
      <c r="ET348" s="399"/>
      <c r="EU348" s="399"/>
      <c r="EV348" s="399">
        <v>225</v>
      </c>
      <c r="EW348" s="399"/>
      <c r="EX348" s="399"/>
      <c r="EY348" s="399"/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347</v>
      </c>
      <c r="B349" s="399" t="s">
        <v>957</v>
      </c>
      <c r="C349" s="399" t="s">
        <v>2357</v>
      </c>
      <c r="D349" s="399" t="s">
        <v>1823</v>
      </c>
      <c r="E349" s="399" t="s">
        <v>890</v>
      </c>
      <c r="F349" s="399" t="s">
        <v>2361</v>
      </c>
      <c r="G349" s="399" t="s">
        <v>1240</v>
      </c>
      <c r="H349" s="399" t="s">
        <v>1240</v>
      </c>
      <c r="I349" s="399" t="s">
        <v>1240</v>
      </c>
      <c r="J349" s="399" t="s">
        <v>2358</v>
      </c>
      <c r="K349" s="789">
        <v>44652</v>
      </c>
      <c r="L349" s="399">
        <v>0</v>
      </c>
      <c r="M349" s="399">
        <v>0</v>
      </c>
      <c r="N349" s="399">
        <v>16.71</v>
      </c>
      <c r="O349" s="399">
        <v>16.71</v>
      </c>
      <c r="P349" s="399">
        <v>16.71</v>
      </c>
      <c r="Q349" s="399">
        <v>16.71</v>
      </c>
      <c r="R349" s="399"/>
      <c r="S349" s="399">
        <v>451.48</v>
      </c>
      <c r="T349" s="399">
        <v>144.41999999999999</v>
      </c>
      <c r="U349" s="399"/>
      <c r="V349" s="399">
        <v>9957.4889999999996</v>
      </c>
      <c r="W349" s="399">
        <v>9957.4889999999996</v>
      </c>
      <c r="X349" s="399">
        <v>9884.6334000000006</v>
      </c>
      <c r="Y349" s="399">
        <v>0</v>
      </c>
      <c r="Z349" s="399">
        <v>0</v>
      </c>
      <c r="AA349" s="399">
        <v>0</v>
      </c>
      <c r="AB349" s="399">
        <v>0</v>
      </c>
      <c r="AC349" s="399">
        <v>0</v>
      </c>
      <c r="AD349" s="399">
        <v>1703.812649327662</v>
      </c>
      <c r="AE349" s="399">
        <v>5546.1696194931092</v>
      </c>
      <c r="AF349" s="399">
        <v>2413.2886728654212</v>
      </c>
      <c r="AG349" s="399">
        <v>0</v>
      </c>
      <c r="AH349" s="399">
        <v>0</v>
      </c>
      <c r="AI349" s="399">
        <v>0</v>
      </c>
      <c r="AJ349" s="399">
        <v>0</v>
      </c>
      <c r="AK349" s="399">
        <v>0</v>
      </c>
      <c r="AL349" s="399">
        <v>0</v>
      </c>
      <c r="AM349" s="399"/>
      <c r="AN349" s="399">
        <v>24.31063022840058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270.00559915848521</v>
      </c>
      <c r="BH349" s="399">
        <v>0</v>
      </c>
      <c r="BI349" s="399">
        <v>0.92</v>
      </c>
      <c r="BJ349" s="399">
        <v>4.08</v>
      </c>
      <c r="BK349" s="399">
        <v>418.25</v>
      </c>
      <c r="BL349" s="399">
        <v>9</v>
      </c>
      <c r="BM349" s="399"/>
      <c r="BN349" s="399"/>
      <c r="BO349" s="399"/>
      <c r="BP349" s="399"/>
      <c r="BQ349" s="399"/>
      <c r="BR349" s="399"/>
      <c r="BS349" s="399"/>
      <c r="BT349" s="399">
        <v>6424.9949999999999</v>
      </c>
      <c r="BU349" s="399"/>
      <c r="BV349" s="399">
        <v>2683.2942720239062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3459.6384000000003</v>
      </c>
      <c r="CJ349" s="399">
        <v>-25.596300000001065</v>
      </c>
      <c r="CK349" s="399"/>
      <c r="CL349" s="399"/>
      <c r="CM349" s="399"/>
      <c r="CN349" s="399"/>
      <c r="CO349" s="399">
        <v>-170.44200000000077</v>
      </c>
      <c r="CP349" s="399">
        <v>97.586400000000069</v>
      </c>
      <c r="CQ349" s="399">
        <v>30</v>
      </c>
      <c r="CR349" s="399">
        <v>176.87377580742577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71.306862278223662</v>
      </c>
      <c r="DA349" s="399">
        <v>0</v>
      </c>
      <c r="DB349" s="399">
        <v>0</v>
      </c>
      <c r="DC349" s="399">
        <v>97.58293097626165</v>
      </c>
      <c r="DD349" s="399">
        <v>0</v>
      </c>
      <c r="DE349" s="399">
        <v>0</v>
      </c>
      <c r="DF349" s="399">
        <v>0</v>
      </c>
      <c r="DG349" s="399">
        <v>10.917855804875387</v>
      </c>
      <c r="DH349" s="399">
        <v>0</v>
      </c>
      <c r="DI349" s="399">
        <v>0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0</v>
      </c>
      <c r="DP349" s="399">
        <v>-2.9338732519348838</v>
      </c>
      <c r="DQ349" s="399">
        <v>0</v>
      </c>
      <c r="DR349" s="399">
        <v>0</v>
      </c>
      <c r="DS349" s="399"/>
      <c r="DT349" s="399"/>
      <c r="DU349" s="399"/>
      <c r="DV349" s="399">
        <v>5546.1696194931092</v>
      </c>
      <c r="DW349" s="399">
        <v>0</v>
      </c>
      <c r="DX349" s="399">
        <v>0</v>
      </c>
      <c r="DY349" s="399">
        <v>-170.44200000000001</v>
      </c>
      <c r="DZ349" s="399">
        <v>97.58640000000014</v>
      </c>
      <c r="EA349" s="399">
        <v>0</v>
      </c>
      <c r="EB349" s="399">
        <v>0</v>
      </c>
      <c r="EC349" s="399">
        <v>-249.78411959719233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225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348</v>
      </c>
      <c r="B350" s="399" t="s">
        <v>957</v>
      </c>
      <c r="C350" s="399" t="s">
        <v>2357</v>
      </c>
      <c r="D350" s="399" t="s">
        <v>1823</v>
      </c>
      <c r="E350" s="399" t="s">
        <v>890</v>
      </c>
      <c r="F350" s="399" t="s">
        <v>2362</v>
      </c>
      <c r="G350" s="399" t="s">
        <v>1240</v>
      </c>
      <c r="H350" s="399" t="s">
        <v>1240</v>
      </c>
      <c r="I350" s="399" t="s">
        <v>1240</v>
      </c>
      <c r="J350" s="399" t="s">
        <v>2358</v>
      </c>
      <c r="K350" s="789">
        <v>44652</v>
      </c>
      <c r="L350" s="399">
        <v>0</v>
      </c>
      <c r="M350" s="399">
        <v>0</v>
      </c>
      <c r="N350" s="399">
        <v>37.302</v>
      </c>
      <c r="O350" s="399">
        <v>37.302</v>
      </c>
      <c r="P350" s="399">
        <v>37.302</v>
      </c>
      <c r="Q350" s="399">
        <v>37.302</v>
      </c>
      <c r="R350" s="399"/>
      <c r="S350" s="399">
        <v>451.48</v>
      </c>
      <c r="T350" s="399">
        <v>144.41999999999999</v>
      </c>
      <c r="U350" s="399"/>
      <c r="V350" s="399">
        <v>22228.2618</v>
      </c>
      <c r="W350" s="399">
        <v>22228.2618</v>
      </c>
      <c r="X350" s="399">
        <v>22065.625079999998</v>
      </c>
      <c r="Y350" s="399">
        <v>0</v>
      </c>
      <c r="Z350" s="399">
        <v>0</v>
      </c>
      <c r="AA350" s="399">
        <v>0</v>
      </c>
      <c r="AB350" s="399">
        <v>0</v>
      </c>
      <c r="AC350" s="399">
        <v>0</v>
      </c>
      <c r="AD350" s="399">
        <v>3803.448201389614</v>
      </c>
      <c r="AE350" s="399">
        <v>12380.80306082178</v>
      </c>
      <c r="AF350" s="399">
        <v>5387.2228650643883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0</v>
      </c>
      <c r="AM350" s="399"/>
      <c r="AN350" s="399">
        <v>54.26900830519439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602.7378132740763</v>
      </c>
      <c r="BH350" s="399">
        <v>0</v>
      </c>
      <c r="BI350" s="399">
        <v>3.48</v>
      </c>
      <c r="BJ350" s="399">
        <v>16.059999999999999</v>
      </c>
      <c r="BK350" s="399">
        <v>1601.78</v>
      </c>
      <c r="BL350" s="399">
        <v>50</v>
      </c>
      <c r="BM350" s="399"/>
      <c r="BN350" s="399"/>
      <c r="BO350" s="399"/>
      <c r="BP350" s="399"/>
      <c r="BQ350" s="399"/>
      <c r="BR350" s="399"/>
      <c r="BS350" s="399"/>
      <c r="BT350" s="399">
        <v>8826.0262199999997</v>
      </c>
      <c r="BU350" s="399"/>
      <c r="BV350" s="399">
        <v>5989.9606783384643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13238.888999999997</v>
      </c>
      <c r="CJ350" s="399">
        <v>-98.098080000003392</v>
      </c>
      <c r="CK350" s="399"/>
      <c r="CL350" s="399"/>
      <c r="CM350" s="399"/>
      <c r="CN350" s="399"/>
      <c r="CO350" s="399">
        <v>-380.48040000000168</v>
      </c>
      <c r="CP350" s="399">
        <v>217.84368000000012</v>
      </c>
      <c r="CQ350" s="399">
        <v>30</v>
      </c>
      <c r="CR350" s="399">
        <v>394.83815590476479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159.17944803724095</v>
      </c>
      <c r="DA350" s="399">
        <v>0</v>
      </c>
      <c r="DB350" s="399">
        <v>0</v>
      </c>
      <c r="DC350" s="399">
        <v>217.83593604287944</v>
      </c>
      <c r="DD350" s="399">
        <v>0</v>
      </c>
      <c r="DE350" s="399">
        <v>0</v>
      </c>
      <c r="DF350" s="399">
        <v>0</v>
      </c>
      <c r="DG350" s="399">
        <v>24.372103963702102</v>
      </c>
      <c r="DH350" s="399">
        <v>0</v>
      </c>
      <c r="DI350" s="399">
        <v>0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0</v>
      </c>
      <c r="DP350" s="399">
        <v>-6.5493321390589401</v>
      </c>
      <c r="DQ350" s="399">
        <v>0</v>
      </c>
      <c r="DR350" s="399">
        <v>0</v>
      </c>
      <c r="DS350" s="399"/>
      <c r="DT350" s="399"/>
      <c r="DU350" s="399"/>
      <c r="DV350" s="399">
        <v>12380.80306082178</v>
      </c>
      <c r="DW350" s="399">
        <v>0</v>
      </c>
      <c r="DX350" s="399">
        <v>0</v>
      </c>
      <c r="DY350" s="399">
        <v>-380.48040000000037</v>
      </c>
      <c r="DZ350" s="399">
        <v>217.84367999999995</v>
      </c>
      <c r="EA350" s="399">
        <v>0</v>
      </c>
      <c r="EB350" s="399">
        <v>0</v>
      </c>
      <c r="EC350" s="399">
        <v>-557.59708134137873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225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349</v>
      </c>
      <c r="B351" s="399" t="s">
        <v>957</v>
      </c>
      <c r="C351" s="399" t="s">
        <v>2357</v>
      </c>
      <c r="D351" s="399" t="s">
        <v>1823</v>
      </c>
      <c r="E351" s="399" t="s">
        <v>890</v>
      </c>
      <c r="F351" s="399" t="s">
        <v>2363</v>
      </c>
      <c r="G351" s="399" t="s">
        <v>1240</v>
      </c>
      <c r="H351" s="399" t="s">
        <v>1240</v>
      </c>
      <c r="I351" s="399" t="s">
        <v>1240</v>
      </c>
      <c r="J351" s="399" t="s">
        <v>2358</v>
      </c>
      <c r="K351" s="789">
        <v>44652</v>
      </c>
      <c r="L351" s="399">
        <v>0</v>
      </c>
      <c r="M351" s="399">
        <v>0</v>
      </c>
      <c r="N351" s="399">
        <v>44.447000000000003</v>
      </c>
      <c r="O351" s="399">
        <v>44.447000000000003</v>
      </c>
      <c r="P351" s="399">
        <v>44.447000000000003</v>
      </c>
      <c r="Q351" s="399">
        <v>44.447000000000003</v>
      </c>
      <c r="R351" s="399"/>
      <c r="S351" s="399">
        <v>451.48</v>
      </c>
      <c r="T351" s="399">
        <v>144.41999999999999</v>
      </c>
      <c r="U351" s="399"/>
      <c r="V351" s="399">
        <v>26485.9673</v>
      </c>
      <c r="W351" s="399">
        <v>26485.9673</v>
      </c>
      <c r="X351" s="399">
        <v>26292.178379999998</v>
      </c>
      <c r="Y351" s="399">
        <v>0</v>
      </c>
      <c r="Z351" s="399">
        <v>0</v>
      </c>
      <c r="AA351" s="399">
        <v>0</v>
      </c>
      <c r="AB351" s="399">
        <v>0</v>
      </c>
      <c r="AC351" s="399">
        <v>0</v>
      </c>
      <c r="AD351" s="399">
        <v>4531.9785053660444</v>
      </c>
      <c r="AE351" s="399">
        <v>14752.280136302228</v>
      </c>
      <c r="AF351" s="399">
        <v>6419.116794904211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0</v>
      </c>
      <c r="AM351" s="399"/>
      <c r="AN351" s="399">
        <v>64.663948639241198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718.18904044268061</v>
      </c>
      <c r="BH351" s="399">
        <v>0</v>
      </c>
      <c r="BI351" s="399">
        <v>5.3</v>
      </c>
      <c r="BJ351" s="399">
        <v>24.97</v>
      </c>
      <c r="BK351" s="399">
        <v>4923.47</v>
      </c>
      <c r="BL351" s="399">
        <v>273</v>
      </c>
      <c r="BM351" s="399"/>
      <c r="BN351" s="399"/>
      <c r="BO351" s="399"/>
      <c r="BP351" s="399"/>
      <c r="BQ351" s="399"/>
      <c r="BR351" s="399"/>
      <c r="BS351" s="399"/>
      <c r="BT351" s="399">
        <v>2629.0400499999992</v>
      </c>
      <c r="BU351" s="399"/>
      <c r="BV351" s="399">
        <v>7137.3058353468914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23664.735500000003</v>
      </c>
      <c r="CJ351" s="399">
        <v>-173.10953999999401</v>
      </c>
      <c r="CK351" s="399"/>
      <c r="CL351" s="399"/>
      <c r="CM351" s="399"/>
      <c r="CN351" s="399"/>
      <c r="CO351" s="399">
        <v>-453.35940000000204</v>
      </c>
      <c r="CP351" s="399">
        <v>259.57048000000015</v>
      </c>
      <c r="CQ351" s="399">
        <v>30</v>
      </c>
      <c r="CR351" s="399">
        <v>470.46730779848258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189.6694259533333</v>
      </c>
      <c r="DA351" s="399">
        <v>0</v>
      </c>
      <c r="DB351" s="399">
        <v>0</v>
      </c>
      <c r="DC351" s="399">
        <v>259.56125272901954</v>
      </c>
      <c r="DD351" s="399">
        <v>0</v>
      </c>
      <c r="DE351" s="399">
        <v>0</v>
      </c>
      <c r="DF351" s="399">
        <v>0</v>
      </c>
      <c r="DG351" s="399">
        <v>29.040451044841234</v>
      </c>
      <c r="DH351" s="399">
        <v>0</v>
      </c>
      <c r="DI351" s="399">
        <v>0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0</v>
      </c>
      <c r="DP351" s="399">
        <v>-7.8038219287103274</v>
      </c>
      <c r="DQ351" s="399">
        <v>0</v>
      </c>
      <c r="DR351" s="399">
        <v>0</v>
      </c>
      <c r="DS351" s="399"/>
      <c r="DT351" s="399"/>
      <c r="DU351" s="399"/>
      <c r="DV351" s="399">
        <v>14752.280136302228</v>
      </c>
      <c r="DW351" s="399">
        <v>0</v>
      </c>
      <c r="DX351" s="399">
        <v>0</v>
      </c>
      <c r="DY351" s="399">
        <v>-453.35940000000119</v>
      </c>
      <c r="DZ351" s="399">
        <v>259.57047999999941</v>
      </c>
      <c r="EA351" s="399">
        <v>0</v>
      </c>
      <c r="EB351" s="399">
        <v>0</v>
      </c>
      <c r="EC351" s="399">
        <v>-664.40184103748652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225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350</v>
      </c>
      <c r="B352" s="399" t="s">
        <v>957</v>
      </c>
      <c r="C352" s="399" t="s">
        <v>2357</v>
      </c>
      <c r="D352" s="399" t="s">
        <v>1823</v>
      </c>
      <c r="E352" s="399" t="s">
        <v>890</v>
      </c>
      <c r="F352" s="399" t="s">
        <v>2364</v>
      </c>
      <c r="G352" s="399" t="s">
        <v>1240</v>
      </c>
      <c r="H352" s="399" t="s">
        <v>1240</v>
      </c>
      <c r="I352" s="399" t="s">
        <v>1240</v>
      </c>
      <c r="J352" s="399" t="s">
        <v>2358</v>
      </c>
      <c r="K352" s="789">
        <v>44652</v>
      </c>
      <c r="L352" s="399">
        <v>0</v>
      </c>
      <c r="M352" s="399">
        <v>0</v>
      </c>
      <c r="N352" s="399">
        <v>19.66</v>
      </c>
      <c r="O352" s="399">
        <v>19.66</v>
      </c>
      <c r="P352" s="399">
        <v>19.66</v>
      </c>
      <c r="Q352" s="399">
        <v>19.66</v>
      </c>
      <c r="R352" s="399"/>
      <c r="S352" s="399">
        <v>451.48</v>
      </c>
      <c r="T352" s="399">
        <v>144.41999999999999</v>
      </c>
      <c r="U352" s="399"/>
      <c r="V352" s="399">
        <v>11715.394</v>
      </c>
      <c r="W352" s="399">
        <v>11715.394</v>
      </c>
      <c r="X352" s="399">
        <v>11629.6764</v>
      </c>
      <c r="Y352" s="399">
        <v>0</v>
      </c>
      <c r="Z352" s="399">
        <v>0</v>
      </c>
      <c r="AA352" s="399">
        <v>0</v>
      </c>
      <c r="AB352" s="399">
        <v>0</v>
      </c>
      <c r="AC352" s="399">
        <v>0</v>
      </c>
      <c r="AD352" s="399">
        <v>2004.6054270366149</v>
      </c>
      <c r="AE352" s="399">
        <v>6525.2959137782482</v>
      </c>
      <c r="AF352" s="399">
        <v>2839.3330525753545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0</v>
      </c>
      <c r="AM352" s="399"/>
      <c r="AN352" s="399">
        <v>28.602453039518572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317.67265586210766</v>
      </c>
      <c r="BH352" s="399">
        <v>0</v>
      </c>
      <c r="BI352" s="399">
        <v>1.41</v>
      </c>
      <c r="BJ352" s="399">
        <v>6.74</v>
      </c>
      <c r="BK352" s="399">
        <v>3447</v>
      </c>
      <c r="BL352" s="399">
        <v>225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3157.0057084374621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11629.6764</v>
      </c>
      <c r="CJ352" s="399">
        <v>-85.747600000000602</v>
      </c>
      <c r="CK352" s="399"/>
      <c r="CL352" s="399"/>
      <c r="CM352" s="399"/>
      <c r="CN352" s="399"/>
      <c r="CO352" s="399">
        <v>-200.53200000000089</v>
      </c>
      <c r="CP352" s="399">
        <v>114.81440000000006</v>
      </c>
      <c r="CQ352" s="399">
        <v>30</v>
      </c>
      <c r="CR352" s="399">
        <v>208.09924789790603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83.895446582278964</v>
      </c>
      <c r="DA352" s="399">
        <v>0</v>
      </c>
      <c r="DB352" s="399">
        <v>0</v>
      </c>
      <c r="DC352" s="399">
        <v>114.81031855136507</v>
      </c>
      <c r="DD352" s="399">
        <v>0</v>
      </c>
      <c r="DE352" s="399">
        <v>0</v>
      </c>
      <c r="DF352" s="399">
        <v>0</v>
      </c>
      <c r="DG352" s="399">
        <v>12.8453049146529</v>
      </c>
      <c r="DH352" s="399">
        <v>0</v>
      </c>
      <c r="DI352" s="399">
        <v>0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0</v>
      </c>
      <c r="DP352" s="399">
        <v>-3.4518221503913686</v>
      </c>
      <c r="DQ352" s="399">
        <v>0</v>
      </c>
      <c r="DR352" s="399">
        <v>0</v>
      </c>
      <c r="DS352" s="399"/>
      <c r="DT352" s="399"/>
      <c r="DU352" s="399"/>
      <c r="DV352" s="399">
        <v>6525.2959137782482</v>
      </c>
      <c r="DW352" s="399">
        <v>0</v>
      </c>
      <c r="DX352" s="399">
        <v>0</v>
      </c>
      <c r="DY352" s="399">
        <v>-200.53200000000106</v>
      </c>
      <c r="DZ352" s="399">
        <v>114.81439999999975</v>
      </c>
      <c r="EA352" s="399">
        <v>0</v>
      </c>
      <c r="EB352" s="399">
        <v>0</v>
      </c>
      <c r="EC352" s="399">
        <v>-293.88125621070049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225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351</v>
      </c>
      <c r="B353" s="399" t="s">
        <v>957</v>
      </c>
      <c r="C353" s="399" t="s">
        <v>2357</v>
      </c>
      <c r="D353" s="399" t="s">
        <v>1826</v>
      </c>
      <c r="E353" s="399" t="s">
        <v>891</v>
      </c>
      <c r="F353" s="399" t="s">
        <v>1240</v>
      </c>
      <c r="G353" s="399" t="s">
        <v>1240</v>
      </c>
      <c r="H353" s="399" t="s">
        <v>1240</v>
      </c>
      <c r="I353" s="399" t="s">
        <v>1240</v>
      </c>
      <c r="J353" s="399" t="s">
        <v>2358</v>
      </c>
      <c r="K353" s="789">
        <v>44652</v>
      </c>
      <c r="L353" s="399">
        <v>0</v>
      </c>
      <c r="M353" s="399">
        <v>0</v>
      </c>
      <c r="N353" s="399">
        <v>372.767</v>
      </c>
      <c r="O353" s="399">
        <v>372.767</v>
      </c>
      <c r="P353" s="399">
        <v>372.767</v>
      </c>
      <c r="Q353" s="399">
        <v>372.767</v>
      </c>
      <c r="R353" s="399"/>
      <c r="S353" s="399">
        <v>522.37</v>
      </c>
      <c r="T353" s="399">
        <v>144.41999999999999</v>
      </c>
      <c r="U353" s="399"/>
      <c r="V353" s="399">
        <v>248557.30793000001</v>
      </c>
      <c r="W353" s="399">
        <v>248557.30793000001</v>
      </c>
      <c r="X353" s="399">
        <v>242947.16457999998</v>
      </c>
      <c r="Y353" s="399">
        <v>0</v>
      </c>
      <c r="Z353" s="399">
        <v>22888.257410007049</v>
      </c>
      <c r="AA353" s="399">
        <v>0</v>
      </c>
      <c r="AB353" s="399">
        <v>0</v>
      </c>
      <c r="AC353" s="399">
        <v>0</v>
      </c>
      <c r="AD353" s="399">
        <v>38008.685209570591</v>
      </c>
      <c r="AE353" s="399">
        <v>123724.05808196215</v>
      </c>
      <c r="AF353" s="399">
        <v>53835.689929265369</v>
      </c>
      <c r="AG353" s="399">
        <v>0</v>
      </c>
      <c r="AH353" s="399">
        <v>0</v>
      </c>
      <c r="AI353" s="399">
        <v>0</v>
      </c>
      <c r="AJ353" s="399">
        <v>0</v>
      </c>
      <c r="AK353" s="399">
        <v>0</v>
      </c>
      <c r="AL353" s="399">
        <v>3534.8583764920581</v>
      </c>
      <c r="AM353" s="399"/>
      <c r="AN353" s="399">
        <v>542.32200468882093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6023.2900766912662</v>
      </c>
      <c r="BH353" s="399">
        <v>0</v>
      </c>
      <c r="BI353" s="399">
        <v>30.88</v>
      </c>
      <c r="BJ353" s="399">
        <v>144.06</v>
      </c>
      <c r="BK353" s="399">
        <v>84319.61</v>
      </c>
      <c r="BL353" s="399">
        <v>566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59858.980005956633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242949.11979999999</v>
      </c>
      <c r="CJ353" s="399">
        <v>-5608.218130000052</v>
      </c>
      <c r="CK353" s="399"/>
      <c r="CL353" s="399"/>
      <c r="CM353" s="399"/>
      <c r="CN353" s="399"/>
      <c r="CO353" s="399">
        <v>-7787.1026299999949</v>
      </c>
      <c r="CP353" s="399">
        <v>2176.9592800000014</v>
      </c>
      <c r="CQ353" s="399">
        <v>30</v>
      </c>
      <c r="CR353" s="399">
        <v>-35.777712739785784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1590.7148492439592</v>
      </c>
      <c r="DA353" s="399">
        <v>0</v>
      </c>
      <c r="DB353" s="399">
        <v>0</v>
      </c>
      <c r="DC353" s="399">
        <v>2176.881892952013</v>
      </c>
      <c r="DD353" s="399">
        <v>0</v>
      </c>
      <c r="DE353" s="399">
        <v>0</v>
      </c>
      <c r="DF353" s="399">
        <v>0</v>
      </c>
      <c r="DG353" s="399">
        <v>243.55573637438556</v>
      </c>
      <c r="DH353" s="399">
        <v>0</v>
      </c>
      <c r="DI353" s="399">
        <v>-3516.3485076462821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-465.13278297542638</v>
      </c>
      <c r="DP353" s="399">
        <v>-65.448900688450578</v>
      </c>
      <c r="DQ353" s="399">
        <v>0</v>
      </c>
      <c r="DR353" s="399">
        <v>0</v>
      </c>
      <c r="DS353" s="399"/>
      <c r="DT353" s="399"/>
      <c r="DU353" s="399"/>
      <c r="DV353" s="399">
        <v>123724.05808196215</v>
      </c>
      <c r="DW353" s="399">
        <v>0</v>
      </c>
      <c r="DX353" s="399">
        <v>0</v>
      </c>
      <c r="DY353" s="399">
        <v>-7787.1026300000085</v>
      </c>
      <c r="DZ353" s="399">
        <v>2176.9592800000028</v>
      </c>
      <c r="EA353" s="399">
        <v>0</v>
      </c>
      <c r="EB353" s="399">
        <v>0</v>
      </c>
      <c r="EC353" s="399">
        <v>-5572.1889233923575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225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352</v>
      </c>
      <c r="B354" s="399" t="s">
        <v>2359</v>
      </c>
      <c r="C354" s="399" t="s">
        <v>2357</v>
      </c>
      <c r="D354" s="399" t="s">
        <v>1826</v>
      </c>
      <c r="E354" s="399" t="s">
        <v>891</v>
      </c>
      <c r="F354" s="399" t="s">
        <v>1240</v>
      </c>
      <c r="G354" s="399" t="s">
        <v>1240</v>
      </c>
      <c r="H354" s="399" t="s">
        <v>1240</v>
      </c>
      <c r="I354" s="399" t="s">
        <v>1240</v>
      </c>
      <c r="J354" s="399" t="s">
        <v>2358</v>
      </c>
      <c r="K354" s="789">
        <v>44652</v>
      </c>
      <c r="L354" s="399">
        <v>0</v>
      </c>
      <c r="M354" s="399">
        <v>0</v>
      </c>
      <c r="N354" s="399">
        <v>-0.17499999999999999</v>
      </c>
      <c r="O354" s="399">
        <v>-0.17499999999999999</v>
      </c>
      <c r="P354" s="399">
        <v>-0.17499999999999999</v>
      </c>
      <c r="Q354" s="399">
        <v>-0.17499999999999999</v>
      </c>
      <c r="R354" s="399"/>
      <c r="S354" s="399">
        <v>522.37</v>
      </c>
      <c r="T354" s="399">
        <v>144.41999999999999</v>
      </c>
      <c r="U354" s="399"/>
      <c r="V354" s="399">
        <v>-116.68825</v>
      </c>
      <c r="W354" s="399">
        <v>-116.68825</v>
      </c>
      <c r="X354" s="399">
        <v>-114.05449999999999</v>
      </c>
      <c r="Y354" s="399">
        <v>0</v>
      </c>
      <c r="Z354" s="399">
        <v>-10.745170701138335</v>
      </c>
      <c r="AA354" s="399">
        <v>0</v>
      </c>
      <c r="AB354" s="399">
        <v>0</v>
      </c>
      <c r="AC354" s="399">
        <v>0</v>
      </c>
      <c r="AD354" s="399">
        <v>-17.843639355615849</v>
      </c>
      <c r="AE354" s="399">
        <v>-58.083763220304846</v>
      </c>
      <c r="AF354" s="399">
        <v>-25.273819135335046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-1.6594822392704025</v>
      </c>
      <c r="AM354" s="399"/>
      <c r="AN354" s="399">
        <v>-0.2545996582866607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-2.8277067536047222</v>
      </c>
      <c r="BH354" s="399">
        <v>0</v>
      </c>
      <c r="BI354" s="399">
        <v>0</v>
      </c>
      <c r="BJ354" s="399">
        <v>0</v>
      </c>
      <c r="BK354" s="399">
        <v>-42.22</v>
      </c>
      <c r="BL354" s="399">
        <v>0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-28.101525888939769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-117.31319999999999</v>
      </c>
      <c r="CJ354" s="399">
        <v>-0.65495000000001369</v>
      </c>
      <c r="CK354" s="399"/>
      <c r="CL354" s="399"/>
      <c r="CM354" s="399"/>
      <c r="CN354" s="399"/>
      <c r="CO354" s="399">
        <v>3.6557499999999972</v>
      </c>
      <c r="CP354" s="399">
        <v>-1.0220000000000005</v>
      </c>
      <c r="CQ354" s="399">
        <v>30</v>
      </c>
      <c r="CR354" s="399">
        <v>1.6796282207025115E-2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-0.74678042481682283</v>
      </c>
      <c r="DA354" s="399">
        <v>0</v>
      </c>
      <c r="DB354" s="399">
        <v>0</v>
      </c>
      <c r="DC354" s="399">
        <v>-1.0219636697095034</v>
      </c>
      <c r="DD354" s="399">
        <v>0</v>
      </c>
      <c r="DE354" s="399">
        <v>0</v>
      </c>
      <c r="DF354" s="399">
        <v>0</v>
      </c>
      <c r="DG354" s="399">
        <v>-0.11434020142747991</v>
      </c>
      <c r="DH354" s="399">
        <v>0</v>
      </c>
      <c r="DI354" s="399">
        <v>1.6507925563102397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0.21836223973876345</v>
      </c>
      <c r="DP354" s="399">
        <v>3.0725782111825473E-2</v>
      </c>
      <c r="DQ354" s="399">
        <v>0</v>
      </c>
      <c r="DR354" s="399">
        <v>0</v>
      </c>
      <c r="DS354" s="399"/>
      <c r="DT354" s="399"/>
      <c r="DU354" s="399"/>
      <c r="DV354" s="399">
        <v>-58.083763220304846</v>
      </c>
      <c r="DW354" s="399">
        <v>0</v>
      </c>
      <c r="DX354" s="399">
        <v>0</v>
      </c>
      <c r="DY354" s="399">
        <v>3.6557499999999976</v>
      </c>
      <c r="DZ354" s="399">
        <v>-1.022000000000002</v>
      </c>
      <c r="EA354" s="399">
        <v>0</v>
      </c>
      <c r="EB354" s="399">
        <v>0</v>
      </c>
      <c r="EC354" s="399">
        <v>2.6159318330047014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225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353</v>
      </c>
      <c r="B355" s="399" t="s">
        <v>2360</v>
      </c>
      <c r="C355" s="399" t="s">
        <v>2357</v>
      </c>
      <c r="D355" s="399" t="s">
        <v>1826</v>
      </c>
      <c r="E355" s="399" t="s">
        <v>891</v>
      </c>
      <c r="F355" s="399" t="s">
        <v>1240</v>
      </c>
      <c r="G355" s="399" t="s">
        <v>1240</v>
      </c>
      <c r="H355" s="399" t="s">
        <v>1240</v>
      </c>
      <c r="I355" s="399" t="s">
        <v>1240</v>
      </c>
      <c r="J355" s="399" t="s">
        <v>2358</v>
      </c>
      <c r="K355" s="789">
        <v>44652</v>
      </c>
      <c r="L355" s="399">
        <v>0</v>
      </c>
      <c r="M355" s="399">
        <v>0</v>
      </c>
      <c r="N355" s="399">
        <v>4.6829999999999998</v>
      </c>
      <c r="O355" s="399">
        <v>4.6829999999999998</v>
      </c>
      <c r="P355" s="399">
        <v>4.6829999999999998</v>
      </c>
      <c r="Q355" s="399">
        <v>4.6829999999999998</v>
      </c>
      <c r="R355" s="399"/>
      <c r="S355" s="399">
        <v>522.37</v>
      </c>
      <c r="T355" s="399">
        <v>144.41999999999999</v>
      </c>
      <c r="U355" s="399"/>
      <c r="V355" s="399">
        <v>3122.5775699999999</v>
      </c>
      <c r="W355" s="399">
        <v>3122.5775699999999</v>
      </c>
      <c r="X355" s="399">
        <v>3052.0984199999998</v>
      </c>
      <c r="Y355" s="399">
        <v>0</v>
      </c>
      <c r="Z355" s="399">
        <v>287.54076796246181</v>
      </c>
      <c r="AA355" s="399">
        <v>0</v>
      </c>
      <c r="AB355" s="399">
        <v>0</v>
      </c>
      <c r="AC355" s="399">
        <v>0</v>
      </c>
      <c r="AD355" s="399">
        <v>477.49578915628013</v>
      </c>
      <c r="AE355" s="399">
        <v>1554.3215037753578</v>
      </c>
      <c r="AF355" s="399">
        <v>676.32740006156587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44.407744722875975</v>
      </c>
      <c r="AM355" s="399"/>
      <c r="AN355" s="399">
        <v>6.8130868557510409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75.669432726462375</v>
      </c>
      <c r="BH355" s="399">
        <v>0</v>
      </c>
      <c r="BI355" s="399">
        <v>0</v>
      </c>
      <c r="BJ355" s="399">
        <v>0</v>
      </c>
      <c r="BK355" s="399">
        <v>5181.87</v>
      </c>
      <c r="BL355" s="399">
        <v>9</v>
      </c>
      <c r="BM355" s="399"/>
      <c r="BN355" s="399"/>
      <c r="BO355" s="399"/>
      <c r="BP355" s="399"/>
      <c r="BQ355" s="399"/>
      <c r="BR355" s="399"/>
      <c r="BS355" s="399"/>
      <c r="BT355" s="399"/>
      <c r="BU355" s="399"/>
      <c r="BV355" s="399">
        <v>751.9968327880282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3050.1431999999995</v>
      </c>
      <c r="CJ355" s="399">
        <v>-72.464370000001054</v>
      </c>
      <c r="CK355" s="399"/>
      <c r="CL355" s="399"/>
      <c r="CM355" s="399"/>
      <c r="CN355" s="399"/>
      <c r="CO355" s="399">
        <v>-97.827869999999933</v>
      </c>
      <c r="CP355" s="399">
        <v>27.348720000000014</v>
      </c>
      <c r="CQ355" s="399">
        <v>30</v>
      </c>
      <c r="CR355" s="399">
        <v>-0.44946851186000458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19.983844168098244</v>
      </c>
      <c r="DA355" s="399">
        <v>0</v>
      </c>
      <c r="DB355" s="399">
        <v>0</v>
      </c>
      <c r="DC355" s="399">
        <v>27.347747801426294</v>
      </c>
      <c r="DD355" s="399">
        <v>0</v>
      </c>
      <c r="DE355" s="399">
        <v>0</v>
      </c>
      <c r="DF355" s="399">
        <v>0</v>
      </c>
      <c r="DG355" s="399">
        <v>3.0597437901993629</v>
      </c>
      <c r="DH355" s="399">
        <v>0</v>
      </c>
      <c r="DI355" s="399">
        <v>-44.175208806862003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-5.843373535409313</v>
      </c>
      <c r="DP355" s="399">
        <v>-0.82222192931244997</v>
      </c>
      <c r="DQ355" s="399">
        <v>0</v>
      </c>
      <c r="DR355" s="399">
        <v>0</v>
      </c>
      <c r="DS355" s="399"/>
      <c r="DT355" s="399"/>
      <c r="DU355" s="399"/>
      <c r="DV355" s="399">
        <v>1554.3215037753578</v>
      </c>
      <c r="DW355" s="399">
        <v>0</v>
      </c>
      <c r="DX355" s="399">
        <v>0</v>
      </c>
      <c r="DY355" s="399">
        <v>-97.827870000000075</v>
      </c>
      <c r="DZ355" s="399">
        <v>27.348719999999958</v>
      </c>
      <c r="EA355" s="399">
        <v>0</v>
      </c>
      <c r="EB355" s="399">
        <v>0</v>
      </c>
      <c r="EC355" s="399">
        <v>-70.002335851205999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225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354</v>
      </c>
      <c r="B356" s="399" t="s">
        <v>957</v>
      </c>
      <c r="C356" s="399" t="s">
        <v>2365</v>
      </c>
      <c r="D356" s="399" t="s">
        <v>534</v>
      </c>
      <c r="E356" s="399" t="s">
        <v>891</v>
      </c>
      <c r="F356" s="399" t="s">
        <v>1240</v>
      </c>
      <c r="G356" s="399" t="s">
        <v>1240</v>
      </c>
      <c r="H356" s="399" t="s">
        <v>1240</v>
      </c>
      <c r="I356" s="399" t="s">
        <v>894</v>
      </c>
      <c r="J356" s="399" t="s">
        <v>2358</v>
      </c>
      <c r="K356" s="789">
        <v>44652</v>
      </c>
      <c r="L356" s="399">
        <v>298</v>
      </c>
      <c r="M356" s="399">
        <v>298</v>
      </c>
      <c r="N356" s="399">
        <v>7.0860000000000003</v>
      </c>
      <c r="O356" s="399">
        <v>7.0860000000000003</v>
      </c>
      <c r="P356" s="399">
        <v>7.0860000000000003</v>
      </c>
      <c r="Q356" s="399">
        <v>7.0860000000000003</v>
      </c>
      <c r="R356" s="399">
        <v>111</v>
      </c>
      <c r="S356" s="399">
        <v>69.64</v>
      </c>
      <c r="T356" s="399">
        <v>144.41999999999999</v>
      </c>
      <c r="U356" s="399">
        <v>33078</v>
      </c>
      <c r="V356" s="399">
        <v>1516.82916</v>
      </c>
      <c r="W356" s="399">
        <v>34594.829160000001</v>
      </c>
      <c r="X356" s="399">
        <v>33888.175039999995</v>
      </c>
      <c r="Y356" s="399">
        <v>0</v>
      </c>
      <c r="Z356" s="399">
        <v>378.52596138166655</v>
      </c>
      <c r="AA356" s="399">
        <v>0</v>
      </c>
      <c r="AB356" s="399">
        <v>0</v>
      </c>
      <c r="AC356" s="399">
        <v>0</v>
      </c>
      <c r="AD356" s="399">
        <v>9311.1025950511339</v>
      </c>
      <c r="AE356" s="399">
        <v>23765.820449471714</v>
      </c>
      <c r="AF356" s="399">
        <v>1023.3730422456238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67.194806556971855</v>
      </c>
      <c r="AM356" s="399"/>
      <c r="AN356" s="399">
        <v>3.5265973516477063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44.206736573328719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>
        <v>1067.5797788189525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33889.017599999999</v>
      </c>
      <c r="CJ356" s="399">
        <v>-705.84156000000803</v>
      </c>
      <c r="CK356" s="399"/>
      <c r="CL356" s="399"/>
      <c r="CM356" s="399"/>
      <c r="CN356" s="399"/>
      <c r="CO356" s="399">
        <v>-748.03636000000188</v>
      </c>
      <c r="CP356" s="399">
        <v>41.382240000000024</v>
      </c>
      <c r="CQ356" s="399">
        <v>30</v>
      </c>
      <c r="CR356" s="399">
        <v>365.42976239875497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389.68222865680036</v>
      </c>
      <c r="DA356" s="399">
        <v>0</v>
      </c>
      <c r="DB356" s="399">
        <v>0</v>
      </c>
      <c r="DC356" s="399">
        <v>41.380768934637445</v>
      </c>
      <c r="DD356" s="399">
        <v>0</v>
      </c>
      <c r="DE356" s="399">
        <v>0</v>
      </c>
      <c r="DF356" s="399">
        <v>0</v>
      </c>
      <c r="DG356" s="399">
        <v>1.7875287661290216</v>
      </c>
      <c r="DH356" s="399">
        <v>0</v>
      </c>
      <c r="DI356" s="399">
        <v>-58.153365525671177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-8.8417990330793117</v>
      </c>
      <c r="DP356" s="399">
        <v>-0.42559940006230512</v>
      </c>
      <c r="DQ356" s="399">
        <v>0</v>
      </c>
      <c r="DR356" s="399">
        <v>0</v>
      </c>
      <c r="DS356" s="399"/>
      <c r="DT356" s="399"/>
      <c r="DU356" s="399">
        <v>23765.820449471714</v>
      </c>
      <c r="DV356" s="399">
        <v>0</v>
      </c>
      <c r="DW356" s="399">
        <v>0</v>
      </c>
      <c r="DX356" s="399">
        <v>0</v>
      </c>
      <c r="DY356" s="399">
        <v>-748.03636000000552</v>
      </c>
      <c r="DZ356" s="399">
        <v>41.382240000000024</v>
      </c>
      <c r="EA356" s="399">
        <v>0</v>
      </c>
      <c r="EB356" s="399">
        <v>0</v>
      </c>
      <c r="EC356" s="399">
        <v>-1070.3467338272822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225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355</v>
      </c>
      <c r="B357" s="399" t="s">
        <v>957</v>
      </c>
      <c r="C357" s="399" t="s">
        <v>2365</v>
      </c>
      <c r="D357" s="399" t="s">
        <v>534</v>
      </c>
      <c r="E357" s="399" t="s">
        <v>891</v>
      </c>
      <c r="F357" s="399" t="s">
        <v>1240</v>
      </c>
      <c r="G357" s="399" t="s">
        <v>1240</v>
      </c>
      <c r="H357" s="399" t="s">
        <v>1240</v>
      </c>
      <c r="I357" s="399" t="s">
        <v>2328</v>
      </c>
      <c r="J357" s="399" t="s">
        <v>2358</v>
      </c>
      <c r="K357" s="789">
        <v>44652</v>
      </c>
      <c r="L357" s="399">
        <v>3402</v>
      </c>
      <c r="M357" s="399">
        <v>3402</v>
      </c>
      <c r="N357" s="399">
        <v>1128.9059999999999</v>
      </c>
      <c r="O357" s="399">
        <v>1128.9059999999999</v>
      </c>
      <c r="P357" s="399">
        <v>1128.9059999999999</v>
      </c>
      <c r="Q357" s="399">
        <v>1128.9059999999999</v>
      </c>
      <c r="R357" s="399">
        <v>34.950000000000003</v>
      </c>
      <c r="S357" s="399">
        <v>69.64</v>
      </c>
      <c r="T357" s="399">
        <v>144.41999999999999</v>
      </c>
      <c r="U357" s="399">
        <v>118899.90000000001</v>
      </c>
      <c r="V357" s="399">
        <v>241653.61835999996</v>
      </c>
      <c r="W357" s="399">
        <v>360553.51835999999</v>
      </c>
      <c r="X357" s="399">
        <v>355093.71983999998</v>
      </c>
      <c r="Y357" s="399">
        <v>0</v>
      </c>
      <c r="Z357" s="399">
        <v>60304.85872982382</v>
      </c>
      <c r="AA357" s="399">
        <v>0</v>
      </c>
      <c r="AB357" s="399">
        <v>0</v>
      </c>
      <c r="AC357" s="399">
        <v>0</v>
      </c>
      <c r="AD357" s="399">
        <v>43102.589897908671</v>
      </c>
      <c r="AE357" s="399">
        <v>75812.91679080241</v>
      </c>
      <c r="AF357" s="399">
        <v>163038.6632273974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10705.139753175961</v>
      </c>
      <c r="AM357" s="399"/>
      <c r="AN357" s="399">
        <v>561.83981228608593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7042.7956757056481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170081.45890310305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355094.5624</v>
      </c>
      <c r="CJ357" s="399">
        <v>-5458.98596000002</v>
      </c>
      <c r="CK357" s="399"/>
      <c r="CL357" s="399"/>
      <c r="CM357" s="399"/>
      <c r="CN357" s="399"/>
      <c r="CO357" s="399">
        <v>-12052.609560000017</v>
      </c>
      <c r="CP357" s="399">
        <v>6592.8110400000032</v>
      </c>
      <c r="CQ357" s="399">
        <v>30</v>
      </c>
      <c r="CR357" s="399">
        <v>-2059.8797084037215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1803.9016454638913</v>
      </c>
      <c r="DA357" s="399">
        <v>0</v>
      </c>
      <c r="DB357" s="399">
        <v>0</v>
      </c>
      <c r="DC357" s="399">
        <v>6592.5766772404604</v>
      </c>
      <c r="DD357" s="399">
        <v>0</v>
      </c>
      <c r="DE357" s="399">
        <v>0</v>
      </c>
      <c r="DF357" s="399">
        <v>0</v>
      </c>
      <c r="DG357" s="399">
        <v>284.78012267226313</v>
      </c>
      <c r="DH357" s="399">
        <v>0</v>
      </c>
      <c r="DI357" s="399">
        <v>-9264.7026901105419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-1408.6311006544493</v>
      </c>
      <c r="DP357" s="399">
        <v>-67.804363015345245</v>
      </c>
      <c r="DQ357" s="399">
        <v>0</v>
      </c>
      <c r="DR357" s="399">
        <v>0</v>
      </c>
      <c r="DS357" s="399"/>
      <c r="DT357" s="399"/>
      <c r="DU357" s="399">
        <v>75812.91679080241</v>
      </c>
      <c r="DV357" s="399">
        <v>0</v>
      </c>
      <c r="DW357" s="399">
        <v>0</v>
      </c>
      <c r="DX357" s="399">
        <v>0</v>
      </c>
      <c r="DY357" s="399">
        <v>-12052.609560000012</v>
      </c>
      <c r="DZ357" s="399">
        <v>6592.8110400000296</v>
      </c>
      <c r="EA357" s="399">
        <v>0</v>
      </c>
      <c r="EB357" s="399">
        <v>0</v>
      </c>
      <c r="EC357" s="399">
        <v>-3414.4038090951362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225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356</v>
      </c>
      <c r="B358" s="399" t="s">
        <v>957</v>
      </c>
      <c r="C358" s="399" t="s">
        <v>2365</v>
      </c>
      <c r="D358" s="399" t="s">
        <v>534</v>
      </c>
      <c r="E358" s="399" t="s">
        <v>891</v>
      </c>
      <c r="F358" s="399" t="s">
        <v>1240</v>
      </c>
      <c r="G358" s="399" t="s">
        <v>1240</v>
      </c>
      <c r="H358" s="399" t="s">
        <v>1240</v>
      </c>
      <c r="I358" s="399" t="s">
        <v>1240</v>
      </c>
      <c r="J358" s="399" t="s">
        <v>2358</v>
      </c>
      <c r="K358" s="789">
        <v>44652</v>
      </c>
      <c r="L358" s="399">
        <v>0</v>
      </c>
      <c r="M358" s="399">
        <v>0</v>
      </c>
      <c r="N358" s="399">
        <v>0</v>
      </c>
      <c r="O358" s="399">
        <v>0</v>
      </c>
      <c r="P358" s="399">
        <v>0</v>
      </c>
      <c r="Q358" s="399">
        <v>0</v>
      </c>
      <c r="R358" s="399"/>
      <c r="S358" s="399"/>
      <c r="T358" s="399"/>
      <c r="U358" s="399"/>
      <c r="V358" s="399"/>
      <c r="W358" s="399"/>
      <c r="X358" s="399"/>
      <c r="Y358" s="399"/>
      <c r="Z358" s="399"/>
      <c r="AA358" s="399">
        <v>0</v>
      </c>
      <c r="AB358" s="399"/>
      <c r="AC358" s="399"/>
      <c r="AD358" s="399"/>
      <c r="AE358" s="399"/>
      <c r="AF358" s="399"/>
      <c r="AG358" s="399"/>
      <c r="AH358" s="399"/>
      <c r="AI358" s="399"/>
      <c r="AJ358" s="399"/>
      <c r="AK358" s="399"/>
      <c r="AL358" s="399"/>
      <c r="AM358" s="399"/>
      <c r="AN358" s="399"/>
      <c r="AO358" s="399"/>
      <c r="AP358" s="399"/>
      <c r="AQ358" s="399"/>
      <c r="AR358" s="399"/>
      <c r="AS358" s="399"/>
      <c r="AT358" s="399"/>
      <c r="AU358" s="399"/>
      <c r="AV358" s="399"/>
      <c r="AW358" s="399"/>
      <c r="AX358" s="399"/>
      <c r="AY358" s="399"/>
      <c r="AZ358" s="399">
        <v>0</v>
      </c>
      <c r="BA358" s="399"/>
      <c r="BB358" s="399"/>
      <c r="BC358" s="399"/>
      <c r="BD358" s="399"/>
      <c r="BE358" s="399"/>
      <c r="BF358" s="399"/>
      <c r="BG358" s="399"/>
      <c r="BH358" s="399"/>
      <c r="BI358" s="399">
        <v>0</v>
      </c>
      <c r="BJ358" s="399">
        <v>0</v>
      </c>
      <c r="BK358" s="399">
        <v>169753.35</v>
      </c>
      <c r="BL358" s="399">
        <v>3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/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/>
      <c r="CJ358" s="399">
        <v>-0.03</v>
      </c>
      <c r="CK358" s="399"/>
      <c r="CL358" s="399"/>
      <c r="CM358" s="399"/>
      <c r="CN358" s="399"/>
      <c r="CO358" s="399">
        <v>0</v>
      </c>
      <c r="CP358" s="399">
        <v>0</v>
      </c>
      <c r="CQ358" s="399">
        <v>30</v>
      </c>
      <c r="CR358" s="399"/>
      <c r="CS358" s="399"/>
      <c r="CT358" s="399"/>
      <c r="CU358" s="399"/>
      <c r="CV358" s="399"/>
      <c r="CW358" s="399"/>
      <c r="CX358" s="399"/>
      <c r="CY358" s="399"/>
      <c r="CZ358" s="399"/>
      <c r="DA358" s="399"/>
      <c r="DB358" s="399"/>
      <c r="DC358" s="399"/>
      <c r="DD358" s="399"/>
      <c r="DE358" s="399"/>
      <c r="DF358" s="399"/>
      <c r="DG358" s="399"/>
      <c r="DH358" s="399"/>
      <c r="DI358" s="399"/>
      <c r="DJ358" s="399"/>
      <c r="DK358" s="399">
        <v>0</v>
      </c>
      <c r="DL358" s="399"/>
      <c r="DM358" s="399"/>
      <c r="DN358" s="399"/>
      <c r="DO358" s="399"/>
      <c r="DP358" s="399"/>
      <c r="DQ358" s="399"/>
      <c r="DR358" s="399"/>
      <c r="DS358" s="399"/>
      <c r="DT358" s="399"/>
      <c r="DU358" s="399"/>
      <c r="DV358" s="399"/>
      <c r="DW358" s="399"/>
      <c r="DX358" s="399"/>
      <c r="DY358" s="399"/>
      <c r="DZ358" s="399"/>
      <c r="EA358" s="399"/>
      <c r="EB358" s="399"/>
      <c r="EC358" s="399"/>
      <c r="ED358" s="399"/>
      <c r="EE358" s="399"/>
      <c r="EF358" s="399"/>
      <c r="EG358" s="399"/>
      <c r="EH358" s="399"/>
      <c r="EI358" s="399"/>
      <c r="EJ358" s="399"/>
      <c r="EK358" s="399"/>
      <c r="EL358" s="399"/>
      <c r="EM358" s="399"/>
      <c r="EN358" s="399"/>
      <c r="EO358" s="399"/>
      <c r="EP358" s="399"/>
      <c r="EQ358" s="399"/>
      <c r="ER358" s="399"/>
      <c r="ES358" s="399"/>
      <c r="ET358" s="399"/>
      <c r="EU358" s="399"/>
      <c r="EV358" s="399">
        <v>225</v>
      </c>
      <c r="EW358" s="399"/>
      <c r="EX358" s="399"/>
      <c r="EY358" s="399"/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357</v>
      </c>
      <c r="B359" s="399" t="s">
        <v>957</v>
      </c>
      <c r="C359" s="399" t="s">
        <v>2366</v>
      </c>
      <c r="D359" s="399" t="s">
        <v>534</v>
      </c>
      <c r="E359" s="399" t="s">
        <v>891</v>
      </c>
      <c r="F359" s="399" t="s">
        <v>1240</v>
      </c>
      <c r="G359" s="399" t="s">
        <v>1240</v>
      </c>
      <c r="H359" s="399" t="s">
        <v>1240</v>
      </c>
      <c r="I359" s="399" t="s">
        <v>894</v>
      </c>
      <c r="J359" s="399" t="s">
        <v>2358</v>
      </c>
      <c r="K359" s="789">
        <v>44652</v>
      </c>
      <c r="L359" s="399">
        <v>0</v>
      </c>
      <c r="M359" s="399">
        <v>0</v>
      </c>
      <c r="N359" s="399">
        <v>94.688999999999993</v>
      </c>
      <c r="O359" s="399">
        <v>94.688999999999993</v>
      </c>
      <c r="P359" s="399">
        <v>94.688999999999993</v>
      </c>
      <c r="Q359" s="399">
        <v>94.688999999999993</v>
      </c>
      <c r="R359" s="399"/>
      <c r="S359" s="399">
        <v>2740.31</v>
      </c>
      <c r="T359" s="399">
        <v>144.41999999999999</v>
      </c>
      <c r="U359" s="399"/>
      <c r="V359" s="399">
        <v>273152.19896999997</v>
      </c>
      <c r="W359" s="399">
        <v>273152.19896999997</v>
      </c>
      <c r="X359" s="399">
        <v>267630.88337999996</v>
      </c>
      <c r="Y359" s="399">
        <v>0</v>
      </c>
      <c r="Z359" s="399">
        <v>5058.1773577855793</v>
      </c>
      <c r="AA359" s="399">
        <v>0</v>
      </c>
      <c r="AB359" s="399">
        <v>0</v>
      </c>
      <c r="AC359" s="399">
        <v>0</v>
      </c>
      <c r="AD359" s="399">
        <v>71268.889123578891</v>
      </c>
      <c r="AE359" s="399">
        <v>181614.21841655642</v>
      </c>
      <c r="AF359" s="399">
        <v>13675.158057747087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897.91265002442935</v>
      </c>
      <c r="AM359" s="399"/>
      <c r="AN359" s="399">
        <v>47.125314229490492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590.72702221167401</v>
      </c>
      <c r="BH359" s="399">
        <v>0</v>
      </c>
      <c r="BI359" s="399">
        <v>0</v>
      </c>
      <c r="BJ359" s="399">
        <v>0</v>
      </c>
      <c r="BK359" s="399">
        <v>0</v>
      </c>
      <c r="BL359" s="399">
        <v>0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>
        <v>14265.88507995876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267633.70980000001</v>
      </c>
      <c r="CJ359" s="399">
        <v>-5518.519169999985</v>
      </c>
      <c r="CK359" s="399"/>
      <c r="CL359" s="399"/>
      <c r="CM359" s="399"/>
      <c r="CN359" s="399"/>
      <c r="CO359" s="399">
        <v>-6074.2993500000084</v>
      </c>
      <c r="CP359" s="399">
        <v>552.9837600000003</v>
      </c>
      <c r="CQ359" s="399">
        <v>30</v>
      </c>
      <c r="CR359" s="399">
        <v>2658.6178002426313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2982.6993381354114</v>
      </c>
      <c r="DA359" s="399">
        <v>0</v>
      </c>
      <c r="DB359" s="399">
        <v>0</v>
      </c>
      <c r="DC359" s="399">
        <v>552.96410240641853</v>
      </c>
      <c r="DD359" s="399">
        <v>0</v>
      </c>
      <c r="DE359" s="399">
        <v>0</v>
      </c>
      <c r="DF359" s="399">
        <v>0</v>
      </c>
      <c r="DG359" s="399">
        <v>23.886439646625945</v>
      </c>
      <c r="DH359" s="399">
        <v>0</v>
      </c>
      <c r="DI359" s="399">
        <v>-777.09342764045596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-118.15144067785013</v>
      </c>
      <c r="DP359" s="399">
        <v>-5.6872116275048867</v>
      </c>
      <c r="DQ359" s="399">
        <v>0</v>
      </c>
      <c r="DR359" s="399">
        <v>0</v>
      </c>
      <c r="DS359" s="399"/>
      <c r="DT359" s="399"/>
      <c r="DU359" s="399"/>
      <c r="DV359" s="399">
        <v>181614.21841655642</v>
      </c>
      <c r="DW359" s="399">
        <v>0</v>
      </c>
      <c r="DX359" s="399">
        <v>0</v>
      </c>
      <c r="DY359" s="399">
        <v>-6074.2993500000157</v>
      </c>
      <c r="DZ359" s="399">
        <v>552.98375999999917</v>
      </c>
      <c r="EA359" s="399">
        <v>0</v>
      </c>
      <c r="EB359" s="399">
        <v>0</v>
      </c>
      <c r="EC359" s="399">
        <v>-8179.401418606576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225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358</v>
      </c>
      <c r="B360" s="399" t="s">
        <v>2360</v>
      </c>
      <c r="C360" s="399" t="s">
        <v>2366</v>
      </c>
      <c r="D360" s="399" t="s">
        <v>534</v>
      </c>
      <c r="E360" s="399" t="s">
        <v>891</v>
      </c>
      <c r="F360" s="399" t="s">
        <v>1240</v>
      </c>
      <c r="G360" s="399" t="s">
        <v>1240</v>
      </c>
      <c r="H360" s="399" t="s">
        <v>1240</v>
      </c>
      <c r="I360" s="399" t="s">
        <v>894</v>
      </c>
      <c r="J360" s="399" t="s">
        <v>2358</v>
      </c>
      <c r="K360" s="789">
        <v>44652</v>
      </c>
      <c r="L360" s="399">
        <v>0</v>
      </c>
      <c r="M360" s="399">
        <v>0</v>
      </c>
      <c r="N360" s="399">
        <v>0.40100000000000002</v>
      </c>
      <c r="O360" s="399">
        <v>0.40100000000000002</v>
      </c>
      <c r="P360" s="399">
        <v>0.40100000000000002</v>
      </c>
      <c r="Q360" s="399">
        <v>0.40100000000000002</v>
      </c>
      <c r="R360" s="399"/>
      <c r="S360" s="399">
        <v>2740.31</v>
      </c>
      <c r="T360" s="399">
        <v>144.41999999999999</v>
      </c>
      <c r="U360" s="399"/>
      <c r="V360" s="399">
        <v>1156.77673</v>
      </c>
      <c r="W360" s="399">
        <v>1156.77673</v>
      </c>
      <c r="X360" s="399">
        <v>1133.3944199999999</v>
      </c>
      <c r="Y360" s="399">
        <v>0</v>
      </c>
      <c r="Z360" s="399">
        <v>21.420958300035039</v>
      </c>
      <c r="AA360" s="399">
        <v>0</v>
      </c>
      <c r="AB360" s="399">
        <v>0</v>
      </c>
      <c r="AC360" s="399">
        <v>0</v>
      </c>
      <c r="AD360" s="399">
        <v>301.81778811218976</v>
      </c>
      <c r="AE360" s="399">
        <v>769.12103396423163</v>
      </c>
      <c r="AF360" s="399">
        <v>57.913151275824887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3.8025850168424657</v>
      </c>
      <c r="AM360" s="399"/>
      <c r="AN360" s="399">
        <v>0.19957176658350695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2.5016795605284807</v>
      </c>
      <c r="BH360" s="399">
        <v>0</v>
      </c>
      <c r="BI360" s="399">
        <v>0</v>
      </c>
      <c r="BJ360" s="399">
        <v>0</v>
      </c>
      <c r="BK360" s="399">
        <v>0</v>
      </c>
      <c r="BL360" s="399">
        <v>0</v>
      </c>
      <c r="BM360" s="399"/>
      <c r="BN360" s="399"/>
      <c r="BO360" s="399"/>
      <c r="BP360" s="399"/>
      <c r="BQ360" s="399"/>
      <c r="BR360" s="399"/>
      <c r="BS360" s="399"/>
      <c r="BT360" s="399"/>
      <c r="BU360" s="399"/>
      <c r="BV360" s="399">
        <v>60.414830836353367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1130.568</v>
      </c>
      <c r="CJ360" s="399">
        <v>-26.238730000000032</v>
      </c>
      <c r="CK360" s="399"/>
      <c r="CL360" s="399"/>
      <c r="CM360" s="399"/>
      <c r="CN360" s="399"/>
      <c r="CO360" s="399">
        <v>-25.724150000000037</v>
      </c>
      <c r="CP360" s="399">
        <v>2.3418400000000017</v>
      </c>
      <c r="CQ360" s="399">
        <v>30</v>
      </c>
      <c r="CR360" s="399">
        <v>11.259024151668143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12.63148237485143</v>
      </c>
      <c r="DA360" s="399">
        <v>0</v>
      </c>
      <c r="DB360" s="399">
        <v>0</v>
      </c>
      <c r="DC360" s="399">
        <v>2.3417567517343443</v>
      </c>
      <c r="DD360" s="399">
        <v>0</v>
      </c>
      <c r="DE360" s="399">
        <v>0</v>
      </c>
      <c r="DF360" s="399">
        <v>0</v>
      </c>
      <c r="DG360" s="399">
        <v>0.10115707524946949</v>
      </c>
      <c r="DH360" s="399">
        <v>0</v>
      </c>
      <c r="DI360" s="399">
        <v>-3.2909257092568645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-0.50036147505853812</v>
      </c>
      <c r="DP360" s="399">
        <v>-2.4084865851677184E-2</v>
      </c>
      <c r="DQ360" s="399">
        <v>0</v>
      </c>
      <c r="DR360" s="399">
        <v>0</v>
      </c>
      <c r="DS360" s="399"/>
      <c r="DT360" s="399"/>
      <c r="DU360" s="399"/>
      <c r="DV360" s="399">
        <v>769.12103396423163</v>
      </c>
      <c r="DW360" s="399">
        <v>0</v>
      </c>
      <c r="DX360" s="399">
        <v>0</v>
      </c>
      <c r="DY360" s="399">
        <v>-25.724150000000009</v>
      </c>
      <c r="DZ360" s="399">
        <v>2.3418400000000048</v>
      </c>
      <c r="EA360" s="399">
        <v>0</v>
      </c>
      <c r="EB360" s="399">
        <v>0</v>
      </c>
      <c r="EC360" s="399">
        <v>-34.63908129625645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225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359</v>
      </c>
      <c r="B361" s="399" t="s">
        <v>957</v>
      </c>
      <c r="C361" s="399" t="s">
        <v>2366</v>
      </c>
      <c r="D361" s="399" t="s">
        <v>534</v>
      </c>
      <c r="E361" s="399" t="s">
        <v>891</v>
      </c>
      <c r="F361" s="399" t="s">
        <v>1240</v>
      </c>
      <c r="G361" s="399" t="s">
        <v>1240</v>
      </c>
      <c r="H361" s="399" t="s">
        <v>1240</v>
      </c>
      <c r="I361" s="399" t="s">
        <v>2328</v>
      </c>
      <c r="J361" s="399" t="s">
        <v>2358</v>
      </c>
      <c r="K361" s="789">
        <v>44652</v>
      </c>
      <c r="L361" s="399">
        <v>0</v>
      </c>
      <c r="M361" s="399">
        <v>0</v>
      </c>
      <c r="N361" s="399">
        <v>5949.9269999999997</v>
      </c>
      <c r="O361" s="399">
        <v>5949.9269999999997</v>
      </c>
      <c r="P361" s="399">
        <v>5949.9269999999997</v>
      </c>
      <c r="Q361" s="399">
        <v>5949.9269999999997</v>
      </c>
      <c r="R361" s="399"/>
      <c r="S361" s="399">
        <v>69.64</v>
      </c>
      <c r="T361" s="399">
        <v>144.41999999999999</v>
      </c>
      <c r="U361" s="399"/>
      <c r="V361" s="399">
        <v>1273641.3736199997</v>
      </c>
      <c r="W361" s="399">
        <v>1273641.3736199997</v>
      </c>
      <c r="X361" s="399">
        <v>1253292.6232799999</v>
      </c>
      <c r="Y361" s="399">
        <v>0</v>
      </c>
      <c r="Z361" s="399">
        <v>317838.24976372207</v>
      </c>
      <c r="AA361" s="399">
        <v>0</v>
      </c>
      <c r="AB361" s="399">
        <v>0</v>
      </c>
      <c r="AC361" s="399">
        <v>0</v>
      </c>
      <c r="AD361" s="399">
        <v>0</v>
      </c>
      <c r="AE361" s="399">
        <v>0</v>
      </c>
      <c r="AF361" s="399">
        <v>859299.3078082666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56421.703894031023</v>
      </c>
      <c r="AM361" s="399"/>
      <c r="AN361" s="399">
        <v>2961.1906295084927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37119.228834255715</v>
      </c>
      <c r="BH361" s="399">
        <v>0</v>
      </c>
      <c r="BI361" s="399">
        <v>0</v>
      </c>
      <c r="BJ361" s="399">
        <v>0</v>
      </c>
      <c r="BK361" s="399">
        <v>0</v>
      </c>
      <c r="BL361" s="399">
        <v>0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896418.53664252232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1253293.2552</v>
      </c>
      <c r="CJ361" s="399">
        <v>-20348.14841999975</v>
      </c>
      <c r="CK361" s="399"/>
      <c r="CL361" s="399"/>
      <c r="CM361" s="399"/>
      <c r="CN361" s="399"/>
      <c r="CO361" s="399">
        <v>-55096.324019999985</v>
      </c>
      <c r="CP361" s="399">
        <v>34747.573680000016</v>
      </c>
      <c r="CQ361" s="399">
        <v>30</v>
      </c>
      <c r="CR361" s="399">
        <v>-20364.155208204407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0</v>
      </c>
      <c r="DA361" s="399">
        <v>0</v>
      </c>
      <c r="DB361" s="399">
        <v>0</v>
      </c>
      <c r="DC361" s="399">
        <v>34746.338465278037</v>
      </c>
      <c r="DD361" s="399">
        <v>0</v>
      </c>
      <c r="DE361" s="399">
        <v>0</v>
      </c>
      <c r="DF361" s="399">
        <v>0</v>
      </c>
      <c r="DG361" s="399">
        <v>1500.9406814659524</v>
      </c>
      <c r="DH361" s="399">
        <v>0</v>
      </c>
      <c r="DI361" s="399">
        <v>-48829.844719455228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-7424.2250628693873</v>
      </c>
      <c r="DP361" s="399">
        <v>-357.36457262411977</v>
      </c>
      <c r="DQ361" s="399">
        <v>0</v>
      </c>
      <c r="DR361" s="399">
        <v>0</v>
      </c>
      <c r="DS361" s="399"/>
      <c r="DT361" s="399"/>
      <c r="DU361" s="399"/>
      <c r="DV361" s="399">
        <v>0</v>
      </c>
      <c r="DW361" s="399">
        <v>0</v>
      </c>
      <c r="DX361" s="399">
        <v>0</v>
      </c>
      <c r="DY361" s="399">
        <v>-55096.32402</v>
      </c>
      <c r="DZ361" s="399">
        <v>34747.57368000003</v>
      </c>
      <c r="EA361" s="399">
        <v>0</v>
      </c>
      <c r="EB361" s="399">
        <v>0</v>
      </c>
      <c r="EC361" s="399">
        <v>0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225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360</v>
      </c>
      <c r="B362" s="399" t="s">
        <v>2360</v>
      </c>
      <c r="C362" s="399" t="s">
        <v>2366</v>
      </c>
      <c r="D362" s="399" t="s">
        <v>534</v>
      </c>
      <c r="E362" s="399" t="s">
        <v>891</v>
      </c>
      <c r="F362" s="399" t="s">
        <v>1240</v>
      </c>
      <c r="G362" s="399" t="s">
        <v>1240</v>
      </c>
      <c r="H362" s="399" t="s">
        <v>1240</v>
      </c>
      <c r="I362" s="399" t="s">
        <v>2328</v>
      </c>
      <c r="J362" s="399" t="s">
        <v>2358</v>
      </c>
      <c r="K362" s="789">
        <v>44652</v>
      </c>
      <c r="L362" s="399">
        <v>0</v>
      </c>
      <c r="M362" s="399">
        <v>0</v>
      </c>
      <c r="N362" s="399">
        <v>2.472</v>
      </c>
      <c r="O362" s="399">
        <v>2.472</v>
      </c>
      <c r="P362" s="399">
        <v>2.472</v>
      </c>
      <c r="Q362" s="399">
        <v>2.472</v>
      </c>
      <c r="R362" s="399"/>
      <c r="S362" s="399">
        <v>69.64</v>
      </c>
      <c r="T362" s="399">
        <v>144.41999999999999</v>
      </c>
      <c r="U362" s="399"/>
      <c r="V362" s="399">
        <v>529.15632000000005</v>
      </c>
      <c r="W362" s="399">
        <v>529.15632000000005</v>
      </c>
      <c r="X362" s="399">
        <v>520.70208000000002</v>
      </c>
      <c r="Y362" s="399">
        <v>0</v>
      </c>
      <c r="Z362" s="399">
        <v>132.05139380969229</v>
      </c>
      <c r="AA362" s="399">
        <v>0</v>
      </c>
      <c r="AB362" s="399">
        <v>0</v>
      </c>
      <c r="AC362" s="399">
        <v>0</v>
      </c>
      <c r="AD362" s="399">
        <v>0</v>
      </c>
      <c r="AE362" s="399">
        <v>0</v>
      </c>
      <c r="AF362" s="399">
        <v>357.01074801456139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23.44137197415106</v>
      </c>
      <c r="AM362" s="399"/>
      <c r="AN362" s="399">
        <v>1.230277822928751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15.421825121262854</v>
      </c>
      <c r="BH362" s="399">
        <v>0</v>
      </c>
      <c r="BI362" s="399">
        <v>0</v>
      </c>
      <c r="BJ362" s="399">
        <v>0</v>
      </c>
      <c r="BK362" s="399">
        <v>0</v>
      </c>
      <c r="BL362" s="399">
        <v>0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372.43257313582421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520.2808</v>
      </c>
      <c r="CJ362" s="399">
        <v>-8.9055200000000241</v>
      </c>
      <c r="CK362" s="399"/>
      <c r="CL362" s="399"/>
      <c r="CM362" s="399"/>
      <c r="CN362" s="399"/>
      <c r="CO362" s="399">
        <v>-22.890719999999995</v>
      </c>
      <c r="CP362" s="399">
        <v>14.436480000000008</v>
      </c>
      <c r="CQ362" s="399">
        <v>30</v>
      </c>
      <c r="CR362" s="399">
        <v>-8.4606402187256435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0</v>
      </c>
      <c r="DA362" s="399">
        <v>0</v>
      </c>
      <c r="DB362" s="399">
        <v>0</v>
      </c>
      <c r="DC362" s="399">
        <v>14.435966808696492</v>
      </c>
      <c r="DD362" s="399">
        <v>0</v>
      </c>
      <c r="DE362" s="399">
        <v>0</v>
      </c>
      <c r="DF362" s="399">
        <v>0</v>
      </c>
      <c r="DG362" s="399">
        <v>0.6235917456775244</v>
      </c>
      <c r="DH362" s="399">
        <v>0</v>
      </c>
      <c r="DI362" s="399">
        <v>-20.287202876017361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-3.0845226093384213</v>
      </c>
      <c r="DP362" s="399">
        <v>-0.14847328774400492</v>
      </c>
      <c r="DQ362" s="399">
        <v>0</v>
      </c>
      <c r="DR362" s="399">
        <v>0</v>
      </c>
      <c r="DS362" s="399"/>
      <c r="DT362" s="399"/>
      <c r="DU362" s="399"/>
      <c r="DV362" s="399">
        <v>0</v>
      </c>
      <c r="DW362" s="399">
        <v>0</v>
      </c>
      <c r="DX362" s="399">
        <v>0</v>
      </c>
      <c r="DY362" s="399">
        <v>-22.890719999999988</v>
      </c>
      <c r="DZ362" s="399">
        <v>14.43647999999996</v>
      </c>
      <c r="EA362" s="399">
        <v>0</v>
      </c>
      <c r="EB362" s="399">
        <v>0</v>
      </c>
      <c r="EC362" s="399">
        <v>0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225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361</v>
      </c>
      <c r="B363" s="399" t="s">
        <v>957</v>
      </c>
      <c r="C363" s="399" t="s">
        <v>2366</v>
      </c>
      <c r="D363" s="399" t="s">
        <v>534</v>
      </c>
      <c r="E363" s="399" t="s">
        <v>891</v>
      </c>
      <c r="F363" s="399" t="s">
        <v>1240</v>
      </c>
      <c r="G363" s="399" t="s">
        <v>1240</v>
      </c>
      <c r="H363" s="399" t="s">
        <v>1240</v>
      </c>
      <c r="I363" s="399" t="s">
        <v>1240</v>
      </c>
      <c r="J363" s="399" t="s">
        <v>2358</v>
      </c>
      <c r="K363" s="789">
        <v>44652</v>
      </c>
      <c r="L363" s="399">
        <v>21330</v>
      </c>
      <c r="M363" s="399">
        <v>21330</v>
      </c>
      <c r="N363" s="399">
        <v>0</v>
      </c>
      <c r="O363" s="399">
        <v>0</v>
      </c>
      <c r="P363" s="399">
        <v>0</v>
      </c>
      <c r="Q363" s="399">
        <v>0</v>
      </c>
      <c r="R363" s="399">
        <v>34.950000000000003</v>
      </c>
      <c r="S363" s="399"/>
      <c r="T363" s="399"/>
      <c r="U363" s="399">
        <v>745483.50000000012</v>
      </c>
      <c r="V363" s="399"/>
      <c r="W363" s="399">
        <v>745483.50000000012</v>
      </c>
      <c r="X363" s="399">
        <v>735458.39999999991</v>
      </c>
      <c r="Y363" s="399">
        <v>0</v>
      </c>
      <c r="Z363" s="399">
        <v>0</v>
      </c>
      <c r="AA363" s="399">
        <v>0</v>
      </c>
      <c r="AB363" s="399">
        <v>0</v>
      </c>
      <c r="AC363" s="399">
        <v>0</v>
      </c>
      <c r="AD363" s="399">
        <v>270246.39697895118</v>
      </c>
      <c r="AE363" s="399">
        <v>475334.95448201511</v>
      </c>
      <c r="AF363" s="399"/>
      <c r="AG363" s="399"/>
      <c r="AH363" s="399"/>
      <c r="AI363" s="399">
        <v>0</v>
      </c>
      <c r="AJ363" s="399">
        <v>0</v>
      </c>
      <c r="AK363" s="399">
        <v>0</v>
      </c>
      <c r="AL363" s="399">
        <v>0</v>
      </c>
      <c r="AM363" s="399"/>
      <c r="AN363" s="399">
        <v>0</v>
      </c>
      <c r="AO363" s="399">
        <v>0</v>
      </c>
      <c r="AP363" s="399">
        <v>0</v>
      </c>
      <c r="AQ363" s="399">
        <v>0</v>
      </c>
      <c r="AR363" s="399">
        <v>0</v>
      </c>
      <c r="AS363" s="399"/>
      <c r="AT363" s="399"/>
      <c r="AU363" s="399">
        <v>0</v>
      </c>
      <c r="AV363" s="399">
        <v>0</v>
      </c>
      <c r="AW363" s="399">
        <v>0</v>
      </c>
      <c r="AX363" s="399"/>
      <c r="AY363" s="399"/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/>
      <c r="BG363" s="399">
        <v>0</v>
      </c>
      <c r="BH363" s="399">
        <v>0</v>
      </c>
      <c r="BI363" s="399">
        <v>179.63</v>
      </c>
      <c r="BJ363" s="399">
        <v>829.08</v>
      </c>
      <c r="BK363" s="399">
        <v>982867.92</v>
      </c>
      <c r="BL363" s="399">
        <v>70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0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735458.39999999991</v>
      </c>
      <c r="CJ363" s="399">
        <v>-10025.130000000237</v>
      </c>
      <c r="CK363" s="399"/>
      <c r="CL363" s="399"/>
      <c r="CM363" s="399"/>
      <c r="CN363" s="399"/>
      <c r="CO363" s="399">
        <v>-10025.100000000128</v>
      </c>
      <c r="CP363" s="399">
        <v>0</v>
      </c>
      <c r="CQ363" s="399">
        <v>30</v>
      </c>
      <c r="CR363" s="399">
        <v>11310.176983464102</v>
      </c>
      <c r="CS363" s="399">
        <v>0</v>
      </c>
      <c r="CT363" s="399">
        <v>0</v>
      </c>
      <c r="CU363" s="399">
        <v>0</v>
      </c>
      <c r="CV363" s="399">
        <v>0</v>
      </c>
      <c r="CW363" s="399"/>
      <c r="CX363" s="399"/>
      <c r="CY363" s="399"/>
      <c r="CZ363" s="399">
        <v>11310.176983464102</v>
      </c>
      <c r="DA363" s="399">
        <v>0</v>
      </c>
      <c r="DB363" s="399">
        <v>0</v>
      </c>
      <c r="DC363" s="399"/>
      <c r="DD363" s="399"/>
      <c r="DE363" s="399">
        <v>0</v>
      </c>
      <c r="DF363" s="399">
        <v>0</v>
      </c>
      <c r="DG363" s="399">
        <v>0</v>
      </c>
      <c r="DH363" s="399">
        <v>0</v>
      </c>
      <c r="DI363" s="399">
        <v>0</v>
      </c>
      <c r="DJ363" s="399"/>
      <c r="DK363" s="399">
        <v>0</v>
      </c>
      <c r="DL363" s="399">
        <v>0</v>
      </c>
      <c r="DM363" s="399"/>
      <c r="DN363" s="399">
        <v>0</v>
      </c>
      <c r="DO363" s="399">
        <v>0</v>
      </c>
      <c r="DP363" s="399">
        <v>0</v>
      </c>
      <c r="DQ363" s="399">
        <v>0</v>
      </c>
      <c r="DR363" s="399">
        <v>0</v>
      </c>
      <c r="DS363" s="399"/>
      <c r="DT363" s="399"/>
      <c r="DU363" s="399">
        <v>475334.95448201511</v>
      </c>
      <c r="DV363" s="399"/>
      <c r="DW363" s="399">
        <v>0</v>
      </c>
      <c r="DX363" s="399">
        <v>0</v>
      </c>
      <c r="DY363" s="399">
        <v>-10025.10000000021</v>
      </c>
      <c r="DZ363" s="399"/>
      <c r="EA363" s="399">
        <v>0</v>
      </c>
      <c r="EB363" s="399"/>
      <c r="EC363" s="399">
        <v>-21407.769914167933</v>
      </c>
      <c r="ED363" s="399"/>
      <c r="EE363" s="399">
        <v>0</v>
      </c>
      <c r="EF363" s="399">
        <v>0</v>
      </c>
      <c r="EG363" s="399"/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/>
      <c r="EN363" s="399"/>
      <c r="EO363" s="399">
        <v>0</v>
      </c>
      <c r="EP363" s="399">
        <v>0</v>
      </c>
      <c r="EQ363" s="399"/>
      <c r="ER363" s="399">
        <v>0</v>
      </c>
      <c r="ES363" s="399"/>
      <c r="ET363" s="399">
        <v>0</v>
      </c>
      <c r="EU363" s="399"/>
      <c r="EV363" s="399">
        <v>225</v>
      </c>
      <c r="EW363" s="399"/>
      <c r="EX363" s="399"/>
      <c r="EY363" s="399"/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362</v>
      </c>
      <c r="B364" s="399" t="s">
        <v>2360</v>
      </c>
      <c r="C364" s="399" t="s">
        <v>2366</v>
      </c>
      <c r="D364" s="399" t="s">
        <v>534</v>
      </c>
      <c r="E364" s="399" t="s">
        <v>891</v>
      </c>
      <c r="F364" s="399" t="s">
        <v>1240</v>
      </c>
      <c r="G364" s="399" t="s">
        <v>1240</v>
      </c>
      <c r="H364" s="399" t="s">
        <v>1240</v>
      </c>
      <c r="I364" s="399" t="s">
        <v>1240</v>
      </c>
      <c r="J364" s="399" t="s">
        <v>2358</v>
      </c>
      <c r="K364" s="789">
        <v>44652</v>
      </c>
      <c r="L364" s="399">
        <v>130</v>
      </c>
      <c r="M364" s="399">
        <v>130</v>
      </c>
      <c r="N364" s="399">
        <v>0</v>
      </c>
      <c r="O364" s="399">
        <v>0</v>
      </c>
      <c r="P364" s="399">
        <v>0</v>
      </c>
      <c r="Q364" s="399">
        <v>0</v>
      </c>
      <c r="R364" s="399">
        <v>34.950000000000003</v>
      </c>
      <c r="S364" s="399"/>
      <c r="T364" s="399"/>
      <c r="U364" s="399">
        <v>4543.5</v>
      </c>
      <c r="V364" s="399"/>
      <c r="W364" s="399">
        <v>4543.5</v>
      </c>
      <c r="X364" s="399">
        <v>4482.3999999999996</v>
      </c>
      <c r="Y364" s="399">
        <v>0</v>
      </c>
      <c r="Z364" s="399">
        <v>0</v>
      </c>
      <c r="AA364" s="399">
        <v>0</v>
      </c>
      <c r="AB364" s="399">
        <v>0</v>
      </c>
      <c r="AC364" s="399">
        <v>0</v>
      </c>
      <c r="AD364" s="399">
        <v>1647.07133648681</v>
      </c>
      <c r="AE364" s="399">
        <v>2897.0250390371293</v>
      </c>
      <c r="AF364" s="399"/>
      <c r="AG364" s="399"/>
      <c r="AH364" s="399"/>
      <c r="AI364" s="399">
        <v>0</v>
      </c>
      <c r="AJ364" s="399">
        <v>0</v>
      </c>
      <c r="AK364" s="399">
        <v>0</v>
      </c>
      <c r="AL364" s="399">
        <v>0</v>
      </c>
      <c r="AM364" s="399"/>
      <c r="AN364" s="399">
        <v>0</v>
      </c>
      <c r="AO364" s="399">
        <v>0</v>
      </c>
      <c r="AP364" s="399">
        <v>0</v>
      </c>
      <c r="AQ364" s="399">
        <v>0</v>
      </c>
      <c r="AR364" s="399">
        <v>0</v>
      </c>
      <c r="AS364" s="399"/>
      <c r="AT364" s="399"/>
      <c r="AU364" s="399">
        <v>0</v>
      </c>
      <c r="AV364" s="399">
        <v>0</v>
      </c>
      <c r="AW364" s="399">
        <v>0</v>
      </c>
      <c r="AX364" s="399"/>
      <c r="AY364" s="399"/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/>
      <c r="BG364" s="399">
        <v>0</v>
      </c>
      <c r="BH364" s="399">
        <v>0</v>
      </c>
      <c r="BI364" s="399">
        <v>0</v>
      </c>
      <c r="BJ364" s="399">
        <v>0</v>
      </c>
      <c r="BK364" s="399">
        <v>2008.77</v>
      </c>
      <c r="BL364" s="399">
        <v>1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>
        <v>0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4482.3999999999996</v>
      </c>
      <c r="CJ364" s="399">
        <v>-61.130000000001019</v>
      </c>
      <c r="CK364" s="399"/>
      <c r="CL364" s="399"/>
      <c r="CM364" s="399"/>
      <c r="CN364" s="399"/>
      <c r="CO364" s="399">
        <v>-61.100000000000776</v>
      </c>
      <c r="CP364" s="399">
        <v>0</v>
      </c>
      <c r="CQ364" s="399">
        <v>30</v>
      </c>
      <c r="CR364" s="399">
        <v>68.932161643240988</v>
      </c>
      <c r="CS364" s="399">
        <v>0</v>
      </c>
      <c r="CT364" s="399">
        <v>0</v>
      </c>
      <c r="CU364" s="399">
        <v>0</v>
      </c>
      <c r="CV364" s="399">
        <v>0</v>
      </c>
      <c r="CW364" s="399"/>
      <c r="CX364" s="399"/>
      <c r="CY364" s="399"/>
      <c r="CZ364" s="399">
        <v>68.932161643240988</v>
      </c>
      <c r="DA364" s="399">
        <v>0</v>
      </c>
      <c r="DB364" s="399">
        <v>0</v>
      </c>
      <c r="DC364" s="399"/>
      <c r="DD364" s="399"/>
      <c r="DE364" s="399">
        <v>0</v>
      </c>
      <c r="DF364" s="399">
        <v>0</v>
      </c>
      <c r="DG364" s="399">
        <v>0</v>
      </c>
      <c r="DH364" s="399">
        <v>0</v>
      </c>
      <c r="DI364" s="399">
        <v>0</v>
      </c>
      <c r="DJ364" s="399"/>
      <c r="DK364" s="399">
        <v>0</v>
      </c>
      <c r="DL364" s="399">
        <v>0</v>
      </c>
      <c r="DM364" s="399"/>
      <c r="DN364" s="399">
        <v>0</v>
      </c>
      <c r="DO364" s="399">
        <v>0</v>
      </c>
      <c r="DP364" s="399">
        <v>0</v>
      </c>
      <c r="DQ364" s="399">
        <v>0</v>
      </c>
      <c r="DR364" s="399">
        <v>0</v>
      </c>
      <c r="DS364" s="399"/>
      <c r="DT364" s="399"/>
      <c r="DU364" s="399">
        <v>2897.0250390371293</v>
      </c>
      <c r="DV364" s="399"/>
      <c r="DW364" s="399">
        <v>0</v>
      </c>
      <c r="DX364" s="399">
        <v>0</v>
      </c>
      <c r="DY364" s="399">
        <v>-61.100000000000364</v>
      </c>
      <c r="DZ364" s="399"/>
      <c r="EA364" s="399">
        <v>0</v>
      </c>
      <c r="EB364" s="399"/>
      <c r="EC364" s="399">
        <v>-130.47398447453543</v>
      </c>
      <c r="ED364" s="399"/>
      <c r="EE364" s="399">
        <v>0</v>
      </c>
      <c r="EF364" s="399">
        <v>0</v>
      </c>
      <c r="EG364" s="399"/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/>
      <c r="EN364" s="399"/>
      <c r="EO364" s="399">
        <v>0</v>
      </c>
      <c r="EP364" s="399">
        <v>0</v>
      </c>
      <c r="EQ364" s="399"/>
      <c r="ER364" s="399">
        <v>0</v>
      </c>
      <c r="ES364" s="399"/>
      <c r="ET364" s="399">
        <v>0</v>
      </c>
      <c r="EU364" s="399"/>
      <c r="EV364" s="399">
        <v>225</v>
      </c>
      <c r="EW364" s="399"/>
      <c r="EX364" s="399"/>
      <c r="EY364" s="399"/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363</v>
      </c>
      <c r="B365" s="399" t="s">
        <v>957</v>
      </c>
      <c r="C365" s="399" t="s">
        <v>2357</v>
      </c>
      <c r="D365" s="399" t="s">
        <v>1826</v>
      </c>
      <c r="E365" s="399" t="s">
        <v>919</v>
      </c>
      <c r="F365" s="399" t="s">
        <v>1240</v>
      </c>
      <c r="G365" s="399" t="s">
        <v>1240</v>
      </c>
      <c r="H365" s="399" t="s">
        <v>1240</v>
      </c>
      <c r="I365" s="399" t="s">
        <v>1240</v>
      </c>
      <c r="J365" s="399" t="s">
        <v>2358</v>
      </c>
      <c r="K365" s="789">
        <v>44652</v>
      </c>
      <c r="L365" s="399">
        <v>0</v>
      </c>
      <c r="M365" s="399">
        <v>0</v>
      </c>
      <c r="N365" s="399">
        <v>678.78099999999995</v>
      </c>
      <c r="O365" s="399">
        <v>678.78099999999995</v>
      </c>
      <c r="P365" s="399">
        <v>678.78099999999995</v>
      </c>
      <c r="Q365" s="399">
        <v>678.78099999999995</v>
      </c>
      <c r="R365" s="399"/>
      <c r="S365" s="399">
        <v>522.37</v>
      </c>
      <c r="T365" s="399">
        <v>144.41999999999999</v>
      </c>
      <c r="U365" s="399"/>
      <c r="V365" s="399">
        <v>452604.38298999995</v>
      </c>
      <c r="W365" s="399">
        <v>452604.38298999995</v>
      </c>
      <c r="X365" s="399">
        <v>442388.72893999994</v>
      </c>
      <c r="Y365" s="399">
        <v>0</v>
      </c>
      <c r="Z365" s="399">
        <v>41677.815506796454</v>
      </c>
      <c r="AA365" s="399">
        <v>0</v>
      </c>
      <c r="AB365" s="399">
        <v>0</v>
      </c>
      <c r="AC365" s="399">
        <v>0</v>
      </c>
      <c r="AD365" s="399">
        <v>69210.990659681614</v>
      </c>
      <c r="AE365" s="399">
        <v>225292.31361395281</v>
      </c>
      <c r="AF365" s="399">
        <v>98030.789865724902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6436.7143648811607</v>
      </c>
      <c r="AM365" s="399"/>
      <c r="AN365" s="399">
        <v>987.52806086558769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10967.963530963239</v>
      </c>
      <c r="BH365" s="399">
        <v>0</v>
      </c>
      <c r="BI365" s="399">
        <v>242.14</v>
      </c>
      <c r="BJ365" s="399">
        <v>1119.8699999999999</v>
      </c>
      <c r="BK365" s="399">
        <v>153662.5</v>
      </c>
      <c r="BL365" s="399">
        <v>1220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108998.75339668815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442388.0772</v>
      </c>
      <c r="CJ365" s="399">
        <v>-10216.335789999983</v>
      </c>
      <c r="CK365" s="399"/>
      <c r="CL365" s="399"/>
      <c r="CM365" s="399"/>
      <c r="CN365" s="399"/>
      <c r="CO365" s="399">
        <v>-14179.735089999989</v>
      </c>
      <c r="CP365" s="399">
        <v>3964.0810400000018</v>
      </c>
      <c r="CQ365" s="399">
        <v>30</v>
      </c>
      <c r="CR365" s="399">
        <v>-65.148555615771329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2896.5735059290746</v>
      </c>
      <c r="DA365" s="399">
        <v>0</v>
      </c>
      <c r="DB365" s="399">
        <v>0</v>
      </c>
      <c r="DC365" s="399">
        <v>3963.9401239376457</v>
      </c>
      <c r="DD365" s="399">
        <v>0</v>
      </c>
      <c r="DE365" s="399">
        <v>0</v>
      </c>
      <c r="DF365" s="399">
        <v>0</v>
      </c>
      <c r="DG365" s="399">
        <v>443.49689294369455</v>
      </c>
      <c r="DH365" s="399">
        <v>0</v>
      </c>
      <c r="DI365" s="399">
        <v>-6403.0092695132626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-846.97222544067245</v>
      </c>
      <c r="DP365" s="399">
        <v>-119.17758347226868</v>
      </c>
      <c r="DQ365" s="399">
        <v>0</v>
      </c>
      <c r="DR365" s="399">
        <v>0</v>
      </c>
      <c r="DS365" s="399"/>
      <c r="DT365" s="399"/>
      <c r="DU365" s="399"/>
      <c r="DV365" s="399">
        <v>225292.31361395281</v>
      </c>
      <c r="DW365" s="399">
        <v>0</v>
      </c>
      <c r="DX365" s="399">
        <v>0</v>
      </c>
      <c r="DY365" s="399">
        <v>-14179.735089999973</v>
      </c>
      <c r="DZ365" s="399">
        <v>3964.0810400000046</v>
      </c>
      <c r="EA365" s="399">
        <v>0</v>
      </c>
      <c r="EB365" s="399">
        <v>0</v>
      </c>
      <c r="EC365" s="399">
        <v>-10146.541860221507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225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364</v>
      </c>
      <c r="B366" s="399" t="s">
        <v>2360</v>
      </c>
      <c r="C366" s="399" t="s">
        <v>2357</v>
      </c>
      <c r="D366" s="399" t="s">
        <v>1826</v>
      </c>
      <c r="E366" s="399" t="s">
        <v>919</v>
      </c>
      <c r="F366" s="399" t="s">
        <v>1240</v>
      </c>
      <c r="G366" s="399" t="s">
        <v>1240</v>
      </c>
      <c r="H366" s="399" t="s">
        <v>1240</v>
      </c>
      <c r="I366" s="399" t="s">
        <v>1240</v>
      </c>
      <c r="J366" s="399" t="s">
        <v>2358</v>
      </c>
      <c r="K366" s="789">
        <v>44652</v>
      </c>
      <c r="L366" s="399">
        <v>0</v>
      </c>
      <c r="M366" s="399">
        <v>0</v>
      </c>
      <c r="N366" s="399">
        <v>39.656999999999996</v>
      </c>
      <c r="O366" s="399">
        <v>39.656999999999996</v>
      </c>
      <c r="P366" s="399">
        <v>39.656999999999996</v>
      </c>
      <c r="Q366" s="399">
        <v>39.656999999999996</v>
      </c>
      <c r="R366" s="399"/>
      <c r="S366" s="399">
        <v>522.37</v>
      </c>
      <c r="T366" s="399">
        <v>144.41999999999999</v>
      </c>
      <c r="U366" s="399"/>
      <c r="V366" s="399">
        <v>26442.891029999999</v>
      </c>
      <c r="W366" s="399">
        <v>26442.891029999999</v>
      </c>
      <c r="X366" s="399">
        <v>25846.053179999995</v>
      </c>
      <c r="Y366" s="399">
        <v>0</v>
      </c>
      <c r="Z366" s="399">
        <v>2434.9784828288166</v>
      </c>
      <c r="AA366" s="399">
        <v>0</v>
      </c>
      <c r="AB366" s="399">
        <v>0</v>
      </c>
      <c r="AC366" s="399">
        <v>0</v>
      </c>
      <c r="AD366" s="399">
        <v>4043.5726052894724</v>
      </c>
      <c r="AE366" s="399">
        <v>13162.444560157881</v>
      </c>
      <c r="AF366" s="399">
        <v>5727.3362597141822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376.05764092997913</v>
      </c>
      <c r="AM366" s="399"/>
      <c r="AN366" s="399">
        <v>57.695192278137739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640.79066701544264</v>
      </c>
      <c r="BH366" s="399">
        <v>0</v>
      </c>
      <c r="BI366" s="399">
        <v>0.47</v>
      </c>
      <c r="BJ366" s="399">
        <v>2.16</v>
      </c>
      <c r="BK366" s="399">
        <v>15761.16</v>
      </c>
      <c r="BL366" s="399">
        <v>48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>
        <v>6368.1269267296248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25848.008399999999</v>
      </c>
      <c r="CJ366" s="399">
        <v>-594.91262999999526</v>
      </c>
      <c r="CK366" s="399"/>
      <c r="CL366" s="399"/>
      <c r="CM366" s="399"/>
      <c r="CN366" s="399"/>
      <c r="CO366" s="399">
        <v>-828.43472999999938</v>
      </c>
      <c r="CP366" s="399">
        <v>231.59688000000011</v>
      </c>
      <c r="CQ366" s="399">
        <v>30</v>
      </c>
      <c r="CR366" s="399">
        <v>-3.8062295056224684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169.22897889691922</v>
      </c>
      <c r="DA366" s="399">
        <v>0</v>
      </c>
      <c r="DB366" s="399">
        <v>0</v>
      </c>
      <c r="DC366" s="399">
        <v>231.58864714097035</v>
      </c>
      <c r="DD366" s="399">
        <v>0</v>
      </c>
      <c r="DE366" s="399">
        <v>0</v>
      </c>
      <c r="DF366" s="399">
        <v>0</v>
      </c>
      <c r="DG366" s="399">
        <v>25.910796388626181</v>
      </c>
      <c r="DH366" s="399">
        <v>0</v>
      </c>
      <c r="DI366" s="399">
        <v>-374.08845946054407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-49.483379093257952</v>
      </c>
      <c r="DP366" s="399">
        <v>-6.9628133783352197</v>
      </c>
      <c r="DQ366" s="399">
        <v>0</v>
      </c>
      <c r="DR366" s="399">
        <v>0</v>
      </c>
      <c r="DS366" s="399"/>
      <c r="DT366" s="399"/>
      <c r="DU366" s="399"/>
      <c r="DV366" s="399">
        <v>13162.444560157881</v>
      </c>
      <c r="DW366" s="399">
        <v>0</v>
      </c>
      <c r="DX366" s="399">
        <v>0</v>
      </c>
      <c r="DY366" s="399">
        <v>-828.43473000000085</v>
      </c>
      <c r="DZ366" s="399">
        <v>231.59688000000006</v>
      </c>
      <c r="EA366" s="399">
        <v>0</v>
      </c>
      <c r="EB366" s="399">
        <v>0</v>
      </c>
      <c r="EC366" s="399">
        <v>-592.80004972267125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225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365</v>
      </c>
      <c r="B367" s="399" t="s">
        <v>2360</v>
      </c>
      <c r="C367" s="399" t="s">
        <v>2357</v>
      </c>
      <c r="D367" s="399" t="s">
        <v>1826</v>
      </c>
      <c r="E367" s="399" t="s">
        <v>919</v>
      </c>
      <c r="F367" s="399" t="s">
        <v>1240</v>
      </c>
      <c r="G367" s="399" t="s">
        <v>1240</v>
      </c>
      <c r="H367" s="399" t="s">
        <v>1240</v>
      </c>
      <c r="I367" s="399" t="s">
        <v>1240</v>
      </c>
      <c r="J367" s="399" t="s">
        <v>2358</v>
      </c>
      <c r="K367" s="789">
        <v>44652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>
        <v>0</v>
      </c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>
        <v>0</v>
      </c>
      <c r="BA367" s="399"/>
      <c r="BB367" s="399"/>
      <c r="BC367" s="399"/>
      <c r="BD367" s="399"/>
      <c r="BE367" s="399"/>
      <c r="BF367" s="399"/>
      <c r="BG367" s="399"/>
      <c r="BH367" s="399"/>
      <c r="BI367" s="399">
        <v>0</v>
      </c>
      <c r="BJ367" s="399">
        <v>0</v>
      </c>
      <c r="BK367" s="399">
        <v>0</v>
      </c>
      <c r="BL367" s="399">
        <v>4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/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/>
      <c r="CJ367" s="399">
        <v>-0.03</v>
      </c>
      <c r="CK367" s="399"/>
      <c r="CL367" s="399"/>
      <c r="CM367" s="399"/>
      <c r="CN367" s="399"/>
      <c r="CO367" s="399">
        <v>0</v>
      </c>
      <c r="CP367" s="399">
        <v>0</v>
      </c>
      <c r="CQ367" s="399">
        <v>30</v>
      </c>
      <c r="CR367" s="399"/>
      <c r="CS367" s="399"/>
      <c r="CT367" s="399"/>
      <c r="CU367" s="399"/>
      <c r="CV367" s="399"/>
      <c r="CW367" s="399"/>
      <c r="CX367" s="399"/>
      <c r="CY367" s="399"/>
      <c r="CZ367" s="399"/>
      <c r="DA367" s="399"/>
      <c r="DB367" s="399"/>
      <c r="DC367" s="399"/>
      <c r="DD367" s="399"/>
      <c r="DE367" s="399"/>
      <c r="DF367" s="399"/>
      <c r="DG367" s="399"/>
      <c r="DH367" s="399"/>
      <c r="DI367" s="399"/>
      <c r="DJ367" s="399"/>
      <c r="DK367" s="399">
        <v>0</v>
      </c>
      <c r="DL367" s="399"/>
      <c r="DM367" s="399"/>
      <c r="DN367" s="399"/>
      <c r="DO367" s="399"/>
      <c r="DP367" s="399"/>
      <c r="DQ367" s="399"/>
      <c r="DR367" s="399"/>
      <c r="DS367" s="399"/>
      <c r="DT367" s="399"/>
      <c r="DU367" s="399"/>
      <c r="DV367" s="399"/>
      <c r="DW367" s="399"/>
      <c r="DX367" s="399"/>
      <c r="DY367" s="399"/>
      <c r="DZ367" s="399"/>
      <c r="EA367" s="399"/>
      <c r="EB367" s="399"/>
      <c r="EC367" s="399"/>
      <c r="ED367" s="399"/>
      <c r="EE367" s="399"/>
      <c r="EF367" s="399"/>
      <c r="EG367" s="399"/>
      <c r="EH367" s="399"/>
      <c r="EI367" s="399"/>
      <c r="EJ367" s="399"/>
      <c r="EK367" s="399"/>
      <c r="EL367" s="399"/>
      <c r="EM367" s="399"/>
      <c r="EN367" s="399"/>
      <c r="EO367" s="399"/>
      <c r="EP367" s="399"/>
      <c r="EQ367" s="399"/>
      <c r="ER367" s="399"/>
      <c r="ES367" s="399"/>
      <c r="ET367" s="399"/>
      <c r="EU367" s="399"/>
      <c r="EV367" s="399">
        <v>225</v>
      </c>
      <c r="EW367" s="399"/>
      <c r="EX367" s="399"/>
      <c r="EY367" s="399"/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366</v>
      </c>
      <c r="B368" s="399" t="s">
        <v>957</v>
      </c>
      <c r="C368" s="399" t="s">
        <v>2366</v>
      </c>
      <c r="D368" s="399" t="s">
        <v>534</v>
      </c>
      <c r="E368" s="399" t="s">
        <v>919</v>
      </c>
      <c r="F368" s="399" t="s">
        <v>1240</v>
      </c>
      <c r="G368" s="399" t="s">
        <v>1240</v>
      </c>
      <c r="H368" s="399" t="s">
        <v>1240</v>
      </c>
      <c r="I368" s="399" t="s">
        <v>894</v>
      </c>
      <c r="J368" s="399" t="s">
        <v>2358</v>
      </c>
      <c r="K368" s="789">
        <v>44652</v>
      </c>
      <c r="L368" s="399">
        <v>0</v>
      </c>
      <c r="M368" s="399">
        <v>0</v>
      </c>
      <c r="N368" s="399">
        <v>8.1709999999999994</v>
      </c>
      <c r="O368" s="399">
        <v>8.1709999999999994</v>
      </c>
      <c r="P368" s="399">
        <v>8.1709999999999994</v>
      </c>
      <c r="Q368" s="399">
        <v>8.1709999999999994</v>
      </c>
      <c r="R368" s="399"/>
      <c r="S368" s="399">
        <v>2740.31</v>
      </c>
      <c r="T368" s="399">
        <v>144.41999999999999</v>
      </c>
      <c r="U368" s="399"/>
      <c r="V368" s="399">
        <v>23571.128829999998</v>
      </c>
      <c r="W368" s="399">
        <v>23571.128829999998</v>
      </c>
      <c r="X368" s="399">
        <v>23094.677819999997</v>
      </c>
      <c r="Y368" s="399">
        <v>0</v>
      </c>
      <c r="Z368" s="399">
        <v>436.48541214360665</v>
      </c>
      <c r="AA368" s="399">
        <v>0</v>
      </c>
      <c r="AB368" s="399">
        <v>0</v>
      </c>
      <c r="AC368" s="399">
        <v>0</v>
      </c>
      <c r="AD368" s="399">
        <v>6150.0078470441449</v>
      </c>
      <c r="AE368" s="399">
        <v>15672.039821749966</v>
      </c>
      <c r="AF368" s="399">
        <v>1180.0707208847009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77.483596440448338</v>
      </c>
      <c r="AM368" s="399"/>
      <c r="AN368" s="399">
        <v>4.0665857973911104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50.975620172264875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>
        <v>1231.0463410569657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23091.851399999996</v>
      </c>
      <c r="CJ368" s="399">
        <v>-479.30742999999711</v>
      </c>
      <c r="CK368" s="399"/>
      <c r="CL368" s="399"/>
      <c r="CM368" s="399"/>
      <c r="CN368" s="399"/>
      <c r="CO368" s="399">
        <v>-524.16965000000073</v>
      </c>
      <c r="CP368" s="399">
        <v>47.718640000000022</v>
      </c>
      <c r="CQ368" s="399">
        <v>30</v>
      </c>
      <c r="CR368" s="399">
        <v>229.42016544458966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257.38614086012694</v>
      </c>
      <c r="DA368" s="399">
        <v>0</v>
      </c>
      <c r="DB368" s="399">
        <v>0</v>
      </c>
      <c r="DC368" s="399">
        <v>47.71694368683643</v>
      </c>
      <c r="DD368" s="399">
        <v>0</v>
      </c>
      <c r="DE368" s="399">
        <v>0</v>
      </c>
      <c r="DF368" s="399">
        <v>0</v>
      </c>
      <c r="DG368" s="399">
        <v>2.0612330719785845</v>
      </c>
      <c r="DH368" s="399">
        <v>0</v>
      </c>
      <c r="DI368" s="399">
        <v>-67.057740574408513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-10.195644919459639</v>
      </c>
      <c r="DP368" s="399">
        <v>-0.49076668048392591</v>
      </c>
      <c r="DQ368" s="399">
        <v>0</v>
      </c>
      <c r="DR368" s="399">
        <v>0</v>
      </c>
      <c r="DS368" s="399"/>
      <c r="DT368" s="399"/>
      <c r="DU368" s="399"/>
      <c r="DV368" s="399">
        <v>15672.039821749966</v>
      </c>
      <c r="DW368" s="399">
        <v>0</v>
      </c>
      <c r="DX368" s="399">
        <v>0</v>
      </c>
      <c r="DY368" s="399">
        <v>-524.16964999999982</v>
      </c>
      <c r="DZ368" s="399">
        <v>47.71864000000005</v>
      </c>
      <c r="EA368" s="399">
        <v>0</v>
      </c>
      <c r="EB368" s="399">
        <v>0</v>
      </c>
      <c r="EC368" s="399">
        <v>-705.82527000427035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225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367</v>
      </c>
      <c r="B369" s="399" t="s">
        <v>957</v>
      </c>
      <c r="C369" s="399" t="s">
        <v>2366</v>
      </c>
      <c r="D369" s="399" t="s">
        <v>534</v>
      </c>
      <c r="E369" s="399" t="s">
        <v>919</v>
      </c>
      <c r="F369" s="399" t="s">
        <v>1240</v>
      </c>
      <c r="G369" s="399" t="s">
        <v>1240</v>
      </c>
      <c r="H369" s="399" t="s">
        <v>1240</v>
      </c>
      <c r="I369" s="399" t="s">
        <v>2328</v>
      </c>
      <c r="J369" s="399" t="s">
        <v>2358</v>
      </c>
      <c r="K369" s="789">
        <v>44652</v>
      </c>
      <c r="L369" s="399">
        <v>0</v>
      </c>
      <c r="M369" s="399">
        <v>0</v>
      </c>
      <c r="N369" s="399">
        <v>455.69799999999998</v>
      </c>
      <c r="O369" s="399">
        <v>455.69799999999998</v>
      </c>
      <c r="P369" s="399">
        <v>455.69799999999998</v>
      </c>
      <c r="Q369" s="399">
        <v>455.69799999999998</v>
      </c>
      <c r="R369" s="399"/>
      <c r="S369" s="399">
        <v>69.64</v>
      </c>
      <c r="T369" s="399">
        <v>144.41999999999999</v>
      </c>
      <c r="U369" s="399"/>
      <c r="V369" s="399">
        <v>97546.713879999996</v>
      </c>
      <c r="W369" s="399">
        <v>97546.713879999996</v>
      </c>
      <c r="X369" s="399">
        <v>95988.226720000006</v>
      </c>
      <c r="Y369" s="399">
        <v>0</v>
      </c>
      <c r="Z369" s="399">
        <v>24342.862482317621</v>
      </c>
      <c r="AA369" s="399">
        <v>0</v>
      </c>
      <c r="AB369" s="399">
        <v>0</v>
      </c>
      <c r="AC369" s="399">
        <v>0</v>
      </c>
      <c r="AD369" s="399">
        <v>0</v>
      </c>
      <c r="AE369" s="399">
        <v>0</v>
      </c>
      <c r="AF369" s="399">
        <v>65812.736184765206</v>
      </c>
      <c r="AG369" s="399">
        <v>0</v>
      </c>
      <c r="AH369" s="399">
        <v>0</v>
      </c>
      <c r="AI369" s="399">
        <v>0</v>
      </c>
      <c r="AJ369" s="399">
        <v>0</v>
      </c>
      <c r="AK369" s="399">
        <v>0</v>
      </c>
      <c r="AL369" s="399">
        <v>4321.272785548822</v>
      </c>
      <c r="AM369" s="399"/>
      <c r="AN369" s="399">
        <v>226.79415184182281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2842.918634348398</v>
      </c>
      <c r="BH369" s="399">
        <v>0</v>
      </c>
      <c r="BI369" s="399">
        <v>0</v>
      </c>
      <c r="BJ369" s="399">
        <v>0</v>
      </c>
      <c r="BK369" s="399">
        <v>0</v>
      </c>
      <c r="BL369" s="399">
        <v>0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>
        <v>68655.65481911361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95988.647999999986</v>
      </c>
      <c r="CJ369" s="399">
        <v>-1558.0958799999935</v>
      </c>
      <c r="CK369" s="399"/>
      <c r="CL369" s="399"/>
      <c r="CM369" s="399"/>
      <c r="CN369" s="399"/>
      <c r="CO369" s="399">
        <v>-4219.7634799999987</v>
      </c>
      <c r="CP369" s="399">
        <v>2661.2763200000013</v>
      </c>
      <c r="CQ369" s="399">
        <v>30</v>
      </c>
      <c r="CR369" s="399">
        <v>-1559.6670009679947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0</v>
      </c>
      <c r="DA369" s="399">
        <v>0</v>
      </c>
      <c r="DB369" s="399">
        <v>0</v>
      </c>
      <c r="DC369" s="399">
        <v>2661.1817163387459</v>
      </c>
      <c r="DD369" s="399">
        <v>0</v>
      </c>
      <c r="DE369" s="399">
        <v>0</v>
      </c>
      <c r="DF369" s="399">
        <v>0</v>
      </c>
      <c r="DG369" s="399">
        <v>114.95530393274976</v>
      </c>
      <c r="DH369" s="399">
        <v>0</v>
      </c>
      <c r="DI369" s="399">
        <v>-3739.821106875148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-568.61277671128573</v>
      </c>
      <c r="DP369" s="399">
        <v>-27.370137653061335</v>
      </c>
      <c r="DQ369" s="399">
        <v>0</v>
      </c>
      <c r="DR369" s="399">
        <v>0</v>
      </c>
      <c r="DS369" s="399"/>
      <c r="DT369" s="399"/>
      <c r="DU369" s="399"/>
      <c r="DV369" s="399">
        <v>0</v>
      </c>
      <c r="DW369" s="399">
        <v>0</v>
      </c>
      <c r="DX369" s="399">
        <v>0</v>
      </c>
      <c r="DY369" s="399">
        <v>-4219.7634799999978</v>
      </c>
      <c r="DZ369" s="399">
        <v>2661.2763200000045</v>
      </c>
      <c r="EA369" s="399">
        <v>0</v>
      </c>
      <c r="EB369" s="399">
        <v>0</v>
      </c>
      <c r="EC369" s="399">
        <v>0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0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225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368</v>
      </c>
      <c r="B370" s="399" t="s">
        <v>957</v>
      </c>
      <c r="C370" s="399" t="s">
        <v>2366</v>
      </c>
      <c r="D370" s="399" t="s">
        <v>534</v>
      </c>
      <c r="E370" s="399" t="s">
        <v>919</v>
      </c>
      <c r="F370" s="399" t="s">
        <v>1240</v>
      </c>
      <c r="G370" s="399" t="s">
        <v>1240</v>
      </c>
      <c r="H370" s="399" t="s">
        <v>1240</v>
      </c>
      <c r="I370" s="399" t="s">
        <v>1240</v>
      </c>
      <c r="J370" s="399" t="s">
        <v>2358</v>
      </c>
      <c r="K370" s="789">
        <v>44652</v>
      </c>
      <c r="L370" s="399">
        <v>1885</v>
      </c>
      <c r="M370" s="399">
        <v>1885</v>
      </c>
      <c r="N370" s="399">
        <v>0</v>
      </c>
      <c r="O370" s="399">
        <v>0</v>
      </c>
      <c r="P370" s="399">
        <v>0</v>
      </c>
      <c r="Q370" s="399">
        <v>0</v>
      </c>
      <c r="R370" s="399">
        <v>34.950000000000003</v>
      </c>
      <c r="S370" s="399"/>
      <c r="T370" s="399"/>
      <c r="U370" s="399">
        <v>65880.75</v>
      </c>
      <c r="V370" s="399"/>
      <c r="W370" s="399">
        <v>65880.75</v>
      </c>
      <c r="X370" s="399">
        <v>64994.799999999996</v>
      </c>
      <c r="Y370" s="399">
        <v>0</v>
      </c>
      <c r="Z370" s="399">
        <v>0</v>
      </c>
      <c r="AA370" s="399">
        <v>0</v>
      </c>
      <c r="AB370" s="399">
        <v>0</v>
      </c>
      <c r="AC370" s="399">
        <v>0</v>
      </c>
      <c r="AD370" s="399">
        <v>23882.534379058743</v>
      </c>
      <c r="AE370" s="399">
        <v>42006.863066038371</v>
      </c>
      <c r="AF370" s="399"/>
      <c r="AG370" s="399"/>
      <c r="AH370" s="399"/>
      <c r="AI370" s="399">
        <v>0</v>
      </c>
      <c r="AJ370" s="399">
        <v>0</v>
      </c>
      <c r="AK370" s="399">
        <v>0</v>
      </c>
      <c r="AL370" s="399">
        <v>0</v>
      </c>
      <c r="AM370" s="399"/>
      <c r="AN370" s="399">
        <v>0</v>
      </c>
      <c r="AO370" s="399">
        <v>0</v>
      </c>
      <c r="AP370" s="399">
        <v>0</v>
      </c>
      <c r="AQ370" s="399">
        <v>0</v>
      </c>
      <c r="AR370" s="399">
        <v>0</v>
      </c>
      <c r="AS370" s="399"/>
      <c r="AT370" s="399"/>
      <c r="AU370" s="399">
        <v>0</v>
      </c>
      <c r="AV370" s="399">
        <v>0</v>
      </c>
      <c r="AW370" s="399">
        <v>0</v>
      </c>
      <c r="AX370" s="399"/>
      <c r="AY370" s="399"/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/>
      <c r="BG370" s="399">
        <v>0</v>
      </c>
      <c r="BH370" s="399">
        <v>0</v>
      </c>
      <c r="BI370" s="399">
        <v>0</v>
      </c>
      <c r="BJ370" s="399">
        <v>0</v>
      </c>
      <c r="BK370" s="399">
        <v>80162.91</v>
      </c>
      <c r="BL370" s="399">
        <v>14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0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64994.799999999996</v>
      </c>
      <c r="CJ370" s="399">
        <v>-885.97999999998865</v>
      </c>
      <c r="CK370" s="399"/>
      <c r="CL370" s="399"/>
      <c r="CM370" s="399"/>
      <c r="CN370" s="399"/>
      <c r="CO370" s="399">
        <v>-885.9500000000113</v>
      </c>
      <c r="CP370" s="399">
        <v>0</v>
      </c>
      <c r="CQ370" s="399">
        <v>30</v>
      </c>
      <c r="CR370" s="399">
        <v>999.51634382699558</v>
      </c>
      <c r="CS370" s="399">
        <v>0</v>
      </c>
      <c r="CT370" s="399">
        <v>0</v>
      </c>
      <c r="CU370" s="399">
        <v>0</v>
      </c>
      <c r="CV370" s="399">
        <v>0</v>
      </c>
      <c r="CW370" s="399"/>
      <c r="CX370" s="399"/>
      <c r="CY370" s="399"/>
      <c r="CZ370" s="399">
        <v>999.51634382699558</v>
      </c>
      <c r="DA370" s="399">
        <v>0</v>
      </c>
      <c r="DB370" s="399">
        <v>0</v>
      </c>
      <c r="DC370" s="399"/>
      <c r="DD370" s="399"/>
      <c r="DE370" s="399">
        <v>0</v>
      </c>
      <c r="DF370" s="399">
        <v>0</v>
      </c>
      <c r="DG370" s="399">
        <v>0</v>
      </c>
      <c r="DH370" s="399">
        <v>0</v>
      </c>
      <c r="DI370" s="399">
        <v>0</v>
      </c>
      <c r="DJ370" s="399"/>
      <c r="DK370" s="399">
        <v>0</v>
      </c>
      <c r="DL370" s="399">
        <v>0</v>
      </c>
      <c r="DM370" s="399"/>
      <c r="DN370" s="399">
        <v>0</v>
      </c>
      <c r="DO370" s="399">
        <v>0</v>
      </c>
      <c r="DP370" s="399">
        <v>0</v>
      </c>
      <c r="DQ370" s="399">
        <v>0</v>
      </c>
      <c r="DR370" s="399">
        <v>0</v>
      </c>
      <c r="DS370" s="399"/>
      <c r="DT370" s="399"/>
      <c r="DU370" s="399">
        <v>42006.863066038371</v>
      </c>
      <c r="DV370" s="399"/>
      <c r="DW370" s="399">
        <v>0</v>
      </c>
      <c r="DX370" s="399">
        <v>0</v>
      </c>
      <c r="DY370" s="399">
        <v>-885.95000000000437</v>
      </c>
      <c r="DZ370" s="399"/>
      <c r="EA370" s="399">
        <v>0</v>
      </c>
      <c r="EB370" s="399"/>
      <c r="EC370" s="399">
        <v>-1891.8727748807578</v>
      </c>
      <c r="ED370" s="399"/>
      <c r="EE370" s="399">
        <v>0</v>
      </c>
      <c r="EF370" s="399">
        <v>0</v>
      </c>
      <c r="EG370" s="399"/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/>
      <c r="EN370" s="399"/>
      <c r="EO370" s="399">
        <v>0</v>
      </c>
      <c r="EP370" s="399">
        <v>0</v>
      </c>
      <c r="EQ370" s="399"/>
      <c r="ER370" s="399">
        <v>0</v>
      </c>
      <c r="ES370" s="399"/>
      <c r="ET370" s="399">
        <v>0</v>
      </c>
      <c r="EU370" s="399"/>
      <c r="EV370" s="399">
        <v>225</v>
      </c>
      <c r="EW370" s="399"/>
      <c r="EX370" s="399"/>
      <c r="EY370" s="399"/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369</v>
      </c>
      <c r="B371" s="399" t="s">
        <v>957</v>
      </c>
      <c r="C371" s="399" t="s">
        <v>2367</v>
      </c>
      <c r="D371" s="399" t="s">
        <v>1826</v>
      </c>
      <c r="E371" s="399" t="s">
        <v>919</v>
      </c>
      <c r="F371" s="399" t="s">
        <v>1240</v>
      </c>
      <c r="G371" s="399" t="s">
        <v>1240</v>
      </c>
      <c r="H371" s="399" t="s">
        <v>1240</v>
      </c>
      <c r="I371" s="399" t="s">
        <v>894</v>
      </c>
      <c r="J371" s="399" t="s">
        <v>2358</v>
      </c>
      <c r="K371" s="789">
        <v>44652</v>
      </c>
      <c r="L371" s="399">
        <v>0</v>
      </c>
      <c r="M371" s="399">
        <v>0</v>
      </c>
      <c r="N371" s="399">
        <v>6.6000000000000003E-2</v>
      </c>
      <c r="O371" s="399">
        <v>6.6000000000000003E-2</v>
      </c>
      <c r="P371" s="399">
        <v>6.6000000000000003E-2</v>
      </c>
      <c r="Q371" s="399">
        <v>6.6000000000000003E-2</v>
      </c>
      <c r="R371" s="399"/>
      <c r="S371" s="399">
        <v>1585.55</v>
      </c>
      <c r="T371" s="399">
        <v>144.41999999999999</v>
      </c>
      <c r="U371" s="399"/>
      <c r="V371" s="399">
        <v>114.17802</v>
      </c>
      <c r="W371" s="399">
        <v>114.17802</v>
      </c>
      <c r="X371" s="399">
        <v>111.45882</v>
      </c>
      <c r="Y371" s="399">
        <v>0</v>
      </c>
      <c r="Z371" s="399">
        <v>4.0524643787150296</v>
      </c>
      <c r="AA371" s="399">
        <v>0</v>
      </c>
      <c r="AB371" s="399">
        <v>0</v>
      </c>
      <c r="AC371" s="399">
        <v>0</v>
      </c>
      <c r="AD371" s="399">
        <v>23.230430172777037</v>
      </c>
      <c r="AE371" s="399">
        <v>75.575221604467202</v>
      </c>
      <c r="AF371" s="399">
        <v>9.531840359612076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0.62586187309626617</v>
      </c>
      <c r="AM371" s="399"/>
      <c r="AN371" s="399">
        <v>9.6020442553826343E-2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1.0664494042166381</v>
      </c>
      <c r="BH371" s="399">
        <v>0</v>
      </c>
      <c r="BI371" s="399">
        <v>0</v>
      </c>
      <c r="BJ371" s="399">
        <v>0</v>
      </c>
      <c r="BK371" s="399">
        <v>0</v>
      </c>
      <c r="BL371" s="399">
        <v>0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10.598289763828713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118.21390000000002</v>
      </c>
      <c r="CJ371" s="399">
        <v>4.0058800000000048</v>
      </c>
      <c r="CK371" s="399"/>
      <c r="CL371" s="399"/>
      <c r="CM371" s="399"/>
      <c r="CN371" s="399"/>
      <c r="CO371" s="399">
        <v>-3.1046399999999976</v>
      </c>
      <c r="CP371" s="399">
        <v>0.38544000000000023</v>
      </c>
      <c r="CQ371" s="399">
        <v>30</v>
      </c>
      <c r="CR371" s="399">
        <v>0.6842474004636756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0.97222490139839124</v>
      </c>
      <c r="DA371" s="399">
        <v>0</v>
      </c>
      <c r="DB371" s="399">
        <v>0</v>
      </c>
      <c r="DC371" s="399">
        <v>0.38542629829044195</v>
      </c>
      <c r="DD371" s="399">
        <v>0</v>
      </c>
      <c r="DE371" s="399">
        <v>0</v>
      </c>
      <c r="DF371" s="399">
        <v>0</v>
      </c>
      <c r="DG371" s="399">
        <v>4.3122590252649751E-2</v>
      </c>
      <c r="DH371" s="399">
        <v>0</v>
      </c>
      <c r="DI371" s="399">
        <v>-0.6225846212370052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-8.2353758987190773E-2</v>
      </c>
      <c r="DP371" s="399">
        <v>-1.158800925360276E-2</v>
      </c>
      <c r="DQ371" s="399">
        <v>0</v>
      </c>
      <c r="DR371" s="399">
        <v>0</v>
      </c>
      <c r="DS371" s="399"/>
      <c r="DT371" s="399"/>
      <c r="DU371" s="399"/>
      <c r="DV371" s="399">
        <v>75.575221604467202</v>
      </c>
      <c r="DW371" s="399">
        <v>0</v>
      </c>
      <c r="DX371" s="399">
        <v>0</v>
      </c>
      <c r="DY371" s="399">
        <v>-3.1046399999999892</v>
      </c>
      <c r="DZ371" s="399">
        <v>0.38543999999999912</v>
      </c>
      <c r="EA371" s="399">
        <v>0</v>
      </c>
      <c r="EB371" s="399">
        <v>0</v>
      </c>
      <c r="EC371" s="399">
        <v>-3.4036986761975925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225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370</v>
      </c>
      <c r="B372" s="399" t="s">
        <v>957</v>
      </c>
      <c r="C372" s="399" t="s">
        <v>2367</v>
      </c>
      <c r="D372" s="399" t="s">
        <v>1826</v>
      </c>
      <c r="E372" s="399" t="s">
        <v>919</v>
      </c>
      <c r="F372" s="399" t="s">
        <v>1240</v>
      </c>
      <c r="G372" s="399" t="s">
        <v>1240</v>
      </c>
      <c r="H372" s="399" t="s">
        <v>1240</v>
      </c>
      <c r="I372" s="399" t="s">
        <v>2328</v>
      </c>
      <c r="J372" s="399" t="s">
        <v>2358</v>
      </c>
      <c r="K372" s="789">
        <v>44652</v>
      </c>
      <c r="L372" s="399">
        <v>0</v>
      </c>
      <c r="M372" s="399">
        <v>0</v>
      </c>
      <c r="N372" s="399">
        <v>6.3140000000000001</v>
      </c>
      <c r="O372" s="399">
        <v>6.3140000000000001</v>
      </c>
      <c r="P372" s="399">
        <v>6.3140000000000001</v>
      </c>
      <c r="Q372" s="399">
        <v>6.3140000000000001</v>
      </c>
      <c r="R372" s="399"/>
      <c r="S372" s="399">
        <v>387.88</v>
      </c>
      <c r="T372" s="399">
        <v>144.41999999999999</v>
      </c>
      <c r="U372" s="399"/>
      <c r="V372" s="399">
        <v>3360.9422</v>
      </c>
      <c r="W372" s="399">
        <v>3360.9422</v>
      </c>
      <c r="X372" s="399">
        <v>3286.8789800000004</v>
      </c>
      <c r="Y372" s="399">
        <v>0</v>
      </c>
      <c r="Z372" s="399">
        <v>387.68575889707114</v>
      </c>
      <c r="AA372" s="399">
        <v>0</v>
      </c>
      <c r="AB372" s="399">
        <v>0</v>
      </c>
      <c r="AC372" s="399">
        <v>0</v>
      </c>
      <c r="AD372" s="399">
        <v>444.28457613097601</v>
      </c>
      <c r="AE372" s="399">
        <v>1446.0061619355567</v>
      </c>
      <c r="AF372" s="399">
        <v>911.87939440288858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59.87411919287613</v>
      </c>
      <c r="AM372" s="399"/>
      <c r="AN372" s="399">
        <v>9.1859556709827199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102.02365967005839</v>
      </c>
      <c r="BH372" s="399">
        <v>0</v>
      </c>
      <c r="BI372" s="399">
        <v>0</v>
      </c>
      <c r="BJ372" s="399">
        <v>0</v>
      </c>
      <c r="BK372" s="399">
        <v>0</v>
      </c>
      <c r="BL372" s="399">
        <v>0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1013.9030540729469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3284.7966999999994</v>
      </c>
      <c r="CJ372" s="399">
        <v>-76.175500000001193</v>
      </c>
      <c r="CK372" s="399"/>
      <c r="CL372" s="399"/>
      <c r="CM372" s="399"/>
      <c r="CN372" s="399"/>
      <c r="CO372" s="399">
        <v>-110.93697999999996</v>
      </c>
      <c r="CP372" s="399">
        <v>36.873760000000019</v>
      </c>
      <c r="CQ372" s="399">
        <v>30</v>
      </c>
      <c r="CR372" s="399">
        <v>-8.955937575307189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18.593910014113533</v>
      </c>
      <c r="DA372" s="399">
        <v>0</v>
      </c>
      <c r="DB372" s="399">
        <v>0</v>
      </c>
      <c r="DC372" s="399">
        <v>36.87244920311889</v>
      </c>
      <c r="DD372" s="399">
        <v>0</v>
      </c>
      <c r="DE372" s="399">
        <v>0</v>
      </c>
      <c r="DF372" s="399">
        <v>0</v>
      </c>
      <c r="DG372" s="399">
        <v>4.1253944675034688</v>
      </c>
      <c r="DH372" s="399">
        <v>0</v>
      </c>
      <c r="DI372" s="399">
        <v>-59.560595431673448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-7.8785096097745893</v>
      </c>
      <c r="DP372" s="399">
        <v>-1.1085862185946649</v>
      </c>
      <c r="DQ372" s="399">
        <v>0</v>
      </c>
      <c r="DR372" s="399">
        <v>0</v>
      </c>
      <c r="DS372" s="399"/>
      <c r="DT372" s="399"/>
      <c r="DU372" s="399"/>
      <c r="DV372" s="399">
        <v>1446.0061619355567</v>
      </c>
      <c r="DW372" s="399">
        <v>0</v>
      </c>
      <c r="DX372" s="399">
        <v>0</v>
      </c>
      <c r="DY372" s="399">
        <v>-110.93697999999995</v>
      </c>
      <c r="DZ372" s="399">
        <v>36.873760000000061</v>
      </c>
      <c r="EA372" s="399">
        <v>0</v>
      </c>
      <c r="EB372" s="399">
        <v>0</v>
      </c>
      <c r="EC372" s="399">
        <v>-65.124112833068921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225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371</v>
      </c>
      <c r="B373" s="399" t="s">
        <v>957</v>
      </c>
      <c r="C373" s="399" t="s">
        <v>2367</v>
      </c>
      <c r="D373" s="399" t="s">
        <v>1826</v>
      </c>
      <c r="E373" s="399" t="s">
        <v>919</v>
      </c>
      <c r="F373" s="399" t="s">
        <v>1240</v>
      </c>
      <c r="G373" s="399" t="s">
        <v>1240</v>
      </c>
      <c r="H373" s="399" t="s">
        <v>1240</v>
      </c>
      <c r="I373" s="399" t="s">
        <v>1240</v>
      </c>
      <c r="J373" s="399" t="s">
        <v>2358</v>
      </c>
      <c r="K373" s="789">
        <v>44652</v>
      </c>
      <c r="L373" s="399">
        <v>0</v>
      </c>
      <c r="M373" s="399">
        <v>0</v>
      </c>
      <c r="N373" s="399">
        <v>0</v>
      </c>
      <c r="O373" s="399">
        <v>0</v>
      </c>
      <c r="P373" s="399">
        <v>0</v>
      </c>
      <c r="Q373" s="399">
        <v>0</v>
      </c>
      <c r="R373" s="399"/>
      <c r="S373" s="399"/>
      <c r="T373" s="399"/>
      <c r="U373" s="399"/>
      <c r="V373" s="399"/>
      <c r="W373" s="399"/>
      <c r="X373" s="399"/>
      <c r="Y373" s="399"/>
      <c r="Z373" s="399"/>
      <c r="AA373" s="399">
        <v>0</v>
      </c>
      <c r="AB373" s="399"/>
      <c r="AC373" s="399"/>
      <c r="AD373" s="399"/>
      <c r="AE373" s="399"/>
      <c r="AF373" s="399"/>
      <c r="AG373" s="399"/>
      <c r="AH373" s="399"/>
      <c r="AI373" s="399"/>
      <c r="AJ373" s="399"/>
      <c r="AK373" s="399"/>
      <c r="AL373" s="399"/>
      <c r="AM373" s="399"/>
      <c r="AN373" s="399"/>
      <c r="AO373" s="399"/>
      <c r="AP373" s="399"/>
      <c r="AQ373" s="399"/>
      <c r="AR373" s="399"/>
      <c r="AS373" s="399"/>
      <c r="AT373" s="399"/>
      <c r="AU373" s="399"/>
      <c r="AV373" s="399"/>
      <c r="AW373" s="399"/>
      <c r="AX373" s="399"/>
      <c r="AY373" s="399"/>
      <c r="AZ373" s="399">
        <v>0</v>
      </c>
      <c r="BA373" s="399"/>
      <c r="BB373" s="399"/>
      <c r="BC373" s="399"/>
      <c r="BD373" s="399"/>
      <c r="BE373" s="399"/>
      <c r="BF373" s="399"/>
      <c r="BG373" s="399"/>
      <c r="BH373" s="399"/>
      <c r="BI373" s="399">
        <v>0</v>
      </c>
      <c r="BJ373" s="399">
        <v>0</v>
      </c>
      <c r="BK373" s="399">
        <v>1237.31</v>
      </c>
      <c r="BL373" s="399">
        <v>4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/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/>
      <c r="CJ373" s="399">
        <v>-0.03</v>
      </c>
      <c r="CK373" s="399"/>
      <c r="CL373" s="399"/>
      <c r="CM373" s="399"/>
      <c r="CN373" s="399"/>
      <c r="CO373" s="399">
        <v>0</v>
      </c>
      <c r="CP373" s="399">
        <v>0</v>
      </c>
      <c r="CQ373" s="399">
        <v>30</v>
      </c>
      <c r="CR373" s="399"/>
      <c r="CS373" s="399"/>
      <c r="CT373" s="399"/>
      <c r="CU373" s="399"/>
      <c r="CV373" s="399"/>
      <c r="CW373" s="399"/>
      <c r="CX373" s="399"/>
      <c r="CY373" s="399"/>
      <c r="CZ373" s="399"/>
      <c r="DA373" s="399"/>
      <c r="DB373" s="399"/>
      <c r="DC373" s="399"/>
      <c r="DD373" s="399"/>
      <c r="DE373" s="399"/>
      <c r="DF373" s="399"/>
      <c r="DG373" s="399"/>
      <c r="DH373" s="399"/>
      <c r="DI373" s="399"/>
      <c r="DJ373" s="399"/>
      <c r="DK373" s="399">
        <v>0</v>
      </c>
      <c r="DL373" s="399"/>
      <c r="DM373" s="399"/>
      <c r="DN373" s="399"/>
      <c r="DO373" s="399"/>
      <c r="DP373" s="399"/>
      <c r="DQ373" s="399"/>
      <c r="DR373" s="399"/>
      <c r="DS373" s="399"/>
      <c r="DT373" s="399"/>
      <c r="DU373" s="399"/>
      <c r="DV373" s="399"/>
      <c r="DW373" s="399"/>
      <c r="DX373" s="399"/>
      <c r="DY373" s="399"/>
      <c r="DZ373" s="399"/>
      <c r="EA373" s="399"/>
      <c r="EB373" s="399"/>
      <c r="EC373" s="399"/>
      <c r="ED373" s="399"/>
      <c r="EE373" s="399"/>
      <c r="EF373" s="399"/>
      <c r="EG373" s="399"/>
      <c r="EH373" s="399"/>
      <c r="EI373" s="399"/>
      <c r="EJ373" s="399"/>
      <c r="EK373" s="399"/>
      <c r="EL373" s="399"/>
      <c r="EM373" s="399"/>
      <c r="EN373" s="399"/>
      <c r="EO373" s="399"/>
      <c r="EP373" s="399"/>
      <c r="EQ373" s="399"/>
      <c r="ER373" s="399"/>
      <c r="ES373" s="399"/>
      <c r="ET373" s="399"/>
      <c r="EU373" s="399"/>
      <c r="EV373" s="399">
        <v>225</v>
      </c>
      <c r="EW373" s="399"/>
      <c r="EX373" s="399"/>
      <c r="EY373" s="399"/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372</v>
      </c>
      <c r="B374" s="399" t="s">
        <v>957</v>
      </c>
      <c r="C374" s="399" t="s">
        <v>2367</v>
      </c>
      <c r="D374" s="399" t="s">
        <v>1826</v>
      </c>
      <c r="E374" s="399" t="s">
        <v>919</v>
      </c>
      <c r="F374" s="399" t="s">
        <v>1240</v>
      </c>
      <c r="G374" s="399" t="s">
        <v>1240</v>
      </c>
      <c r="H374" s="399" t="s">
        <v>1240</v>
      </c>
      <c r="I374" s="399" t="s">
        <v>2368</v>
      </c>
      <c r="J374" s="399" t="s">
        <v>2358</v>
      </c>
      <c r="K374" s="789">
        <v>44652</v>
      </c>
      <c r="L374" s="399">
        <v>0</v>
      </c>
      <c r="M374" s="399">
        <v>0</v>
      </c>
      <c r="N374" s="399">
        <v>0.1</v>
      </c>
      <c r="O374" s="399">
        <v>0.1</v>
      </c>
      <c r="P374" s="399">
        <v>0.1</v>
      </c>
      <c r="Q374" s="399">
        <v>0.1</v>
      </c>
      <c r="R374" s="399"/>
      <c r="S374" s="399">
        <v>986.74</v>
      </c>
      <c r="T374" s="399">
        <v>144.41999999999999</v>
      </c>
      <c r="U374" s="399"/>
      <c r="V374" s="399">
        <v>113.11600000000001</v>
      </c>
      <c r="W374" s="399">
        <v>113.11600000000001</v>
      </c>
      <c r="X374" s="399">
        <v>110.46899999999999</v>
      </c>
      <c r="Y374" s="399">
        <v>0</v>
      </c>
      <c r="Z374" s="399">
        <v>6.1400975435076202</v>
      </c>
      <c r="AA374" s="399">
        <v>0</v>
      </c>
      <c r="AB374" s="399">
        <v>0</v>
      </c>
      <c r="AC374" s="399">
        <v>0</v>
      </c>
      <c r="AD374" s="399">
        <v>21.119581161406899</v>
      </c>
      <c r="AE374" s="399">
        <v>68.704759040333798</v>
      </c>
      <c r="AF374" s="399">
        <v>14.4421823630486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0.948275565297373</v>
      </c>
      <c r="AM374" s="399"/>
      <c r="AN374" s="399">
        <v>0.145485519020949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1.6158324306312701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16.05801479367987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110.46899999999999</v>
      </c>
      <c r="CJ374" s="399">
        <v>-2.6770000000000351</v>
      </c>
      <c r="CK374" s="399"/>
      <c r="CL374" s="399"/>
      <c r="CM374" s="399"/>
      <c r="CN374" s="399"/>
      <c r="CO374" s="399">
        <v>-3.2310000000000061</v>
      </c>
      <c r="CP374" s="399">
        <v>0.58400000000000041</v>
      </c>
      <c r="CQ374" s="399">
        <v>30</v>
      </c>
      <c r="CR374" s="399">
        <v>0.44755347034023885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0.88388301721100504</v>
      </c>
      <c r="DA374" s="399">
        <v>0</v>
      </c>
      <c r="DB374" s="399">
        <v>0</v>
      </c>
      <c r="DC374" s="399">
        <v>0.58397923983400268</v>
      </c>
      <c r="DD374" s="399">
        <v>0</v>
      </c>
      <c r="DE374" s="399">
        <v>0</v>
      </c>
      <c r="DF374" s="399">
        <v>0</v>
      </c>
      <c r="DG374" s="399">
        <v>6.5337257958560047E-2</v>
      </c>
      <c r="DH374" s="399">
        <v>0</v>
      </c>
      <c r="DI374" s="399">
        <v>-0.94331003217727982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-0.12477842270786488</v>
      </c>
      <c r="DP374" s="399">
        <v>-1.7557589778186E-2</v>
      </c>
      <c r="DQ374" s="399">
        <v>0</v>
      </c>
      <c r="DR374" s="399">
        <v>0</v>
      </c>
      <c r="DS374" s="399"/>
      <c r="DT374" s="399"/>
      <c r="DU374" s="399"/>
      <c r="DV374" s="399">
        <v>68.704759040333798</v>
      </c>
      <c r="DW374" s="399">
        <v>0</v>
      </c>
      <c r="DX374" s="399">
        <v>0</v>
      </c>
      <c r="DY374" s="399">
        <v>-3.2310000000000088</v>
      </c>
      <c r="DZ374" s="399">
        <v>0.58399999999999963</v>
      </c>
      <c r="EA374" s="399">
        <v>0</v>
      </c>
      <c r="EB374" s="399">
        <v>0</v>
      </c>
      <c r="EC374" s="399">
        <v>-3.0942720699905948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225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373</v>
      </c>
      <c r="B375" s="399" t="s">
        <v>957</v>
      </c>
      <c r="C375" s="399" t="s">
        <v>2357</v>
      </c>
      <c r="D375" s="399" t="s">
        <v>2369</v>
      </c>
      <c r="E375" s="399" t="s">
        <v>895</v>
      </c>
      <c r="F375" s="399" t="s">
        <v>1240</v>
      </c>
      <c r="G375" s="399" t="s">
        <v>1240</v>
      </c>
      <c r="H375" s="399" t="s">
        <v>1240</v>
      </c>
      <c r="I375" s="399" t="s">
        <v>1240</v>
      </c>
      <c r="J375" s="399" t="s">
        <v>2358</v>
      </c>
      <c r="K375" s="789">
        <v>44652</v>
      </c>
      <c r="L375" s="399">
        <v>0</v>
      </c>
      <c r="M375" s="399">
        <v>0</v>
      </c>
      <c r="N375" s="399">
        <v>226.661</v>
      </c>
      <c r="O375" s="399">
        <v>226.661</v>
      </c>
      <c r="P375" s="399">
        <v>226.661</v>
      </c>
      <c r="Q375" s="399">
        <v>226.661</v>
      </c>
      <c r="R375" s="399"/>
      <c r="S375" s="399">
        <v>522.37</v>
      </c>
      <c r="T375" s="399">
        <v>144.41999999999999</v>
      </c>
      <c r="U375" s="399"/>
      <c r="V375" s="399">
        <v>151135.28818999999</v>
      </c>
      <c r="W375" s="399">
        <v>151135.28818999999</v>
      </c>
      <c r="X375" s="399">
        <v>147724.04014</v>
      </c>
      <c r="Y375" s="399">
        <v>0</v>
      </c>
      <c r="Z375" s="399">
        <v>13917.206493089807</v>
      </c>
      <c r="AA375" s="399">
        <v>0</v>
      </c>
      <c r="AB375" s="399">
        <v>0</v>
      </c>
      <c r="AC375" s="399">
        <v>0</v>
      </c>
      <c r="AD375" s="399">
        <v>23111.18365704711</v>
      </c>
      <c r="AE375" s="399">
        <v>75230.42203015725</v>
      </c>
      <c r="AF375" s="399">
        <v>32734.794965909587</v>
      </c>
      <c r="AG375" s="399">
        <v>0</v>
      </c>
      <c r="AH375" s="399">
        <v>0</v>
      </c>
      <c r="AI375" s="399">
        <v>0</v>
      </c>
      <c r="AJ375" s="399">
        <v>0</v>
      </c>
      <c r="AK375" s="399">
        <v>0</v>
      </c>
      <c r="AL375" s="399">
        <v>2149.3708790586784</v>
      </c>
      <c r="AM375" s="399"/>
      <c r="AN375" s="399">
        <v>329.75893226807318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3662.4619455931429</v>
      </c>
      <c r="BH375" s="399">
        <v>0</v>
      </c>
      <c r="BI375" s="399">
        <v>5.29</v>
      </c>
      <c r="BJ375" s="399">
        <v>24.59</v>
      </c>
      <c r="BK375" s="399">
        <v>26564.11</v>
      </c>
      <c r="BL375" s="399">
        <v>756</v>
      </c>
      <c r="BM375" s="399"/>
      <c r="BN375" s="399"/>
      <c r="BO375" s="399"/>
      <c r="BP375" s="399"/>
      <c r="BQ375" s="399"/>
      <c r="BR375" s="399">
        <v>17724.890200000005</v>
      </c>
      <c r="BS375" s="399"/>
      <c r="BT375" s="399"/>
      <c r="BU375" s="399"/>
      <c r="BV375" s="399">
        <v>36397.256911502729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129998.57639999999</v>
      </c>
      <c r="CJ375" s="399">
        <v>-2999.3285700000124</v>
      </c>
      <c r="CK375" s="399"/>
      <c r="CL375" s="399"/>
      <c r="CM375" s="399"/>
      <c r="CN375" s="399"/>
      <c r="CO375" s="399">
        <v>-4734.9482899999966</v>
      </c>
      <c r="CP375" s="399">
        <v>1323.7002400000008</v>
      </c>
      <c r="CQ375" s="399">
        <v>30</v>
      </c>
      <c r="CR375" s="399">
        <v>-21.754640693296096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967.23427353946681</v>
      </c>
      <c r="DA375" s="399">
        <v>0</v>
      </c>
      <c r="DB375" s="399">
        <v>0</v>
      </c>
      <c r="DC375" s="399">
        <v>1323.6531848001432</v>
      </c>
      <c r="DD375" s="399">
        <v>0</v>
      </c>
      <c r="DE375" s="399">
        <v>0</v>
      </c>
      <c r="DF375" s="399">
        <v>0</v>
      </c>
      <c r="DG375" s="399">
        <v>148.0940822614516</v>
      </c>
      <c r="DH375" s="399">
        <v>0</v>
      </c>
      <c r="DI375" s="399">
        <v>-2138.115952033344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-282.82402069387354</v>
      </c>
      <c r="DP375" s="399">
        <v>-39.796208567134158</v>
      </c>
      <c r="DQ375" s="399">
        <v>0</v>
      </c>
      <c r="DR375" s="399">
        <v>0</v>
      </c>
      <c r="DS375" s="399"/>
      <c r="DT375" s="399"/>
      <c r="DU375" s="399"/>
      <c r="DV375" s="399">
        <v>75230.42203015725</v>
      </c>
      <c r="DW375" s="399">
        <v>0</v>
      </c>
      <c r="DX375" s="399">
        <v>0</v>
      </c>
      <c r="DY375" s="399">
        <v>-4734.9482900000003</v>
      </c>
      <c r="DZ375" s="399">
        <v>1323.7002400000019</v>
      </c>
      <c r="EA375" s="399">
        <v>0</v>
      </c>
      <c r="EB375" s="399">
        <v>0</v>
      </c>
      <c r="EC375" s="399">
        <v>-3388.1698582896061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225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374</v>
      </c>
      <c r="B376" s="399" t="s">
        <v>2359</v>
      </c>
      <c r="C376" s="399" t="s">
        <v>2357</v>
      </c>
      <c r="D376" s="399" t="s">
        <v>2369</v>
      </c>
      <c r="E376" s="399" t="s">
        <v>895</v>
      </c>
      <c r="F376" s="399" t="s">
        <v>1240</v>
      </c>
      <c r="G376" s="399" t="s">
        <v>1240</v>
      </c>
      <c r="H376" s="399" t="s">
        <v>1240</v>
      </c>
      <c r="I376" s="399" t="s">
        <v>1240</v>
      </c>
      <c r="J376" s="399" t="s">
        <v>2358</v>
      </c>
      <c r="K376" s="789">
        <v>44652</v>
      </c>
      <c r="L376" s="399">
        <v>0</v>
      </c>
      <c r="M376" s="399">
        <v>0</v>
      </c>
      <c r="N376" s="399">
        <v>-0.55200000000000005</v>
      </c>
      <c r="O376" s="399">
        <v>-0.55200000000000005</v>
      </c>
      <c r="P376" s="399">
        <v>-0.55200000000000005</v>
      </c>
      <c r="Q376" s="399">
        <v>-0.55200000000000005</v>
      </c>
      <c r="R376" s="399"/>
      <c r="S376" s="399">
        <v>522.37</v>
      </c>
      <c r="T376" s="399">
        <v>144.41999999999999</v>
      </c>
      <c r="U376" s="399"/>
      <c r="V376" s="399">
        <v>-368.06808000000001</v>
      </c>
      <c r="W376" s="399">
        <v>-368.06808000000001</v>
      </c>
      <c r="X376" s="399">
        <v>-359.76048000000003</v>
      </c>
      <c r="Y376" s="399">
        <v>0</v>
      </c>
      <c r="Z376" s="399">
        <v>-33.893338440162061</v>
      </c>
      <c r="AA376" s="399">
        <v>0</v>
      </c>
      <c r="AB376" s="399">
        <v>0</v>
      </c>
      <c r="AC376" s="399">
        <v>0</v>
      </c>
      <c r="AD376" s="399">
        <v>-56.283936710285431</v>
      </c>
      <c r="AE376" s="399">
        <v>-183.21278455776161</v>
      </c>
      <c r="AF376" s="399">
        <v>-79.720846644028271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-5.2344811204414992</v>
      </c>
      <c r="AM376" s="399"/>
      <c r="AN376" s="399">
        <v>-0.80308006499563855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-8.9193950170846108</v>
      </c>
      <c r="BH376" s="399">
        <v>0</v>
      </c>
      <c r="BI376" s="399">
        <v>0</v>
      </c>
      <c r="BJ376" s="399">
        <v>0</v>
      </c>
      <c r="BK376" s="399">
        <v>-118.46</v>
      </c>
      <c r="BL376" s="399">
        <v>0</v>
      </c>
      <c r="BM376" s="399"/>
      <c r="BN376" s="399"/>
      <c r="BO376" s="399"/>
      <c r="BP376" s="399"/>
      <c r="BQ376" s="399"/>
      <c r="BR376" s="399">
        <v>-43.16640000000001</v>
      </c>
      <c r="BS376" s="399"/>
      <c r="BT376" s="399"/>
      <c r="BU376" s="399"/>
      <c r="BV376" s="399">
        <v>-88.640241661112881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-315.447</v>
      </c>
      <c r="CJ376" s="399">
        <v>8.4200400000000855</v>
      </c>
      <c r="CK376" s="399"/>
      <c r="CL376" s="399"/>
      <c r="CM376" s="399"/>
      <c r="CN376" s="399"/>
      <c r="CO376" s="399">
        <v>11.531279999999994</v>
      </c>
      <c r="CP376" s="399">
        <v>-3.2236800000000021</v>
      </c>
      <c r="CQ376" s="399">
        <v>30</v>
      </c>
      <c r="CR376" s="399">
        <v>5.2980273018704338E-2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-2.3555588257079236</v>
      </c>
      <c r="DA376" s="399">
        <v>0</v>
      </c>
      <c r="DB376" s="399">
        <v>0</v>
      </c>
      <c r="DC376" s="399">
        <v>-3.2235654038836969</v>
      </c>
      <c r="DD376" s="399">
        <v>0</v>
      </c>
      <c r="DE376" s="399">
        <v>0</v>
      </c>
      <c r="DF376" s="399">
        <v>0</v>
      </c>
      <c r="DG376" s="399">
        <v>-0.36066166393125165</v>
      </c>
      <c r="DH376" s="399">
        <v>0</v>
      </c>
      <c r="DI376" s="399">
        <v>5.2070713776185826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0.68877689334741454</v>
      </c>
      <c r="DP376" s="399">
        <v>9.6917895575586721E-2</v>
      </c>
      <c r="DQ376" s="399">
        <v>0</v>
      </c>
      <c r="DR376" s="399">
        <v>0</v>
      </c>
      <c r="DS376" s="399"/>
      <c r="DT376" s="399"/>
      <c r="DU376" s="399"/>
      <c r="DV376" s="399">
        <v>-183.21278455776161</v>
      </c>
      <c r="DW376" s="399">
        <v>0</v>
      </c>
      <c r="DX376" s="399">
        <v>0</v>
      </c>
      <c r="DY376" s="399">
        <v>11.531279999999981</v>
      </c>
      <c r="DZ376" s="399">
        <v>-3.2236800000000017</v>
      </c>
      <c r="EA376" s="399">
        <v>0</v>
      </c>
      <c r="EB376" s="399">
        <v>0</v>
      </c>
      <c r="EC376" s="399">
        <v>8.2513964103919761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225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375</v>
      </c>
      <c r="B377" s="399" t="s">
        <v>2360</v>
      </c>
      <c r="C377" s="399" t="s">
        <v>2357</v>
      </c>
      <c r="D377" s="399" t="s">
        <v>2369</v>
      </c>
      <c r="E377" s="399" t="s">
        <v>895</v>
      </c>
      <c r="F377" s="399" t="s">
        <v>1240</v>
      </c>
      <c r="G377" s="399" t="s">
        <v>1240</v>
      </c>
      <c r="H377" s="399" t="s">
        <v>1240</v>
      </c>
      <c r="I377" s="399" t="s">
        <v>1240</v>
      </c>
      <c r="J377" s="399" t="s">
        <v>2358</v>
      </c>
      <c r="K377" s="789">
        <v>44652</v>
      </c>
      <c r="L377" s="399">
        <v>0</v>
      </c>
      <c r="M377" s="399">
        <v>0</v>
      </c>
      <c r="N377" s="399">
        <v>4.5819999999999999</v>
      </c>
      <c r="O377" s="399">
        <v>4.5819999999999999</v>
      </c>
      <c r="P377" s="399">
        <v>4.5819999999999999</v>
      </c>
      <c r="Q377" s="399">
        <v>4.5819999999999999</v>
      </c>
      <c r="R377" s="399"/>
      <c r="S377" s="399">
        <v>522.37</v>
      </c>
      <c r="T377" s="399">
        <v>144.41999999999999</v>
      </c>
      <c r="U377" s="399"/>
      <c r="V377" s="399">
        <v>3055.2317799999996</v>
      </c>
      <c r="W377" s="399">
        <v>3055.2317799999996</v>
      </c>
      <c r="X377" s="399">
        <v>2986.27268</v>
      </c>
      <c r="Y377" s="399">
        <v>0</v>
      </c>
      <c r="Z377" s="399">
        <v>281.33926944351913</v>
      </c>
      <c r="AA377" s="399">
        <v>0</v>
      </c>
      <c r="AB377" s="399">
        <v>0</v>
      </c>
      <c r="AC377" s="399">
        <v>0</v>
      </c>
      <c r="AD377" s="399">
        <v>467.19746015675327</v>
      </c>
      <c r="AE377" s="399">
        <v>1520.7988747167817</v>
      </c>
      <c r="AF377" s="399">
        <v>661.74079587488677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43.449986401925628</v>
      </c>
      <c r="AM377" s="399"/>
      <c r="AN377" s="399">
        <v>6.666146481539883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74.037441971524785</v>
      </c>
      <c r="BH377" s="399">
        <v>0</v>
      </c>
      <c r="BI377" s="399">
        <v>0</v>
      </c>
      <c r="BJ377" s="399">
        <v>0</v>
      </c>
      <c r="BK377" s="399">
        <v>1294.56</v>
      </c>
      <c r="BL377" s="399">
        <v>12</v>
      </c>
      <c r="BM377" s="399"/>
      <c r="BN377" s="399"/>
      <c r="BO377" s="399"/>
      <c r="BP377" s="399"/>
      <c r="BQ377" s="399"/>
      <c r="BR377" s="399">
        <v>358.31240000000003</v>
      </c>
      <c r="BS377" s="399"/>
      <c r="BT377" s="399"/>
      <c r="BU377" s="399"/>
      <c r="BV377" s="399">
        <v>735.77823784641157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2626.8132000000001</v>
      </c>
      <c r="CJ377" s="399">
        <v>-61.796940000000632</v>
      </c>
      <c r="CK377" s="399"/>
      <c r="CL377" s="399"/>
      <c r="CM377" s="399"/>
      <c r="CN377" s="399"/>
      <c r="CO377" s="399">
        <v>-95.71797999999994</v>
      </c>
      <c r="CP377" s="399">
        <v>26.758880000000016</v>
      </c>
      <c r="CQ377" s="399">
        <v>30</v>
      </c>
      <c r="CR377" s="399">
        <v>-0.43977465755756384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19.55284518006107</v>
      </c>
      <c r="DA377" s="399">
        <v>0</v>
      </c>
      <c r="DB377" s="399">
        <v>0</v>
      </c>
      <c r="DC377" s="399">
        <v>26.757928769193995</v>
      </c>
      <c r="DD377" s="399">
        <v>0</v>
      </c>
      <c r="DE377" s="399">
        <v>0</v>
      </c>
      <c r="DF377" s="399">
        <v>0</v>
      </c>
      <c r="DG377" s="399">
        <v>2.9937531596612246</v>
      </c>
      <c r="DH377" s="399">
        <v>0</v>
      </c>
      <c r="DI377" s="399">
        <v>-43.222465674362951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-5.7173473284743679</v>
      </c>
      <c r="DP377" s="399">
        <v>-0.80448876363648303</v>
      </c>
      <c r="DQ377" s="399">
        <v>0</v>
      </c>
      <c r="DR377" s="399">
        <v>0</v>
      </c>
      <c r="DS377" s="399"/>
      <c r="DT377" s="399"/>
      <c r="DU377" s="399"/>
      <c r="DV377" s="399">
        <v>1520.7988747167817</v>
      </c>
      <c r="DW377" s="399">
        <v>0</v>
      </c>
      <c r="DX377" s="399">
        <v>0</v>
      </c>
      <c r="DY377" s="399">
        <v>-95.717979999999898</v>
      </c>
      <c r="DZ377" s="399">
        <v>26.75888000000009</v>
      </c>
      <c r="EA377" s="399">
        <v>0</v>
      </c>
      <c r="EB377" s="399">
        <v>0</v>
      </c>
      <c r="EC377" s="399">
        <v>-68.492569479014492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225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376</v>
      </c>
      <c r="B378" s="399" t="s">
        <v>957</v>
      </c>
      <c r="C378" s="399" t="s">
        <v>2366</v>
      </c>
      <c r="D378" s="399" t="s">
        <v>534</v>
      </c>
      <c r="E378" s="399" t="s">
        <v>895</v>
      </c>
      <c r="F378" s="399" t="s">
        <v>1240</v>
      </c>
      <c r="G378" s="399" t="s">
        <v>1240</v>
      </c>
      <c r="H378" s="399" t="s">
        <v>1240</v>
      </c>
      <c r="I378" s="399" t="s">
        <v>2328</v>
      </c>
      <c r="J378" s="399" t="s">
        <v>2358</v>
      </c>
      <c r="K378" s="789">
        <v>44652</v>
      </c>
      <c r="L378" s="399">
        <v>0</v>
      </c>
      <c r="M378" s="399">
        <v>0</v>
      </c>
      <c r="N378" s="399">
        <v>38.433</v>
      </c>
      <c r="O378" s="399">
        <v>36.895679999999999</v>
      </c>
      <c r="P378" s="399">
        <v>38.433</v>
      </c>
      <c r="Q378" s="399">
        <v>36.895679999999999</v>
      </c>
      <c r="R378" s="399"/>
      <c r="S378" s="399">
        <v>69.64</v>
      </c>
      <c r="T378" s="399">
        <v>144.41999999999999</v>
      </c>
      <c r="U378" s="399"/>
      <c r="V378" s="399">
        <v>8226.9679799999994</v>
      </c>
      <c r="W378" s="399">
        <v>8226.9679799999994</v>
      </c>
      <c r="X378" s="399">
        <v>8095.5271200000007</v>
      </c>
      <c r="Y378" s="399">
        <v>0</v>
      </c>
      <c r="Z378" s="399">
        <v>2053.0466093397672</v>
      </c>
      <c r="AA378" s="399">
        <v>0</v>
      </c>
      <c r="AB378" s="399">
        <v>0</v>
      </c>
      <c r="AC378" s="399">
        <v>0</v>
      </c>
      <c r="AD378" s="399">
        <v>0</v>
      </c>
      <c r="AE378" s="399">
        <v>0</v>
      </c>
      <c r="AF378" s="399">
        <v>5550.5639475904682</v>
      </c>
      <c r="AG378" s="399">
        <v>0</v>
      </c>
      <c r="AH378" s="399">
        <v>0</v>
      </c>
      <c r="AI378" s="399">
        <v>0</v>
      </c>
      <c r="AJ378" s="399">
        <v>0</v>
      </c>
      <c r="AK378" s="399">
        <v>0</v>
      </c>
      <c r="AL378" s="399">
        <v>364.45074801073935</v>
      </c>
      <c r="AM378" s="399"/>
      <c r="AN378" s="399">
        <v>19.127535424199309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239.76820585982819</v>
      </c>
      <c r="BH378" s="399">
        <v>0</v>
      </c>
      <c r="BI378" s="399">
        <v>0</v>
      </c>
      <c r="BJ378" s="399">
        <v>0</v>
      </c>
      <c r="BK378" s="399">
        <v>0</v>
      </c>
      <c r="BL378" s="399">
        <v>0</v>
      </c>
      <c r="BM378" s="399"/>
      <c r="BN378" s="399"/>
      <c r="BO378" s="399"/>
      <c r="BP378" s="399"/>
      <c r="BQ378" s="399"/>
      <c r="BR378" s="399">
        <v>323.82108480000022</v>
      </c>
      <c r="BS378" s="399"/>
      <c r="BT378" s="399"/>
      <c r="BU378" s="399"/>
      <c r="BV378" s="399">
        <v>5790.3321534502966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7772.6159999999991</v>
      </c>
      <c r="CJ378" s="399">
        <v>-125.30326080000032</v>
      </c>
      <c r="CK378" s="399"/>
      <c r="CL378" s="399"/>
      <c r="CM378" s="399"/>
      <c r="CN378" s="399"/>
      <c r="CO378" s="399">
        <v>-355.88957999999991</v>
      </c>
      <c r="CP378" s="399">
        <v>224.44872000000012</v>
      </c>
      <c r="CQ378" s="399">
        <v>30</v>
      </c>
      <c r="CR378" s="399">
        <v>-131.54036631322288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0</v>
      </c>
      <c r="DA378" s="399">
        <v>0</v>
      </c>
      <c r="DB378" s="399">
        <v>0</v>
      </c>
      <c r="DC378" s="399">
        <v>224.44074124540202</v>
      </c>
      <c r="DD378" s="399">
        <v>0</v>
      </c>
      <c r="DE378" s="399">
        <v>0</v>
      </c>
      <c r="DF378" s="399">
        <v>0</v>
      </c>
      <c r="DG378" s="399">
        <v>9.6951867158674645</v>
      </c>
      <c r="DH378" s="399">
        <v>0</v>
      </c>
      <c r="DI378" s="399">
        <v>-315.41183986002261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-47.956091199313732</v>
      </c>
      <c r="DP378" s="399">
        <v>-2.3083632151558824</v>
      </c>
      <c r="DQ378" s="399">
        <v>0</v>
      </c>
      <c r="DR378" s="399">
        <v>0</v>
      </c>
      <c r="DS378" s="399"/>
      <c r="DT378" s="399"/>
      <c r="DU378" s="399"/>
      <c r="DV378" s="399">
        <v>0</v>
      </c>
      <c r="DW378" s="399">
        <v>0</v>
      </c>
      <c r="DX378" s="399">
        <v>0</v>
      </c>
      <c r="DY378" s="399">
        <v>-355.88957999999957</v>
      </c>
      <c r="DZ378" s="399">
        <v>224.44872000000032</v>
      </c>
      <c r="EA378" s="399">
        <v>0</v>
      </c>
      <c r="EB378" s="399">
        <v>0</v>
      </c>
      <c r="EC378" s="399">
        <v>0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225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377</v>
      </c>
      <c r="B379" s="399" t="s">
        <v>957</v>
      </c>
      <c r="C379" s="399" t="s">
        <v>2366</v>
      </c>
      <c r="D379" s="399" t="s">
        <v>534</v>
      </c>
      <c r="E379" s="399" t="s">
        <v>895</v>
      </c>
      <c r="F379" s="399" t="s">
        <v>1240</v>
      </c>
      <c r="G379" s="399" t="s">
        <v>1240</v>
      </c>
      <c r="H379" s="399" t="s">
        <v>1240</v>
      </c>
      <c r="I379" s="399" t="s">
        <v>1240</v>
      </c>
      <c r="J379" s="399" t="s">
        <v>2358</v>
      </c>
      <c r="K379" s="789">
        <v>44652</v>
      </c>
      <c r="L379" s="399">
        <v>151</v>
      </c>
      <c r="M379" s="399">
        <v>144.96</v>
      </c>
      <c r="N379" s="399">
        <v>0</v>
      </c>
      <c r="O379" s="399">
        <v>0</v>
      </c>
      <c r="P379" s="399">
        <v>0</v>
      </c>
      <c r="Q379" s="399">
        <v>0</v>
      </c>
      <c r="R379" s="399">
        <v>34.950000000000003</v>
      </c>
      <c r="S379" s="399"/>
      <c r="T379" s="399"/>
      <c r="U379" s="399">
        <v>5277.4500000000007</v>
      </c>
      <c r="V379" s="399"/>
      <c r="W379" s="399">
        <v>5277.4500000000007</v>
      </c>
      <c r="X379" s="399">
        <v>5206.4799999999996</v>
      </c>
      <c r="Y379" s="399">
        <v>0</v>
      </c>
      <c r="Z379" s="399">
        <v>0</v>
      </c>
      <c r="AA379" s="399">
        <v>0</v>
      </c>
      <c r="AB379" s="399">
        <v>0</v>
      </c>
      <c r="AC379" s="399">
        <v>0</v>
      </c>
      <c r="AD379" s="399">
        <v>1913.1367062269869</v>
      </c>
      <c r="AE379" s="399">
        <v>3365.0060068815883</v>
      </c>
      <c r="AF379" s="399"/>
      <c r="AG379" s="399"/>
      <c r="AH379" s="399"/>
      <c r="AI379" s="399">
        <v>0</v>
      </c>
      <c r="AJ379" s="399">
        <v>0</v>
      </c>
      <c r="AK379" s="399">
        <v>0</v>
      </c>
      <c r="AL379" s="399">
        <v>0</v>
      </c>
      <c r="AM379" s="399"/>
      <c r="AN379" s="399">
        <v>0</v>
      </c>
      <c r="AO379" s="399">
        <v>0</v>
      </c>
      <c r="AP379" s="399">
        <v>0</v>
      </c>
      <c r="AQ379" s="399">
        <v>0</v>
      </c>
      <c r="AR379" s="399">
        <v>0</v>
      </c>
      <c r="AS379" s="399"/>
      <c r="AT379" s="399"/>
      <c r="AU379" s="399">
        <v>0</v>
      </c>
      <c r="AV379" s="399">
        <v>0</v>
      </c>
      <c r="AW379" s="399">
        <v>0</v>
      </c>
      <c r="AX379" s="399"/>
      <c r="AY379" s="399"/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/>
      <c r="BG379" s="399">
        <v>0</v>
      </c>
      <c r="BH379" s="399">
        <v>0</v>
      </c>
      <c r="BI379" s="399">
        <v>0</v>
      </c>
      <c r="BJ379" s="399">
        <v>0</v>
      </c>
      <c r="BK379" s="399">
        <v>5913.41</v>
      </c>
      <c r="BL379" s="399">
        <v>1</v>
      </c>
      <c r="BM379" s="399"/>
      <c r="BN379" s="399"/>
      <c r="BO379" s="399"/>
      <c r="BP379" s="399"/>
      <c r="BQ379" s="399"/>
      <c r="BR379" s="399">
        <v>208.25919999999971</v>
      </c>
      <c r="BS379" s="399"/>
      <c r="BT379" s="399"/>
      <c r="BU379" s="399"/>
      <c r="BV379" s="399">
        <v>0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4998.2208000000001</v>
      </c>
      <c r="CJ379" s="399">
        <v>-68.161200000001372</v>
      </c>
      <c r="CK379" s="399"/>
      <c r="CL379" s="399"/>
      <c r="CM379" s="399"/>
      <c r="CN379" s="399"/>
      <c r="CO379" s="399">
        <v>-70.970000000000908</v>
      </c>
      <c r="CP379" s="399">
        <v>0</v>
      </c>
      <c r="CQ379" s="399">
        <v>30</v>
      </c>
      <c r="CR379" s="399">
        <v>80.067356985610559</v>
      </c>
      <c r="CS379" s="399">
        <v>0</v>
      </c>
      <c r="CT379" s="399">
        <v>0</v>
      </c>
      <c r="CU379" s="399">
        <v>0</v>
      </c>
      <c r="CV379" s="399">
        <v>0</v>
      </c>
      <c r="CW379" s="399"/>
      <c r="CX379" s="399"/>
      <c r="CY379" s="399"/>
      <c r="CZ379" s="399">
        <v>80.067356985610559</v>
      </c>
      <c r="DA379" s="399">
        <v>0</v>
      </c>
      <c r="DB379" s="399">
        <v>0</v>
      </c>
      <c r="DC379" s="399"/>
      <c r="DD379" s="399"/>
      <c r="DE379" s="399">
        <v>0</v>
      </c>
      <c r="DF379" s="399">
        <v>0</v>
      </c>
      <c r="DG379" s="399">
        <v>0</v>
      </c>
      <c r="DH379" s="399">
        <v>0</v>
      </c>
      <c r="DI379" s="399">
        <v>0</v>
      </c>
      <c r="DJ379" s="399"/>
      <c r="DK379" s="399">
        <v>0</v>
      </c>
      <c r="DL379" s="399">
        <v>0</v>
      </c>
      <c r="DM379" s="399"/>
      <c r="DN379" s="399">
        <v>0</v>
      </c>
      <c r="DO379" s="399">
        <v>0</v>
      </c>
      <c r="DP379" s="399">
        <v>0</v>
      </c>
      <c r="DQ379" s="399">
        <v>0</v>
      </c>
      <c r="DR379" s="399">
        <v>0</v>
      </c>
      <c r="DS379" s="399"/>
      <c r="DT379" s="399"/>
      <c r="DU379" s="399">
        <v>3365.0060068815883</v>
      </c>
      <c r="DV379" s="399"/>
      <c r="DW379" s="399">
        <v>0</v>
      </c>
      <c r="DX379" s="399">
        <v>0</v>
      </c>
      <c r="DY379" s="399">
        <v>-70.970000000001164</v>
      </c>
      <c r="DZ379" s="399"/>
      <c r="EA379" s="399">
        <v>0</v>
      </c>
      <c r="EB379" s="399"/>
      <c r="EC379" s="399">
        <v>-151.55055119734425</v>
      </c>
      <c r="ED379" s="399"/>
      <c r="EE379" s="399">
        <v>0</v>
      </c>
      <c r="EF379" s="399">
        <v>0</v>
      </c>
      <c r="EG379" s="399"/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/>
      <c r="EN379" s="399"/>
      <c r="EO379" s="399">
        <v>0</v>
      </c>
      <c r="EP379" s="399">
        <v>0</v>
      </c>
      <c r="EQ379" s="399"/>
      <c r="ER379" s="399">
        <v>0</v>
      </c>
      <c r="ES379" s="399"/>
      <c r="ET379" s="399">
        <v>0</v>
      </c>
      <c r="EU379" s="399"/>
      <c r="EV379" s="399">
        <v>225</v>
      </c>
      <c r="EW379" s="399"/>
      <c r="EX379" s="399"/>
      <c r="EY379" s="399"/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378</v>
      </c>
      <c r="B380" s="399" t="s">
        <v>957</v>
      </c>
      <c r="C380" s="399" t="s">
        <v>2357</v>
      </c>
      <c r="D380" s="399" t="s">
        <v>1826</v>
      </c>
      <c r="E380" s="399" t="s">
        <v>2370</v>
      </c>
      <c r="F380" s="399" t="s">
        <v>1240</v>
      </c>
      <c r="G380" s="399" t="s">
        <v>1240</v>
      </c>
      <c r="H380" s="399" t="s">
        <v>1240</v>
      </c>
      <c r="I380" s="399" t="s">
        <v>1240</v>
      </c>
      <c r="J380" s="399" t="s">
        <v>2358</v>
      </c>
      <c r="K380" s="789">
        <v>44652</v>
      </c>
      <c r="L380" s="399">
        <v>0</v>
      </c>
      <c r="M380" s="399">
        <v>0</v>
      </c>
      <c r="N380" s="399">
        <v>81.400000000000006</v>
      </c>
      <c r="O380" s="399">
        <v>81.400000000000006</v>
      </c>
      <c r="P380" s="399">
        <v>81.400000000000006</v>
      </c>
      <c r="Q380" s="399">
        <v>81.400000000000006</v>
      </c>
      <c r="R380" s="399"/>
      <c r="S380" s="399">
        <v>522.37</v>
      </c>
      <c r="T380" s="399">
        <v>144.41999999999999</v>
      </c>
      <c r="U380" s="399"/>
      <c r="V380" s="399">
        <v>54276.706000000006</v>
      </c>
      <c r="W380" s="399">
        <v>54276.706000000006</v>
      </c>
      <c r="X380" s="399">
        <v>53051.635999999999</v>
      </c>
      <c r="Y380" s="399">
        <v>0</v>
      </c>
      <c r="Z380" s="399">
        <v>4998.0394004152031</v>
      </c>
      <c r="AA380" s="399">
        <v>0</v>
      </c>
      <c r="AB380" s="399">
        <v>0</v>
      </c>
      <c r="AC380" s="399">
        <v>0</v>
      </c>
      <c r="AD380" s="399">
        <v>8299.841391697888</v>
      </c>
      <c r="AE380" s="399">
        <v>27017.247577901802</v>
      </c>
      <c r="AF380" s="399">
        <v>11755.936443521561</v>
      </c>
      <c r="AG380" s="399">
        <v>0</v>
      </c>
      <c r="AH380" s="399">
        <v>0</v>
      </c>
      <c r="AI380" s="399">
        <v>0</v>
      </c>
      <c r="AJ380" s="399">
        <v>0</v>
      </c>
      <c r="AK380" s="399">
        <v>0</v>
      </c>
      <c r="AL380" s="399">
        <v>771.89631015206157</v>
      </c>
      <c r="AM380" s="399"/>
      <c r="AN380" s="399">
        <v>118.42521248305249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1315.287598533854</v>
      </c>
      <c r="BH380" s="399">
        <v>0</v>
      </c>
      <c r="BI380" s="399">
        <v>371.59</v>
      </c>
      <c r="BJ380" s="399">
        <v>1718.16</v>
      </c>
      <c r="BK380" s="399">
        <v>15515.31</v>
      </c>
      <c r="BL380" s="399">
        <v>128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13071.224042055415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53051.635999999999</v>
      </c>
      <c r="CJ380" s="399">
        <v>-1225.1000000000131</v>
      </c>
      <c r="CK380" s="399"/>
      <c r="CL380" s="399"/>
      <c r="CM380" s="399"/>
      <c r="CN380" s="399"/>
      <c r="CO380" s="399">
        <v>-1700.445999999999</v>
      </c>
      <c r="CP380" s="399">
        <v>475.37600000000032</v>
      </c>
      <c r="CQ380" s="399">
        <v>30</v>
      </c>
      <c r="CR380" s="399">
        <v>-7.8126706951552478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347.35958045765437</v>
      </c>
      <c r="DA380" s="399">
        <v>0</v>
      </c>
      <c r="DB380" s="399">
        <v>0</v>
      </c>
      <c r="DC380" s="399">
        <v>475.35910122487621</v>
      </c>
      <c r="DD380" s="399">
        <v>0</v>
      </c>
      <c r="DE380" s="399">
        <v>0</v>
      </c>
      <c r="DF380" s="399">
        <v>0</v>
      </c>
      <c r="DG380" s="399">
        <v>53.184527978267852</v>
      </c>
      <c r="DH380" s="399">
        <v>0</v>
      </c>
      <c r="DI380" s="399">
        <v>-767.85436619230586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-101.56963608420199</v>
      </c>
      <c r="DP380" s="399">
        <v>-14.291878079443407</v>
      </c>
      <c r="DQ380" s="399">
        <v>0</v>
      </c>
      <c r="DR380" s="399">
        <v>0</v>
      </c>
      <c r="DS380" s="399"/>
      <c r="DT380" s="399"/>
      <c r="DU380" s="399"/>
      <c r="DV380" s="399">
        <v>27017.247577901802</v>
      </c>
      <c r="DW380" s="399">
        <v>0</v>
      </c>
      <c r="DX380" s="399">
        <v>0</v>
      </c>
      <c r="DY380" s="399">
        <v>-1700.4460000000036</v>
      </c>
      <c r="DZ380" s="399">
        <v>475.3760000000002</v>
      </c>
      <c r="EA380" s="399">
        <v>0</v>
      </c>
      <c r="EB380" s="399">
        <v>0</v>
      </c>
      <c r="EC380" s="399">
        <v>-1216.7820068947622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225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379</v>
      </c>
      <c r="B381" s="399" t="s">
        <v>2360</v>
      </c>
      <c r="C381" s="399" t="s">
        <v>2357</v>
      </c>
      <c r="D381" s="399" t="s">
        <v>1826</v>
      </c>
      <c r="E381" s="399" t="s">
        <v>2370</v>
      </c>
      <c r="F381" s="399" t="s">
        <v>1240</v>
      </c>
      <c r="G381" s="399" t="s">
        <v>1240</v>
      </c>
      <c r="H381" s="399" t="s">
        <v>1240</v>
      </c>
      <c r="I381" s="399" t="s">
        <v>1240</v>
      </c>
      <c r="J381" s="399" t="s">
        <v>2358</v>
      </c>
      <c r="K381" s="789">
        <v>44652</v>
      </c>
      <c r="L381" s="399">
        <v>0</v>
      </c>
      <c r="M381" s="399">
        <v>0</v>
      </c>
      <c r="N381" s="399">
        <v>2.669</v>
      </c>
      <c r="O381" s="399">
        <v>2.669</v>
      </c>
      <c r="P381" s="399">
        <v>2.669</v>
      </c>
      <c r="Q381" s="399">
        <v>2.669</v>
      </c>
      <c r="R381" s="399"/>
      <c r="S381" s="399">
        <v>522.37</v>
      </c>
      <c r="T381" s="399">
        <v>144.41999999999999</v>
      </c>
      <c r="U381" s="399"/>
      <c r="V381" s="399">
        <v>1779.6625099999999</v>
      </c>
      <c r="W381" s="399">
        <v>1779.6625099999999</v>
      </c>
      <c r="X381" s="399">
        <v>1739.49406</v>
      </c>
      <c r="Y381" s="399">
        <v>0</v>
      </c>
      <c r="Z381" s="399">
        <v>163.87920343621838</v>
      </c>
      <c r="AA381" s="399">
        <v>0</v>
      </c>
      <c r="AB381" s="399">
        <v>0</v>
      </c>
      <c r="AC381" s="399">
        <v>0</v>
      </c>
      <c r="AD381" s="399">
        <v>272.14099108650692</v>
      </c>
      <c r="AE381" s="399">
        <v>885.86036591424943</v>
      </c>
      <c r="AF381" s="399">
        <v>385.46184726976713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25.309474837786883</v>
      </c>
      <c r="AM381" s="399"/>
      <c r="AN381" s="399">
        <v>3.8830085026691288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43.126567573548598</v>
      </c>
      <c r="BH381" s="399">
        <v>0</v>
      </c>
      <c r="BI381" s="399">
        <v>10.51</v>
      </c>
      <c r="BJ381" s="399">
        <v>48.54</v>
      </c>
      <c r="BK381" s="399">
        <v>670.98</v>
      </c>
      <c r="BL381" s="399">
        <v>2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428.58841484331572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1740.1458</v>
      </c>
      <c r="CJ381" s="399">
        <v>-39.546709999999848</v>
      </c>
      <c r="CK381" s="399"/>
      <c r="CL381" s="399"/>
      <c r="CM381" s="399"/>
      <c r="CN381" s="399"/>
      <c r="CO381" s="399">
        <v>-55.755409999999962</v>
      </c>
      <c r="CP381" s="399">
        <v>15.58696000000001</v>
      </c>
      <c r="CQ381" s="399">
        <v>30</v>
      </c>
      <c r="CR381" s="399">
        <v>-0.25616729834598573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11.389468307634843</v>
      </c>
      <c r="DA381" s="399">
        <v>0</v>
      </c>
      <c r="DB381" s="399">
        <v>0</v>
      </c>
      <c r="DC381" s="399">
        <v>15.586405911169493</v>
      </c>
      <c r="DD381" s="399">
        <v>0</v>
      </c>
      <c r="DE381" s="399">
        <v>0</v>
      </c>
      <c r="DF381" s="399">
        <v>0</v>
      </c>
      <c r="DG381" s="399">
        <v>1.7438514149139621</v>
      </c>
      <c r="DH381" s="399">
        <v>0</v>
      </c>
      <c r="DI381" s="399">
        <v>-25.176944758811601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-3.3303361020729128</v>
      </c>
      <c r="DP381" s="399">
        <v>-0.46861207117978454</v>
      </c>
      <c r="DQ381" s="399">
        <v>0</v>
      </c>
      <c r="DR381" s="399">
        <v>0</v>
      </c>
      <c r="DS381" s="399"/>
      <c r="DT381" s="399"/>
      <c r="DU381" s="399"/>
      <c r="DV381" s="399">
        <v>885.86036591424943</v>
      </c>
      <c r="DW381" s="399">
        <v>0</v>
      </c>
      <c r="DX381" s="399">
        <v>0</v>
      </c>
      <c r="DY381" s="399">
        <v>-55.755409999999983</v>
      </c>
      <c r="DZ381" s="399">
        <v>15.586959999999976</v>
      </c>
      <c r="EA381" s="399">
        <v>0</v>
      </c>
      <c r="EB381" s="399">
        <v>0</v>
      </c>
      <c r="EC381" s="399">
        <v>-39.896697498797494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225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380</v>
      </c>
      <c r="B382" s="399" t="s">
        <v>957</v>
      </c>
      <c r="C382" s="399" t="s">
        <v>2366</v>
      </c>
      <c r="D382" s="399" t="s">
        <v>534</v>
      </c>
      <c r="E382" s="399" t="s">
        <v>2370</v>
      </c>
      <c r="F382" s="399" t="s">
        <v>1240</v>
      </c>
      <c r="G382" s="399" t="s">
        <v>1240</v>
      </c>
      <c r="H382" s="399" t="s">
        <v>1240</v>
      </c>
      <c r="I382" s="399" t="s">
        <v>894</v>
      </c>
      <c r="J382" s="399" t="s">
        <v>2358</v>
      </c>
      <c r="K382" s="789">
        <v>44652</v>
      </c>
      <c r="L382" s="399">
        <v>0</v>
      </c>
      <c r="M382" s="399">
        <v>0</v>
      </c>
      <c r="N382" s="399">
        <v>0.14299999999999999</v>
      </c>
      <c r="O382" s="399">
        <v>0.14299999999999999</v>
      </c>
      <c r="P382" s="399">
        <v>0.14299999999999999</v>
      </c>
      <c r="Q382" s="399">
        <v>0.14299999999999999</v>
      </c>
      <c r="R382" s="399"/>
      <c r="S382" s="399">
        <v>2740.31</v>
      </c>
      <c r="T382" s="399">
        <v>144.41999999999999</v>
      </c>
      <c r="U382" s="399"/>
      <c r="V382" s="399">
        <v>412.51638999999994</v>
      </c>
      <c r="W382" s="399">
        <v>412.51638999999994</v>
      </c>
      <c r="X382" s="399">
        <v>404.17805999999996</v>
      </c>
      <c r="Y382" s="399">
        <v>0</v>
      </c>
      <c r="Z382" s="399">
        <v>7.6388953538778308</v>
      </c>
      <c r="AA382" s="399">
        <v>0</v>
      </c>
      <c r="AB382" s="399">
        <v>0</v>
      </c>
      <c r="AC382" s="399">
        <v>0</v>
      </c>
      <c r="AD382" s="399">
        <v>107.6307822943719</v>
      </c>
      <c r="AE382" s="399">
        <v>274.27508193736935</v>
      </c>
      <c r="AF382" s="399">
        <v>20.652320779159496</v>
      </c>
      <c r="AG382" s="399">
        <v>0</v>
      </c>
      <c r="AH382" s="399">
        <v>0</v>
      </c>
      <c r="AI382" s="399">
        <v>0</v>
      </c>
      <c r="AJ382" s="399">
        <v>0</v>
      </c>
      <c r="AK382" s="399">
        <v>0</v>
      </c>
      <c r="AL382" s="399">
        <v>1.3560340583752433</v>
      </c>
      <c r="AM382" s="399"/>
      <c r="AN382" s="399">
        <v>7.1168984093370302E-2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0.8921201425326003</v>
      </c>
      <c r="BH382" s="399">
        <v>0</v>
      </c>
      <c r="BI382" s="399">
        <v>0</v>
      </c>
      <c r="BJ382" s="399">
        <v>0</v>
      </c>
      <c r="BK382" s="399">
        <v>0</v>
      </c>
      <c r="BL382" s="399">
        <v>0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21.544440921692097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395.69880000000001</v>
      </c>
      <c r="CJ382" s="399">
        <v>-16.847589999999911</v>
      </c>
      <c r="CK382" s="399"/>
      <c r="CL382" s="399"/>
      <c r="CM382" s="399"/>
      <c r="CN382" s="399"/>
      <c r="CO382" s="399">
        <v>-9.1734500000000114</v>
      </c>
      <c r="CP382" s="399">
        <v>0.83512000000000042</v>
      </c>
      <c r="CQ382" s="399">
        <v>30</v>
      </c>
      <c r="CR382" s="399">
        <v>4.0150634755325711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4.504493714722571</v>
      </c>
      <c r="DA382" s="399">
        <v>0</v>
      </c>
      <c r="DB382" s="399">
        <v>0</v>
      </c>
      <c r="DC382" s="399">
        <v>0.83509031296262393</v>
      </c>
      <c r="DD382" s="399">
        <v>0</v>
      </c>
      <c r="DE382" s="399">
        <v>0</v>
      </c>
      <c r="DF382" s="399">
        <v>0</v>
      </c>
      <c r="DG382" s="399">
        <v>3.6073470724873102E-2</v>
      </c>
      <c r="DH382" s="399">
        <v>0</v>
      </c>
      <c r="DI382" s="399">
        <v>-1.1735720110317489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-0.1784331444722469</v>
      </c>
      <c r="DP382" s="399">
        <v>-8.58886737354074E-3</v>
      </c>
      <c r="DQ382" s="399">
        <v>0</v>
      </c>
      <c r="DR382" s="399">
        <v>0</v>
      </c>
      <c r="DS382" s="399"/>
      <c r="DT382" s="399"/>
      <c r="DU382" s="399"/>
      <c r="DV382" s="399">
        <v>274.27508193736935</v>
      </c>
      <c r="DW382" s="399">
        <v>0</v>
      </c>
      <c r="DX382" s="399">
        <v>0</v>
      </c>
      <c r="DY382" s="399">
        <v>-9.1734500000000025</v>
      </c>
      <c r="DZ382" s="399">
        <v>0.83512000000000342</v>
      </c>
      <c r="EA382" s="399">
        <v>0</v>
      </c>
      <c r="EB382" s="399">
        <v>0</v>
      </c>
      <c r="EC382" s="399">
        <v>-12.352590088191221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225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381</v>
      </c>
      <c r="B383" s="399" t="s">
        <v>957</v>
      </c>
      <c r="C383" s="399" t="s">
        <v>2366</v>
      </c>
      <c r="D383" s="399" t="s">
        <v>534</v>
      </c>
      <c r="E383" s="399" t="s">
        <v>2370</v>
      </c>
      <c r="F383" s="399" t="s">
        <v>1240</v>
      </c>
      <c r="G383" s="399" t="s">
        <v>1240</v>
      </c>
      <c r="H383" s="399" t="s">
        <v>1240</v>
      </c>
      <c r="I383" s="399" t="s">
        <v>2328</v>
      </c>
      <c r="J383" s="399" t="s">
        <v>2358</v>
      </c>
      <c r="K383" s="789">
        <v>44652</v>
      </c>
      <c r="L383" s="399">
        <v>0</v>
      </c>
      <c r="M383" s="399">
        <v>0</v>
      </c>
      <c r="N383" s="399">
        <v>4.1619999999999999</v>
      </c>
      <c r="O383" s="399">
        <v>4.1619999999999999</v>
      </c>
      <c r="P383" s="399">
        <v>4.1619999999999999</v>
      </c>
      <c r="Q383" s="399">
        <v>4.1619999999999999</v>
      </c>
      <c r="R383" s="399"/>
      <c r="S383" s="399">
        <v>69.64</v>
      </c>
      <c r="T383" s="399">
        <v>144.41999999999999</v>
      </c>
      <c r="U383" s="399"/>
      <c r="V383" s="399">
        <v>890.91771999999992</v>
      </c>
      <c r="W383" s="399">
        <v>890.91771999999992</v>
      </c>
      <c r="X383" s="399">
        <v>876.68367999999998</v>
      </c>
      <c r="Y383" s="399">
        <v>0</v>
      </c>
      <c r="Z383" s="399">
        <v>222.32924799188484</v>
      </c>
      <c r="AA383" s="399">
        <v>0</v>
      </c>
      <c r="AB383" s="399">
        <v>0</v>
      </c>
      <c r="AC383" s="399">
        <v>0</v>
      </c>
      <c r="AD383" s="399">
        <v>0</v>
      </c>
      <c r="AE383" s="399">
        <v>0</v>
      </c>
      <c r="AF383" s="399">
        <v>601.0836299500827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39.467229027676659</v>
      </c>
      <c r="AM383" s="399"/>
      <c r="AN383" s="399">
        <v>2.0713658167594908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25.965063169375405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627.04869311945811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876.26240000000007</v>
      </c>
      <c r="CJ383" s="399">
        <v>-14.68531999999982</v>
      </c>
      <c r="CK383" s="399"/>
      <c r="CL383" s="399"/>
      <c r="CM383" s="399"/>
      <c r="CN383" s="399"/>
      <c r="CO383" s="399">
        <v>-38.540119999999987</v>
      </c>
      <c r="CP383" s="399">
        <v>24.306080000000012</v>
      </c>
      <c r="CQ383" s="399">
        <v>30</v>
      </c>
      <c r="CR383" s="399">
        <v>-14.244815772790048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0</v>
      </c>
      <c r="DA383" s="399">
        <v>0</v>
      </c>
      <c r="DB383" s="399">
        <v>0</v>
      </c>
      <c r="DC383" s="399">
        <v>24.305215961891122</v>
      </c>
      <c r="DD383" s="399">
        <v>0</v>
      </c>
      <c r="DE383" s="399">
        <v>0</v>
      </c>
      <c r="DF383" s="399">
        <v>0</v>
      </c>
      <c r="DG383" s="399">
        <v>1.0499145815169335</v>
      </c>
      <c r="DH383" s="399">
        <v>0</v>
      </c>
      <c r="DI383" s="399">
        <v>-34.156690279119857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-5.1932779531013367</v>
      </c>
      <c r="DP383" s="399">
        <v>-0.24997808397675891</v>
      </c>
      <c r="DQ383" s="399">
        <v>0</v>
      </c>
      <c r="DR383" s="399">
        <v>0</v>
      </c>
      <c r="DS383" s="399"/>
      <c r="DT383" s="399"/>
      <c r="DU383" s="399"/>
      <c r="DV383" s="399">
        <v>0</v>
      </c>
      <c r="DW383" s="399">
        <v>0</v>
      </c>
      <c r="DX383" s="399">
        <v>0</v>
      </c>
      <c r="DY383" s="399">
        <v>-38.540120000000002</v>
      </c>
      <c r="DZ383" s="399">
        <v>24.306080000000065</v>
      </c>
      <c r="EA383" s="399">
        <v>0</v>
      </c>
      <c r="EB383" s="399">
        <v>0</v>
      </c>
      <c r="EC383" s="399">
        <v>0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225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382</v>
      </c>
      <c r="B384" s="399" t="s">
        <v>957</v>
      </c>
      <c r="C384" s="399" t="s">
        <v>2366</v>
      </c>
      <c r="D384" s="399" t="s">
        <v>534</v>
      </c>
      <c r="E384" s="399" t="s">
        <v>2370</v>
      </c>
      <c r="F384" s="399" t="s">
        <v>1240</v>
      </c>
      <c r="G384" s="399" t="s">
        <v>1240</v>
      </c>
      <c r="H384" s="399" t="s">
        <v>1240</v>
      </c>
      <c r="I384" s="399" t="s">
        <v>1240</v>
      </c>
      <c r="J384" s="399" t="s">
        <v>2358</v>
      </c>
      <c r="K384" s="789">
        <v>44652</v>
      </c>
      <c r="L384" s="399">
        <v>75</v>
      </c>
      <c r="M384" s="399">
        <v>75</v>
      </c>
      <c r="N384" s="399">
        <v>0</v>
      </c>
      <c r="O384" s="399">
        <v>0</v>
      </c>
      <c r="P384" s="399">
        <v>0</v>
      </c>
      <c r="Q384" s="399">
        <v>0</v>
      </c>
      <c r="R384" s="399">
        <v>34.950000000000003</v>
      </c>
      <c r="S384" s="399"/>
      <c r="T384" s="399"/>
      <c r="U384" s="399">
        <v>2621.25</v>
      </c>
      <c r="V384" s="399"/>
      <c r="W384" s="399">
        <v>2621.25</v>
      </c>
      <c r="X384" s="399">
        <v>2585.9999999999995</v>
      </c>
      <c r="Y384" s="399">
        <v>0</v>
      </c>
      <c r="Z384" s="399">
        <v>0</v>
      </c>
      <c r="AA384" s="399">
        <v>0</v>
      </c>
      <c r="AB384" s="399">
        <v>0</v>
      </c>
      <c r="AC384" s="399">
        <v>0</v>
      </c>
      <c r="AD384" s="399">
        <v>950.23346335777501</v>
      </c>
      <c r="AE384" s="399">
        <v>1671.3605994444974</v>
      </c>
      <c r="AF384" s="399"/>
      <c r="AG384" s="399"/>
      <c r="AH384" s="399"/>
      <c r="AI384" s="399">
        <v>0</v>
      </c>
      <c r="AJ384" s="399">
        <v>0</v>
      </c>
      <c r="AK384" s="399">
        <v>0</v>
      </c>
      <c r="AL384" s="399">
        <v>0</v>
      </c>
      <c r="AM384" s="399"/>
      <c r="AN384" s="399">
        <v>0</v>
      </c>
      <c r="AO384" s="399">
        <v>0</v>
      </c>
      <c r="AP384" s="399">
        <v>0</v>
      </c>
      <c r="AQ384" s="399">
        <v>0</v>
      </c>
      <c r="AR384" s="399">
        <v>0</v>
      </c>
      <c r="AS384" s="399"/>
      <c r="AT384" s="399"/>
      <c r="AU384" s="399">
        <v>0</v>
      </c>
      <c r="AV384" s="399">
        <v>0</v>
      </c>
      <c r="AW384" s="399">
        <v>0</v>
      </c>
      <c r="AX384" s="399"/>
      <c r="AY384" s="399"/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/>
      <c r="BG384" s="399">
        <v>0</v>
      </c>
      <c r="BH384" s="399">
        <v>0</v>
      </c>
      <c r="BI384" s="399">
        <v>28.38</v>
      </c>
      <c r="BJ384" s="399">
        <v>131.02000000000001</v>
      </c>
      <c r="BK384" s="399">
        <v>1101.21</v>
      </c>
      <c r="BL384" s="399">
        <v>1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0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2585.9999999999995</v>
      </c>
      <c r="CJ384" s="399">
        <v>-35.28000000000111</v>
      </c>
      <c r="CK384" s="399"/>
      <c r="CL384" s="399"/>
      <c r="CM384" s="399"/>
      <c r="CN384" s="399"/>
      <c r="CO384" s="399">
        <v>-35.250000000000448</v>
      </c>
      <c r="CP384" s="399">
        <v>0</v>
      </c>
      <c r="CQ384" s="399">
        <v>30</v>
      </c>
      <c r="CR384" s="399">
        <v>39.768554794177476</v>
      </c>
      <c r="CS384" s="399">
        <v>0</v>
      </c>
      <c r="CT384" s="399">
        <v>0</v>
      </c>
      <c r="CU384" s="399">
        <v>0</v>
      </c>
      <c r="CV384" s="399">
        <v>0</v>
      </c>
      <c r="CW384" s="399"/>
      <c r="CX384" s="399"/>
      <c r="CY384" s="399"/>
      <c r="CZ384" s="399">
        <v>39.768554794177476</v>
      </c>
      <c r="DA384" s="399">
        <v>0</v>
      </c>
      <c r="DB384" s="399">
        <v>0</v>
      </c>
      <c r="DC384" s="399"/>
      <c r="DD384" s="399"/>
      <c r="DE384" s="399">
        <v>0</v>
      </c>
      <c r="DF384" s="399">
        <v>0</v>
      </c>
      <c r="DG384" s="399">
        <v>0</v>
      </c>
      <c r="DH384" s="399">
        <v>0</v>
      </c>
      <c r="DI384" s="399">
        <v>0</v>
      </c>
      <c r="DJ384" s="399"/>
      <c r="DK384" s="399">
        <v>0</v>
      </c>
      <c r="DL384" s="399">
        <v>0</v>
      </c>
      <c r="DM384" s="399"/>
      <c r="DN384" s="399">
        <v>0</v>
      </c>
      <c r="DO384" s="399">
        <v>0</v>
      </c>
      <c r="DP384" s="399">
        <v>0</v>
      </c>
      <c r="DQ384" s="399">
        <v>0</v>
      </c>
      <c r="DR384" s="399">
        <v>0</v>
      </c>
      <c r="DS384" s="399"/>
      <c r="DT384" s="399"/>
      <c r="DU384" s="399">
        <v>1671.3605994444974</v>
      </c>
      <c r="DV384" s="399"/>
      <c r="DW384" s="399">
        <v>0</v>
      </c>
      <c r="DX384" s="399">
        <v>0</v>
      </c>
      <c r="DY384" s="399">
        <v>-35.250000000000455</v>
      </c>
      <c r="DZ384" s="399"/>
      <c r="EA384" s="399">
        <v>0</v>
      </c>
      <c r="EB384" s="399"/>
      <c r="EC384" s="399">
        <v>-75.273452581462379</v>
      </c>
      <c r="ED384" s="399"/>
      <c r="EE384" s="399">
        <v>0</v>
      </c>
      <c r="EF384" s="399">
        <v>0</v>
      </c>
      <c r="EG384" s="399"/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/>
      <c r="EN384" s="399"/>
      <c r="EO384" s="399">
        <v>0</v>
      </c>
      <c r="EP384" s="399">
        <v>0</v>
      </c>
      <c r="EQ384" s="399"/>
      <c r="ER384" s="399">
        <v>0</v>
      </c>
      <c r="ES384" s="399"/>
      <c r="ET384" s="399">
        <v>0</v>
      </c>
      <c r="EU384" s="399"/>
      <c r="EV384" s="399">
        <v>225</v>
      </c>
      <c r="EW384" s="399"/>
      <c r="EX384" s="399"/>
      <c r="EY384" s="399"/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383</v>
      </c>
      <c r="B385" s="399" t="s">
        <v>957</v>
      </c>
      <c r="C385" s="399" t="s">
        <v>2357</v>
      </c>
      <c r="D385" s="399" t="s">
        <v>2371</v>
      </c>
      <c r="E385" s="399" t="s">
        <v>2372</v>
      </c>
      <c r="F385" s="399" t="s">
        <v>2373</v>
      </c>
      <c r="G385" s="399" t="s">
        <v>1240</v>
      </c>
      <c r="H385" s="399" t="s">
        <v>1240</v>
      </c>
      <c r="I385" s="399" t="s">
        <v>1240</v>
      </c>
      <c r="J385" s="399" t="s">
        <v>2358</v>
      </c>
      <c r="K385" s="789">
        <v>44652</v>
      </c>
      <c r="L385" s="399">
        <v>0</v>
      </c>
      <c r="M385" s="399">
        <v>0</v>
      </c>
      <c r="N385" s="399">
        <v>452.99599999999998</v>
      </c>
      <c r="O385" s="399">
        <v>452.99599999999998</v>
      </c>
      <c r="P385" s="399">
        <v>452.99599999999998</v>
      </c>
      <c r="Q385" s="399">
        <v>452.99599999999998</v>
      </c>
      <c r="R385" s="399"/>
      <c r="S385" s="399">
        <v>287.3</v>
      </c>
      <c r="T385" s="399">
        <v>79.430000000000007</v>
      </c>
      <c r="U385" s="399"/>
      <c r="V385" s="399">
        <v>166127.22308</v>
      </c>
      <c r="W385" s="399">
        <v>166127.22308</v>
      </c>
      <c r="X385" s="399">
        <v>162380.94615999999</v>
      </c>
      <c r="Y385" s="399">
        <v>0</v>
      </c>
      <c r="Z385" s="399">
        <v>15297.917947503272</v>
      </c>
      <c r="AA385" s="399">
        <v>0</v>
      </c>
      <c r="AB385" s="399">
        <v>0</v>
      </c>
      <c r="AC385" s="399">
        <v>0</v>
      </c>
      <c r="AD385" s="399">
        <v>25404.019939686325</v>
      </c>
      <c r="AE385" s="399">
        <v>82693.953268913479</v>
      </c>
      <c r="AF385" s="399">
        <v>35982.37962952369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2362.6077088759675</v>
      </c>
      <c r="AM385" s="399"/>
      <c r="AN385" s="399">
        <v>362.4739699592771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4025.8109526043422</v>
      </c>
      <c r="BH385" s="399">
        <v>0</v>
      </c>
      <c r="BI385" s="399">
        <v>1267.52</v>
      </c>
      <c r="BJ385" s="399">
        <v>5850.2</v>
      </c>
      <c r="BK385" s="399">
        <v>65002.43</v>
      </c>
      <c r="BL385" s="399">
        <v>6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40008.190582128031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162382.38</v>
      </c>
      <c r="CJ385" s="399">
        <v>-3744.8730799999903</v>
      </c>
      <c r="CK385" s="399"/>
      <c r="CL385" s="399"/>
      <c r="CM385" s="399"/>
      <c r="CN385" s="399"/>
      <c r="CO385" s="399">
        <v>-5200.3940800000082</v>
      </c>
      <c r="CP385" s="399">
        <v>1454.1171599999971</v>
      </c>
      <c r="CQ385" s="399">
        <v>30</v>
      </c>
      <c r="CR385" s="399">
        <v>-23.91289577203861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1063.1925710066134</v>
      </c>
      <c r="DA385" s="399">
        <v>0</v>
      </c>
      <c r="DB385" s="399">
        <v>0</v>
      </c>
      <c r="DC385" s="399">
        <v>1454.971428502955</v>
      </c>
      <c r="DD385" s="399">
        <v>0</v>
      </c>
      <c r="DE385" s="399">
        <v>0</v>
      </c>
      <c r="DF385" s="399">
        <v>0</v>
      </c>
      <c r="DG385" s="399">
        <v>162.78634078407731</v>
      </c>
      <c r="DH385" s="399">
        <v>0</v>
      </c>
      <c r="DI385" s="399">
        <v>-2350.2361923489661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-310.88269505134303</v>
      </c>
      <c r="DP385" s="399">
        <v>-43.744348665376663</v>
      </c>
      <c r="DQ385" s="399">
        <v>0</v>
      </c>
      <c r="DR385" s="399">
        <v>0</v>
      </c>
      <c r="DS385" s="399"/>
      <c r="DT385" s="399"/>
      <c r="DU385" s="399"/>
      <c r="DV385" s="399">
        <v>82693.953268913479</v>
      </c>
      <c r="DW385" s="399">
        <v>0</v>
      </c>
      <c r="DX385" s="399">
        <v>0</v>
      </c>
      <c r="DY385" s="399">
        <v>-5200.3940799999982</v>
      </c>
      <c r="DZ385" s="399">
        <v>1454.1171599999943</v>
      </c>
      <c r="EA385" s="399">
        <v>0</v>
      </c>
      <c r="EB385" s="399">
        <v>0</v>
      </c>
      <c r="EC385" s="399">
        <v>-3724.3066351032612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225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384</v>
      </c>
      <c r="B386" s="399" t="s">
        <v>957</v>
      </c>
      <c r="C386" s="399" t="s">
        <v>2357</v>
      </c>
      <c r="D386" s="399" t="s">
        <v>1826</v>
      </c>
      <c r="E386" s="399" t="s">
        <v>922</v>
      </c>
      <c r="F386" s="399" t="s">
        <v>2374</v>
      </c>
      <c r="G386" s="399" t="s">
        <v>1240</v>
      </c>
      <c r="H386" s="399" t="s">
        <v>1240</v>
      </c>
      <c r="I386" s="399" t="s">
        <v>1240</v>
      </c>
      <c r="J386" s="399" t="s">
        <v>2358</v>
      </c>
      <c r="K386" s="789">
        <v>44652</v>
      </c>
      <c r="L386" s="399">
        <v>0</v>
      </c>
      <c r="M386" s="399">
        <v>0</v>
      </c>
      <c r="N386" s="399">
        <v>20.841000000000001</v>
      </c>
      <c r="O386" s="399">
        <v>19.590540000000001</v>
      </c>
      <c r="P386" s="399">
        <v>20.841000000000001</v>
      </c>
      <c r="Q386" s="399">
        <v>19.590540000000001</v>
      </c>
      <c r="R386" s="399"/>
      <c r="S386" s="399">
        <v>522.37</v>
      </c>
      <c r="T386" s="399">
        <v>144.41999999999999</v>
      </c>
      <c r="U386" s="399"/>
      <c r="V386" s="399">
        <v>13896.570390000001</v>
      </c>
      <c r="W386" s="399">
        <v>13896.570390000001</v>
      </c>
      <c r="X386" s="399">
        <v>13582.913339999999</v>
      </c>
      <c r="Y386" s="399">
        <v>0</v>
      </c>
      <c r="Z386" s="399">
        <v>1279.6577290424232</v>
      </c>
      <c r="AA386" s="399">
        <v>0</v>
      </c>
      <c r="AB386" s="399">
        <v>0</v>
      </c>
      <c r="AC386" s="399">
        <v>0</v>
      </c>
      <c r="AD386" s="399">
        <v>2125.024501773657</v>
      </c>
      <c r="AE386" s="399">
        <v>6917.2783387107056</v>
      </c>
      <c r="AF386" s="399">
        <v>3009.8952262829584</v>
      </c>
      <c r="AG386" s="399">
        <v>0</v>
      </c>
      <c r="AH386" s="399">
        <v>0</v>
      </c>
      <c r="AI386" s="399">
        <v>0</v>
      </c>
      <c r="AJ386" s="399">
        <v>0</v>
      </c>
      <c r="AK386" s="399">
        <v>0</v>
      </c>
      <c r="AL386" s="399">
        <v>197.63011056362549</v>
      </c>
      <c r="AM386" s="399"/>
      <c r="AN386" s="399">
        <v>30.320637019155981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336.75563686786302</v>
      </c>
      <c r="BH386" s="399">
        <v>0</v>
      </c>
      <c r="BI386" s="399">
        <v>91.41</v>
      </c>
      <c r="BJ386" s="399">
        <v>422.81</v>
      </c>
      <c r="BK386" s="399">
        <v>4949.34</v>
      </c>
      <c r="BL386" s="399">
        <v>35</v>
      </c>
      <c r="BM386" s="399"/>
      <c r="BN386" s="399"/>
      <c r="BO386" s="399"/>
      <c r="BP386" s="399"/>
      <c r="BQ386" s="399">
        <v>814.97480040000028</v>
      </c>
      <c r="BR386" s="399"/>
      <c r="BS386" s="399"/>
      <c r="BT386" s="399"/>
      <c r="BU386" s="399"/>
      <c r="BV386" s="399">
        <v>3346.6508631508214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12767.586600000001</v>
      </c>
      <c r="CJ386" s="399">
        <v>-295.21956660000069</v>
      </c>
      <c r="CK386" s="399"/>
      <c r="CL386" s="399"/>
      <c r="CM386" s="399"/>
      <c r="CN386" s="399"/>
      <c r="CO386" s="399">
        <v>-435.36848999999972</v>
      </c>
      <c r="CP386" s="399">
        <v>121.71144000000008</v>
      </c>
      <c r="CQ386" s="399">
        <v>30</v>
      </c>
      <c r="CR386" s="399">
        <v>-2.0002932427223641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88.935147620613861</v>
      </c>
      <c r="DA386" s="399">
        <v>0</v>
      </c>
      <c r="DB386" s="399">
        <v>0</v>
      </c>
      <c r="DC386" s="399">
        <v>121.70711337380453</v>
      </c>
      <c r="DD386" s="399">
        <v>0</v>
      </c>
      <c r="DE386" s="399">
        <v>0</v>
      </c>
      <c r="DF386" s="399">
        <v>0</v>
      </c>
      <c r="DG386" s="399">
        <v>13.616937931143468</v>
      </c>
      <c r="DH386" s="399">
        <v>0</v>
      </c>
      <c r="DI386" s="399">
        <v>-196.59524380606695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-26.005071076546102</v>
      </c>
      <c r="DP386" s="399">
        <v>-3.6591772856717455</v>
      </c>
      <c r="DQ386" s="399">
        <v>0</v>
      </c>
      <c r="DR386" s="399">
        <v>0</v>
      </c>
      <c r="DS386" s="399"/>
      <c r="DT386" s="399"/>
      <c r="DU386" s="399"/>
      <c r="DV386" s="399">
        <v>6917.2783387107056</v>
      </c>
      <c r="DW386" s="399">
        <v>0</v>
      </c>
      <c r="DX386" s="399">
        <v>0</v>
      </c>
      <c r="DY386" s="399">
        <v>-435.36849000000075</v>
      </c>
      <c r="DZ386" s="399">
        <v>121.71144000000004</v>
      </c>
      <c r="EA386" s="399">
        <v>0</v>
      </c>
      <c r="EB386" s="399">
        <v>0</v>
      </c>
      <c r="EC386" s="399">
        <v>-311.53505903800578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225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385</v>
      </c>
      <c r="B387" s="399" t="s">
        <v>957</v>
      </c>
      <c r="C387" s="399" t="s">
        <v>2366</v>
      </c>
      <c r="D387" s="399" t="s">
        <v>534</v>
      </c>
      <c r="E387" s="399" t="s">
        <v>922</v>
      </c>
      <c r="F387" s="399" t="s">
        <v>2374</v>
      </c>
      <c r="G387" s="399" t="s">
        <v>1240</v>
      </c>
      <c r="H387" s="399" t="s">
        <v>1240</v>
      </c>
      <c r="I387" s="399" t="s">
        <v>894</v>
      </c>
      <c r="J387" s="399" t="s">
        <v>2358</v>
      </c>
      <c r="K387" s="789">
        <v>44652</v>
      </c>
      <c r="L387" s="399">
        <v>0</v>
      </c>
      <c r="M387" s="399">
        <v>0</v>
      </c>
      <c r="N387" s="399">
        <v>0.68500000000000005</v>
      </c>
      <c r="O387" s="399">
        <v>0.64390000000000003</v>
      </c>
      <c r="P387" s="399">
        <v>0.68500000000000005</v>
      </c>
      <c r="Q387" s="399">
        <v>0.64390000000000003</v>
      </c>
      <c r="R387" s="399"/>
      <c r="S387" s="399">
        <v>2740.31</v>
      </c>
      <c r="T387" s="399">
        <v>144.41999999999999</v>
      </c>
      <c r="U387" s="399"/>
      <c r="V387" s="399">
        <v>1976.0400500000001</v>
      </c>
      <c r="W387" s="399">
        <v>1976.0400500000001</v>
      </c>
      <c r="X387" s="399">
        <v>1936.0977</v>
      </c>
      <c r="Y387" s="399">
        <v>0</v>
      </c>
      <c r="Z387" s="399">
        <v>36.591911310533668</v>
      </c>
      <c r="AA387" s="399">
        <v>0</v>
      </c>
      <c r="AB387" s="399">
        <v>0</v>
      </c>
      <c r="AC387" s="399">
        <v>0</v>
      </c>
      <c r="AD387" s="399">
        <v>515.57402707443885</v>
      </c>
      <c r="AE387" s="399">
        <v>1313.8351827069794</v>
      </c>
      <c r="AF387" s="399">
        <v>98.928949186882903</v>
      </c>
      <c r="AG387" s="399">
        <v>0</v>
      </c>
      <c r="AH387" s="399">
        <v>0</v>
      </c>
      <c r="AI387" s="399">
        <v>0</v>
      </c>
      <c r="AJ387" s="399">
        <v>0</v>
      </c>
      <c r="AK387" s="399">
        <v>0</v>
      </c>
      <c r="AL387" s="399">
        <v>6.4956876222870052</v>
      </c>
      <c r="AM387" s="399"/>
      <c r="AN387" s="399">
        <v>0.34091436436334732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4.2734426408030162</v>
      </c>
      <c r="BH387" s="399">
        <v>0</v>
      </c>
      <c r="BI387" s="399">
        <v>0</v>
      </c>
      <c r="BJ387" s="399">
        <v>0</v>
      </c>
      <c r="BK387" s="399">
        <v>0</v>
      </c>
      <c r="BL387" s="399">
        <v>0</v>
      </c>
      <c r="BM387" s="399"/>
      <c r="BN387" s="399"/>
      <c r="BO387" s="399"/>
      <c r="BP387" s="399"/>
      <c r="BQ387" s="399">
        <v>116.16586200000006</v>
      </c>
      <c r="BR387" s="399"/>
      <c r="BS387" s="399"/>
      <c r="BT387" s="399"/>
      <c r="BU387" s="399"/>
      <c r="BV387" s="399">
        <v>103.20239182768591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1808.9087999999999</v>
      </c>
      <c r="CJ387" s="399">
        <v>-48.598847000000205</v>
      </c>
      <c r="CK387" s="399"/>
      <c r="CL387" s="399"/>
      <c r="CM387" s="399"/>
      <c r="CN387" s="399"/>
      <c r="CO387" s="399">
        <v>-43.942750000000068</v>
      </c>
      <c r="CP387" s="399">
        <v>4.0004000000000026</v>
      </c>
      <c r="CQ387" s="399">
        <v>30</v>
      </c>
      <c r="CR387" s="399">
        <v>19.232996368809722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21.577469892202544</v>
      </c>
      <c r="DA387" s="399">
        <v>0</v>
      </c>
      <c r="DB387" s="399">
        <v>0</v>
      </c>
      <c r="DC387" s="399">
        <v>4.000257792862925</v>
      </c>
      <c r="DD387" s="399">
        <v>0</v>
      </c>
      <c r="DE387" s="399">
        <v>0</v>
      </c>
      <c r="DF387" s="399">
        <v>0</v>
      </c>
      <c r="DG387" s="399">
        <v>0.17279949263313288</v>
      </c>
      <c r="DH387" s="399">
        <v>0</v>
      </c>
      <c r="DI387" s="399">
        <v>-5.6216561367604747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-0.85473219554887425</v>
      </c>
      <c r="DP387" s="399">
        <v>-4.1142476579548337E-2</v>
      </c>
      <c r="DQ387" s="399">
        <v>0</v>
      </c>
      <c r="DR387" s="399">
        <v>0</v>
      </c>
      <c r="DS387" s="399"/>
      <c r="DT387" s="399"/>
      <c r="DU387" s="399"/>
      <c r="DV387" s="399">
        <v>1313.8351827069794</v>
      </c>
      <c r="DW387" s="399">
        <v>0</v>
      </c>
      <c r="DX387" s="399">
        <v>0</v>
      </c>
      <c r="DY387" s="399">
        <v>-43.94275000000016</v>
      </c>
      <c r="DZ387" s="399">
        <v>4.0003999999999991</v>
      </c>
      <c r="EA387" s="399">
        <v>0</v>
      </c>
      <c r="EB387" s="399">
        <v>0</v>
      </c>
      <c r="EC387" s="399">
        <v>-59.171497974902195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225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386</v>
      </c>
      <c r="B388" s="399" t="s">
        <v>957</v>
      </c>
      <c r="C388" s="399" t="s">
        <v>2366</v>
      </c>
      <c r="D388" s="399" t="s">
        <v>534</v>
      </c>
      <c r="E388" s="399" t="s">
        <v>922</v>
      </c>
      <c r="F388" s="399" t="s">
        <v>2374</v>
      </c>
      <c r="G388" s="399" t="s">
        <v>1240</v>
      </c>
      <c r="H388" s="399" t="s">
        <v>1240</v>
      </c>
      <c r="I388" s="399" t="s">
        <v>2328</v>
      </c>
      <c r="J388" s="399" t="s">
        <v>2358</v>
      </c>
      <c r="K388" s="789">
        <v>44652</v>
      </c>
      <c r="L388" s="399">
        <v>0</v>
      </c>
      <c r="M388" s="399">
        <v>0</v>
      </c>
      <c r="N388" s="399">
        <v>4.6870000000000003</v>
      </c>
      <c r="O388" s="399">
        <v>4.40578</v>
      </c>
      <c r="P388" s="399">
        <v>4.6870000000000003</v>
      </c>
      <c r="Q388" s="399">
        <v>4.40578</v>
      </c>
      <c r="R388" s="399"/>
      <c r="S388" s="399">
        <v>69.64</v>
      </c>
      <c r="T388" s="399">
        <v>144.41999999999999</v>
      </c>
      <c r="U388" s="399"/>
      <c r="V388" s="399">
        <v>1003.29922</v>
      </c>
      <c r="W388" s="399">
        <v>1003.29922</v>
      </c>
      <c r="X388" s="399">
        <v>987.26968000000011</v>
      </c>
      <c r="Y388" s="399">
        <v>0</v>
      </c>
      <c r="Z388" s="399">
        <v>250.37414352185593</v>
      </c>
      <c r="AA388" s="399">
        <v>0</v>
      </c>
      <c r="AB388" s="399">
        <v>0</v>
      </c>
      <c r="AC388" s="399">
        <v>0</v>
      </c>
      <c r="AD388" s="399">
        <v>0</v>
      </c>
      <c r="AE388" s="399">
        <v>0</v>
      </c>
      <c r="AF388" s="399">
        <v>676.90508735608785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44.445675745487875</v>
      </c>
      <c r="AM388" s="399"/>
      <c r="AN388" s="399">
        <v>2.3326505485708156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29.240329426925161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>
        <v>59.236180800000049</v>
      </c>
      <c r="BR388" s="399"/>
      <c r="BS388" s="399"/>
      <c r="BT388" s="399"/>
      <c r="BU388" s="399"/>
      <c r="BV388" s="399">
        <v>706.14541678301305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928.92240000000004</v>
      </c>
      <c r="CJ388" s="399">
        <v>-14.20886680000001</v>
      </c>
      <c r="CK388" s="399"/>
      <c r="CL388" s="399"/>
      <c r="CM388" s="399"/>
      <c r="CN388" s="399"/>
      <c r="CO388" s="399">
        <v>-43.401619999999994</v>
      </c>
      <c r="CP388" s="399">
        <v>27.372080000000018</v>
      </c>
      <c r="CQ388" s="399">
        <v>30</v>
      </c>
      <c r="CR388" s="399">
        <v>-16.041675042543488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0</v>
      </c>
      <c r="DA388" s="399">
        <v>0</v>
      </c>
      <c r="DB388" s="399">
        <v>0</v>
      </c>
      <c r="DC388" s="399">
        <v>27.371106971019685</v>
      </c>
      <c r="DD388" s="399">
        <v>0</v>
      </c>
      <c r="DE388" s="399">
        <v>0</v>
      </c>
      <c r="DF388" s="399">
        <v>0</v>
      </c>
      <c r="DG388" s="399">
        <v>1.1823521488634974</v>
      </c>
      <c r="DH388" s="399">
        <v>0</v>
      </c>
      <c r="DI388" s="399">
        <v>-38.465258851089573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-5.8483646723176292</v>
      </c>
      <c r="DP388" s="399">
        <v>-0.28151063901947859</v>
      </c>
      <c r="DQ388" s="399">
        <v>0</v>
      </c>
      <c r="DR388" s="399">
        <v>0</v>
      </c>
      <c r="DS388" s="399"/>
      <c r="DT388" s="399"/>
      <c r="DU388" s="399"/>
      <c r="DV388" s="399">
        <v>0</v>
      </c>
      <c r="DW388" s="399">
        <v>0</v>
      </c>
      <c r="DX388" s="399">
        <v>0</v>
      </c>
      <c r="DY388" s="399">
        <v>-43.40161999999998</v>
      </c>
      <c r="DZ388" s="399">
        <v>27.372080000000096</v>
      </c>
      <c r="EA388" s="399">
        <v>0</v>
      </c>
      <c r="EB388" s="399">
        <v>0</v>
      </c>
      <c r="EC388" s="399">
        <v>0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225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387</v>
      </c>
      <c r="B389" s="399" t="s">
        <v>957</v>
      </c>
      <c r="C389" s="399" t="s">
        <v>2366</v>
      </c>
      <c r="D389" s="399" t="s">
        <v>534</v>
      </c>
      <c r="E389" s="399" t="s">
        <v>922</v>
      </c>
      <c r="F389" s="399" t="s">
        <v>2374</v>
      </c>
      <c r="G389" s="399" t="s">
        <v>1240</v>
      </c>
      <c r="H389" s="399" t="s">
        <v>1240</v>
      </c>
      <c r="I389" s="399" t="s">
        <v>1240</v>
      </c>
      <c r="J389" s="399" t="s">
        <v>2358</v>
      </c>
      <c r="K389" s="789">
        <v>44652</v>
      </c>
      <c r="L389" s="399">
        <v>78</v>
      </c>
      <c r="M389" s="399">
        <v>73.319999999999993</v>
      </c>
      <c r="N389" s="399">
        <v>0</v>
      </c>
      <c r="O389" s="399">
        <v>0</v>
      </c>
      <c r="P389" s="399">
        <v>0</v>
      </c>
      <c r="Q389" s="399">
        <v>0</v>
      </c>
      <c r="R389" s="399">
        <v>34.950000000000003</v>
      </c>
      <c r="S389" s="399"/>
      <c r="T389" s="399"/>
      <c r="U389" s="399">
        <v>2726.1000000000004</v>
      </c>
      <c r="V389" s="399"/>
      <c r="W389" s="399">
        <v>2726.1000000000004</v>
      </c>
      <c r="X389" s="399">
        <v>2689.4399999999996</v>
      </c>
      <c r="Y389" s="399">
        <v>0</v>
      </c>
      <c r="Z389" s="399">
        <v>0</v>
      </c>
      <c r="AA389" s="399">
        <v>0</v>
      </c>
      <c r="AB389" s="399">
        <v>0</v>
      </c>
      <c r="AC389" s="399">
        <v>0</v>
      </c>
      <c r="AD389" s="399">
        <v>988.24280189208594</v>
      </c>
      <c r="AE389" s="399">
        <v>1738.2150234222775</v>
      </c>
      <c r="AF389" s="399"/>
      <c r="AG389" s="399"/>
      <c r="AH389" s="399"/>
      <c r="AI389" s="399">
        <v>0</v>
      </c>
      <c r="AJ389" s="399">
        <v>0</v>
      </c>
      <c r="AK389" s="399">
        <v>0</v>
      </c>
      <c r="AL389" s="399">
        <v>0</v>
      </c>
      <c r="AM389" s="399"/>
      <c r="AN389" s="399">
        <v>0</v>
      </c>
      <c r="AO389" s="399">
        <v>0</v>
      </c>
      <c r="AP389" s="399">
        <v>0</v>
      </c>
      <c r="AQ389" s="399">
        <v>0</v>
      </c>
      <c r="AR389" s="399">
        <v>0</v>
      </c>
      <c r="AS389" s="399"/>
      <c r="AT389" s="399"/>
      <c r="AU389" s="399">
        <v>0</v>
      </c>
      <c r="AV389" s="399">
        <v>0</v>
      </c>
      <c r="AW389" s="399">
        <v>0</v>
      </c>
      <c r="AX389" s="399"/>
      <c r="AY389" s="399"/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/>
      <c r="BG389" s="399">
        <v>0</v>
      </c>
      <c r="BH389" s="399">
        <v>0</v>
      </c>
      <c r="BI389" s="399">
        <v>38.28</v>
      </c>
      <c r="BJ389" s="399">
        <v>176.72</v>
      </c>
      <c r="BK389" s="399">
        <v>1385.05</v>
      </c>
      <c r="BL389" s="399">
        <v>1</v>
      </c>
      <c r="BM389" s="399"/>
      <c r="BN389" s="399"/>
      <c r="BO389" s="399"/>
      <c r="BP389" s="399"/>
      <c r="BQ389" s="399">
        <v>161.36640000000023</v>
      </c>
      <c r="BR389" s="399"/>
      <c r="BS389" s="399"/>
      <c r="BT389" s="399"/>
      <c r="BU389" s="399"/>
      <c r="BV389" s="399">
        <v>0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2528.0735999999997</v>
      </c>
      <c r="CJ389" s="399">
        <v>-34.490400000001046</v>
      </c>
      <c r="CK389" s="399"/>
      <c r="CL389" s="399"/>
      <c r="CM389" s="399"/>
      <c r="CN389" s="399"/>
      <c r="CO389" s="399">
        <v>-36.660000000000466</v>
      </c>
      <c r="CP389" s="399">
        <v>0</v>
      </c>
      <c r="CQ389" s="399">
        <v>30</v>
      </c>
      <c r="CR389" s="399">
        <v>41.359296985944638</v>
      </c>
      <c r="CS389" s="399">
        <v>0</v>
      </c>
      <c r="CT389" s="399">
        <v>0</v>
      </c>
      <c r="CU389" s="399">
        <v>0</v>
      </c>
      <c r="CV389" s="399">
        <v>0</v>
      </c>
      <c r="CW389" s="399"/>
      <c r="CX389" s="399"/>
      <c r="CY389" s="399"/>
      <c r="CZ389" s="399">
        <v>41.359296985944638</v>
      </c>
      <c r="DA389" s="399">
        <v>0</v>
      </c>
      <c r="DB389" s="399">
        <v>0</v>
      </c>
      <c r="DC389" s="399"/>
      <c r="DD389" s="399"/>
      <c r="DE389" s="399">
        <v>0</v>
      </c>
      <c r="DF389" s="399">
        <v>0</v>
      </c>
      <c r="DG389" s="399">
        <v>0</v>
      </c>
      <c r="DH389" s="399">
        <v>0</v>
      </c>
      <c r="DI389" s="399">
        <v>0</v>
      </c>
      <c r="DJ389" s="399"/>
      <c r="DK389" s="399">
        <v>0</v>
      </c>
      <c r="DL389" s="399">
        <v>0</v>
      </c>
      <c r="DM389" s="399"/>
      <c r="DN389" s="399">
        <v>0</v>
      </c>
      <c r="DO389" s="399">
        <v>0</v>
      </c>
      <c r="DP389" s="399">
        <v>0</v>
      </c>
      <c r="DQ389" s="399">
        <v>0</v>
      </c>
      <c r="DR389" s="399">
        <v>0</v>
      </c>
      <c r="DS389" s="399"/>
      <c r="DT389" s="399"/>
      <c r="DU389" s="399">
        <v>1738.2150234222775</v>
      </c>
      <c r="DV389" s="399"/>
      <c r="DW389" s="399">
        <v>0</v>
      </c>
      <c r="DX389" s="399">
        <v>0</v>
      </c>
      <c r="DY389" s="399">
        <v>-36.660000000000764</v>
      </c>
      <c r="DZ389" s="399"/>
      <c r="EA389" s="399">
        <v>0</v>
      </c>
      <c r="EB389" s="399"/>
      <c r="EC389" s="399">
        <v>-78.284390684721075</v>
      </c>
      <c r="ED389" s="399"/>
      <c r="EE389" s="399">
        <v>0</v>
      </c>
      <c r="EF389" s="399">
        <v>0</v>
      </c>
      <c r="EG389" s="399"/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/>
      <c r="EN389" s="399"/>
      <c r="EO389" s="399">
        <v>0</v>
      </c>
      <c r="EP389" s="399">
        <v>0</v>
      </c>
      <c r="EQ389" s="399"/>
      <c r="ER389" s="399">
        <v>0</v>
      </c>
      <c r="ES389" s="399"/>
      <c r="ET389" s="399">
        <v>0</v>
      </c>
      <c r="EU389" s="399"/>
      <c r="EV389" s="399">
        <v>225</v>
      </c>
      <c r="EW389" s="399"/>
      <c r="EX389" s="399"/>
      <c r="EY389" s="399"/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388</v>
      </c>
      <c r="B390" s="399" t="s">
        <v>957</v>
      </c>
      <c r="C390" s="399" t="s">
        <v>2357</v>
      </c>
      <c r="D390" s="399" t="s">
        <v>1826</v>
      </c>
      <c r="E390" s="399" t="s">
        <v>2375</v>
      </c>
      <c r="F390" s="399" t="s">
        <v>1240</v>
      </c>
      <c r="G390" s="399" t="s">
        <v>1240</v>
      </c>
      <c r="H390" s="399" t="s">
        <v>1240</v>
      </c>
      <c r="I390" s="399" t="s">
        <v>1240</v>
      </c>
      <c r="J390" s="399" t="s">
        <v>2358</v>
      </c>
      <c r="K390" s="789">
        <v>44652</v>
      </c>
      <c r="L390" s="399">
        <v>0</v>
      </c>
      <c r="M390" s="399">
        <v>0</v>
      </c>
      <c r="N390" s="399">
        <v>6.7210000000000001</v>
      </c>
      <c r="O390" s="399">
        <v>6.7210000000000001</v>
      </c>
      <c r="P390" s="399">
        <v>6.7210000000000001</v>
      </c>
      <c r="Q390" s="399">
        <v>6.7210000000000001</v>
      </c>
      <c r="R390" s="399"/>
      <c r="S390" s="399">
        <v>522.37</v>
      </c>
      <c r="T390" s="399">
        <v>144.41999999999999</v>
      </c>
      <c r="U390" s="399"/>
      <c r="V390" s="399">
        <v>4481.4955900000004</v>
      </c>
      <c r="W390" s="399">
        <v>4481.4955900000004</v>
      </c>
      <c r="X390" s="399">
        <v>4380.3445400000001</v>
      </c>
      <c r="Y390" s="399">
        <v>0</v>
      </c>
      <c r="Z390" s="399">
        <v>412.67595589914714</v>
      </c>
      <c r="AA390" s="399">
        <v>0</v>
      </c>
      <c r="AB390" s="399">
        <v>0</v>
      </c>
      <c r="AC390" s="399">
        <v>0</v>
      </c>
      <c r="AD390" s="399">
        <v>685.29771490910935</v>
      </c>
      <c r="AE390" s="399">
        <v>2230.7484148781082</v>
      </c>
      <c r="AF390" s="399">
        <v>970.65907662049631</v>
      </c>
      <c r="AG390" s="399">
        <v>0</v>
      </c>
      <c r="AH390" s="399">
        <v>0</v>
      </c>
      <c r="AI390" s="399">
        <v>0</v>
      </c>
      <c r="AJ390" s="399">
        <v>0</v>
      </c>
      <c r="AK390" s="399">
        <v>0</v>
      </c>
      <c r="AL390" s="399">
        <v>63.733600743636437</v>
      </c>
      <c r="AM390" s="399"/>
      <c r="AN390" s="399">
        <v>9.7780817333979826</v>
      </c>
      <c r="AO390" s="399">
        <v>0</v>
      </c>
      <c r="AP390" s="399">
        <v>0</v>
      </c>
      <c r="AQ390" s="399">
        <v>0</v>
      </c>
      <c r="AR390" s="399">
        <v>0</v>
      </c>
      <c r="AS390" s="399">
        <v>0</v>
      </c>
      <c r="AT390" s="399">
        <v>0</v>
      </c>
      <c r="AU390" s="399">
        <v>0</v>
      </c>
      <c r="AV390" s="399">
        <v>0</v>
      </c>
      <c r="AW390" s="399">
        <v>0</v>
      </c>
      <c r="AX390" s="399">
        <v>0</v>
      </c>
      <c r="AY390" s="399">
        <v>0</v>
      </c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>
        <v>0</v>
      </c>
      <c r="BG390" s="399">
        <v>108.60009766272766</v>
      </c>
      <c r="BH390" s="399">
        <v>0</v>
      </c>
      <c r="BI390" s="399">
        <v>0</v>
      </c>
      <c r="BJ390" s="399">
        <v>0</v>
      </c>
      <c r="BK390" s="399">
        <v>0</v>
      </c>
      <c r="BL390" s="399">
        <v>4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1079.259174283224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4379.6927999999998</v>
      </c>
      <c r="CJ390" s="399">
        <v>-101.8327900000013</v>
      </c>
      <c r="CK390" s="399"/>
      <c r="CL390" s="399"/>
      <c r="CM390" s="399"/>
      <c r="CN390" s="399"/>
      <c r="CO390" s="399">
        <v>-140.40168999999992</v>
      </c>
      <c r="CP390" s="399">
        <v>39.250640000000026</v>
      </c>
      <c r="CQ390" s="399">
        <v>30</v>
      </c>
      <c r="CR390" s="399">
        <v>-0.64507321550490815</v>
      </c>
      <c r="CS390" s="399">
        <v>0</v>
      </c>
      <c r="CT390" s="399">
        <v>0</v>
      </c>
      <c r="CU390" s="399">
        <v>0</v>
      </c>
      <c r="CV390" s="399">
        <v>0</v>
      </c>
      <c r="CW390" s="399">
        <v>0</v>
      </c>
      <c r="CX390" s="399">
        <v>0</v>
      </c>
      <c r="CY390" s="399">
        <v>0</v>
      </c>
      <c r="CZ390" s="399">
        <v>28.680635629679273</v>
      </c>
      <c r="DA390" s="399">
        <v>0</v>
      </c>
      <c r="DB390" s="399">
        <v>0</v>
      </c>
      <c r="DC390" s="399">
        <v>39.249244709243385</v>
      </c>
      <c r="DD390" s="399">
        <v>0</v>
      </c>
      <c r="DE390" s="399">
        <v>0</v>
      </c>
      <c r="DF390" s="399">
        <v>0</v>
      </c>
      <c r="DG390" s="399">
        <v>4.3913171073948121</v>
      </c>
      <c r="DH390" s="399">
        <v>0</v>
      </c>
      <c r="DI390" s="399">
        <v>-63.399867262634984</v>
      </c>
      <c r="DJ390" s="399"/>
      <c r="DK390" s="399">
        <v>0</v>
      </c>
      <c r="DL390" s="399">
        <v>0</v>
      </c>
      <c r="DM390" s="399">
        <v>0</v>
      </c>
      <c r="DN390" s="399">
        <v>0</v>
      </c>
      <c r="DO390" s="399">
        <v>-8.3863577901955964</v>
      </c>
      <c r="DP390" s="399">
        <v>-1.1800456089918825</v>
      </c>
      <c r="DQ390" s="399">
        <v>0</v>
      </c>
      <c r="DR390" s="399">
        <v>0</v>
      </c>
      <c r="DS390" s="399"/>
      <c r="DT390" s="399"/>
      <c r="DU390" s="399"/>
      <c r="DV390" s="399">
        <v>2230.7484148781082</v>
      </c>
      <c r="DW390" s="399">
        <v>0</v>
      </c>
      <c r="DX390" s="399">
        <v>0</v>
      </c>
      <c r="DY390" s="399">
        <v>-140.40168999999969</v>
      </c>
      <c r="DZ390" s="399">
        <v>39.250639999999976</v>
      </c>
      <c r="EA390" s="399">
        <v>0</v>
      </c>
      <c r="EB390" s="399">
        <v>0</v>
      </c>
      <c r="EC390" s="399">
        <v>-100.46673056928375</v>
      </c>
      <c r="ED390" s="399">
        <v>0</v>
      </c>
      <c r="EE390" s="399">
        <v>0</v>
      </c>
      <c r="EF390" s="399">
        <v>0</v>
      </c>
      <c r="EG390" s="399">
        <v>0</v>
      </c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>
        <v>0</v>
      </c>
      <c r="EN390" s="399">
        <v>0</v>
      </c>
      <c r="EO390" s="399">
        <v>0</v>
      </c>
      <c r="EP390" s="399">
        <v>0</v>
      </c>
      <c r="EQ390" s="399">
        <v>0</v>
      </c>
      <c r="ER390" s="399">
        <v>0</v>
      </c>
      <c r="ES390" s="399">
        <v>0</v>
      </c>
      <c r="ET390" s="399">
        <v>0</v>
      </c>
      <c r="EU390" s="399">
        <v>0</v>
      </c>
      <c r="EV390" s="399">
        <v>225</v>
      </c>
      <c r="EW390" s="399">
        <v>0</v>
      </c>
      <c r="EX390" s="399">
        <v>0</v>
      </c>
      <c r="EY390" s="399">
        <v>0</v>
      </c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389</v>
      </c>
      <c r="B391" s="399" t="s">
        <v>957</v>
      </c>
      <c r="C391" s="399" t="s">
        <v>2357</v>
      </c>
      <c r="D391" s="399" t="s">
        <v>2369</v>
      </c>
      <c r="E391" s="399" t="s">
        <v>895</v>
      </c>
      <c r="F391" s="399" t="s">
        <v>2376</v>
      </c>
      <c r="G391" s="399" t="s">
        <v>2377</v>
      </c>
      <c r="H391" s="399" t="s">
        <v>1240</v>
      </c>
      <c r="I391" s="399" t="s">
        <v>1240</v>
      </c>
      <c r="J391" s="399" t="s">
        <v>2358</v>
      </c>
      <c r="K391" s="789">
        <v>44652</v>
      </c>
      <c r="L391" s="399">
        <v>0</v>
      </c>
      <c r="M391" s="399">
        <v>0</v>
      </c>
      <c r="N391" s="399">
        <v>0</v>
      </c>
      <c r="O391" s="399">
        <v>0</v>
      </c>
      <c r="P391" s="399">
        <v>0</v>
      </c>
      <c r="Q391" s="399">
        <v>0</v>
      </c>
      <c r="R391" s="399"/>
      <c r="S391" s="399"/>
      <c r="T391" s="399"/>
      <c r="U391" s="399"/>
      <c r="V391" s="399"/>
      <c r="W391" s="399"/>
      <c r="X391" s="399"/>
      <c r="Y391" s="399"/>
      <c r="Z391" s="399"/>
      <c r="AA391" s="399">
        <v>0</v>
      </c>
      <c r="AB391" s="399"/>
      <c r="AC391" s="399"/>
      <c r="AD391" s="399"/>
      <c r="AE391" s="399"/>
      <c r="AF391" s="399"/>
      <c r="AG391" s="399"/>
      <c r="AH391" s="399"/>
      <c r="AI391" s="399"/>
      <c r="AJ391" s="399"/>
      <c r="AK391" s="399"/>
      <c r="AL391" s="399"/>
      <c r="AM391" s="399"/>
      <c r="AN391" s="399"/>
      <c r="AO391" s="399"/>
      <c r="AP391" s="399"/>
      <c r="AQ391" s="399"/>
      <c r="AR391" s="399"/>
      <c r="AS391" s="399"/>
      <c r="AT391" s="399"/>
      <c r="AU391" s="399"/>
      <c r="AV391" s="399"/>
      <c r="AW391" s="399"/>
      <c r="AX391" s="399"/>
      <c r="AY391" s="399"/>
      <c r="AZ391" s="399">
        <v>0</v>
      </c>
      <c r="BA391" s="399"/>
      <c r="BB391" s="399"/>
      <c r="BC391" s="399"/>
      <c r="BD391" s="399"/>
      <c r="BE391" s="399"/>
      <c r="BF391" s="399"/>
      <c r="BG391" s="399"/>
      <c r="BH391" s="399"/>
      <c r="BI391" s="399">
        <v>0</v>
      </c>
      <c r="BJ391" s="399">
        <v>0</v>
      </c>
      <c r="BK391" s="399">
        <v>566.61</v>
      </c>
      <c r="BL391" s="399">
        <v>2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/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/>
      <c r="CJ391" s="399">
        <v>-0.03</v>
      </c>
      <c r="CK391" s="399"/>
      <c r="CL391" s="399"/>
      <c r="CM391" s="399"/>
      <c r="CN391" s="399"/>
      <c r="CO391" s="399">
        <v>0</v>
      </c>
      <c r="CP391" s="399">
        <v>0</v>
      </c>
      <c r="CQ391" s="399">
        <v>30</v>
      </c>
      <c r="CR391" s="399"/>
      <c r="CS391" s="399"/>
      <c r="CT391" s="399"/>
      <c r="CU391" s="399"/>
      <c r="CV391" s="399"/>
      <c r="CW391" s="399"/>
      <c r="CX391" s="399"/>
      <c r="CY391" s="399"/>
      <c r="CZ391" s="399"/>
      <c r="DA391" s="399"/>
      <c r="DB391" s="399"/>
      <c r="DC391" s="399"/>
      <c r="DD391" s="399"/>
      <c r="DE391" s="399"/>
      <c r="DF391" s="399"/>
      <c r="DG391" s="399"/>
      <c r="DH391" s="399"/>
      <c r="DI391" s="399"/>
      <c r="DJ391" s="399"/>
      <c r="DK391" s="399">
        <v>0</v>
      </c>
      <c r="DL391" s="399"/>
      <c r="DM391" s="399"/>
      <c r="DN391" s="399"/>
      <c r="DO391" s="399"/>
      <c r="DP391" s="399"/>
      <c r="DQ391" s="399"/>
      <c r="DR391" s="399"/>
      <c r="DS391" s="399"/>
      <c r="DT391" s="399"/>
      <c r="DU391" s="399"/>
      <c r="DV391" s="399"/>
      <c r="DW391" s="399"/>
      <c r="DX391" s="399"/>
      <c r="DY391" s="399"/>
      <c r="DZ391" s="399"/>
      <c r="EA391" s="399"/>
      <c r="EB391" s="399"/>
      <c r="EC391" s="399"/>
      <c r="ED391" s="399"/>
      <c r="EE391" s="399"/>
      <c r="EF391" s="399"/>
      <c r="EG391" s="399"/>
      <c r="EH391" s="399"/>
      <c r="EI391" s="399"/>
      <c r="EJ391" s="399"/>
      <c r="EK391" s="399"/>
      <c r="EL391" s="399"/>
      <c r="EM391" s="399"/>
      <c r="EN391" s="399"/>
      <c r="EO391" s="399"/>
      <c r="EP391" s="399"/>
      <c r="EQ391" s="399"/>
      <c r="ER391" s="399"/>
      <c r="ES391" s="399"/>
      <c r="ET391" s="399"/>
      <c r="EU391" s="399"/>
      <c r="EV391" s="399">
        <v>225</v>
      </c>
      <c r="EW391" s="399"/>
      <c r="EX391" s="399"/>
      <c r="EY391" s="399"/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390</v>
      </c>
      <c r="B392" s="399" t="s">
        <v>2359</v>
      </c>
      <c r="C392" s="399" t="s">
        <v>2357</v>
      </c>
      <c r="D392" s="399" t="s">
        <v>2369</v>
      </c>
      <c r="E392" s="399" t="s">
        <v>895</v>
      </c>
      <c r="F392" s="399" t="s">
        <v>2376</v>
      </c>
      <c r="G392" s="399" t="s">
        <v>2377</v>
      </c>
      <c r="H392" s="399" t="s">
        <v>1240</v>
      </c>
      <c r="I392" s="399" t="s">
        <v>1240</v>
      </c>
      <c r="J392" s="399" t="s">
        <v>2358</v>
      </c>
      <c r="K392" s="789">
        <v>44652</v>
      </c>
      <c r="L392" s="399">
        <v>0</v>
      </c>
      <c r="M392" s="399">
        <v>0</v>
      </c>
      <c r="N392" s="399">
        <v>0</v>
      </c>
      <c r="O392" s="399">
        <v>0</v>
      </c>
      <c r="P392" s="399">
        <v>0</v>
      </c>
      <c r="Q392" s="399">
        <v>0</v>
      </c>
      <c r="R392" s="399"/>
      <c r="S392" s="399"/>
      <c r="T392" s="399"/>
      <c r="U392" s="399"/>
      <c r="V392" s="399"/>
      <c r="W392" s="399"/>
      <c r="X392" s="399"/>
      <c r="Y392" s="399"/>
      <c r="Z392" s="399"/>
      <c r="AA392" s="399">
        <v>0</v>
      </c>
      <c r="AB392" s="399"/>
      <c r="AC392" s="399"/>
      <c r="AD392" s="399"/>
      <c r="AE392" s="399"/>
      <c r="AF392" s="399"/>
      <c r="AG392" s="399"/>
      <c r="AH392" s="399"/>
      <c r="AI392" s="399"/>
      <c r="AJ392" s="399"/>
      <c r="AK392" s="399"/>
      <c r="AL392" s="399"/>
      <c r="AM392" s="399"/>
      <c r="AN392" s="399"/>
      <c r="AO392" s="399"/>
      <c r="AP392" s="399"/>
      <c r="AQ392" s="399"/>
      <c r="AR392" s="399"/>
      <c r="AS392" s="399"/>
      <c r="AT392" s="399"/>
      <c r="AU392" s="399"/>
      <c r="AV392" s="399"/>
      <c r="AW392" s="399"/>
      <c r="AX392" s="399"/>
      <c r="AY392" s="399"/>
      <c r="AZ392" s="399">
        <v>0</v>
      </c>
      <c r="BA392" s="399"/>
      <c r="BB392" s="399"/>
      <c r="BC392" s="399"/>
      <c r="BD392" s="399"/>
      <c r="BE392" s="399"/>
      <c r="BF392" s="399"/>
      <c r="BG392" s="399"/>
      <c r="BH392" s="399"/>
      <c r="BI392" s="399">
        <v>0</v>
      </c>
      <c r="BJ392" s="399">
        <v>0</v>
      </c>
      <c r="BK392" s="399">
        <v>-1370.84</v>
      </c>
      <c r="BL392" s="399">
        <v>0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/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/>
      <c r="CJ392" s="399">
        <v>-0.03</v>
      </c>
      <c r="CK392" s="399"/>
      <c r="CL392" s="399"/>
      <c r="CM392" s="399"/>
      <c r="CN392" s="399"/>
      <c r="CO392" s="399">
        <v>0</v>
      </c>
      <c r="CP392" s="399">
        <v>0</v>
      </c>
      <c r="CQ392" s="399">
        <v>30</v>
      </c>
      <c r="CR392" s="399"/>
      <c r="CS392" s="399"/>
      <c r="CT392" s="399"/>
      <c r="CU392" s="399"/>
      <c r="CV392" s="399"/>
      <c r="CW392" s="399"/>
      <c r="CX392" s="399"/>
      <c r="CY392" s="399"/>
      <c r="CZ392" s="399"/>
      <c r="DA392" s="399"/>
      <c r="DB392" s="399"/>
      <c r="DC392" s="399"/>
      <c r="DD392" s="399"/>
      <c r="DE392" s="399"/>
      <c r="DF392" s="399"/>
      <c r="DG392" s="399"/>
      <c r="DH392" s="399"/>
      <c r="DI392" s="399"/>
      <c r="DJ392" s="399"/>
      <c r="DK392" s="399">
        <v>0</v>
      </c>
      <c r="DL392" s="399"/>
      <c r="DM392" s="399"/>
      <c r="DN392" s="399"/>
      <c r="DO392" s="399"/>
      <c r="DP392" s="399"/>
      <c r="DQ392" s="399"/>
      <c r="DR392" s="399"/>
      <c r="DS392" s="399"/>
      <c r="DT392" s="399"/>
      <c r="DU392" s="399"/>
      <c r="DV392" s="399"/>
      <c r="DW392" s="399"/>
      <c r="DX392" s="399"/>
      <c r="DY392" s="399"/>
      <c r="DZ392" s="399"/>
      <c r="EA392" s="399"/>
      <c r="EB392" s="399"/>
      <c r="EC392" s="399"/>
      <c r="ED392" s="399"/>
      <c r="EE392" s="399"/>
      <c r="EF392" s="399"/>
      <c r="EG392" s="399"/>
      <c r="EH392" s="399"/>
      <c r="EI392" s="399"/>
      <c r="EJ392" s="399"/>
      <c r="EK392" s="399"/>
      <c r="EL392" s="399"/>
      <c r="EM392" s="399"/>
      <c r="EN392" s="399"/>
      <c r="EO392" s="399"/>
      <c r="EP392" s="399"/>
      <c r="EQ392" s="399"/>
      <c r="ER392" s="399"/>
      <c r="ES392" s="399"/>
      <c r="ET392" s="399"/>
      <c r="EU392" s="399"/>
      <c r="EV392" s="399">
        <v>225</v>
      </c>
      <c r="EW392" s="399"/>
      <c r="EX392" s="399"/>
      <c r="EY392" s="399"/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391</v>
      </c>
      <c r="B393" s="399" t="s">
        <v>957</v>
      </c>
      <c r="C393" s="399" t="s">
        <v>2357</v>
      </c>
      <c r="D393" s="399" t="s">
        <v>2369</v>
      </c>
      <c r="E393" s="399" t="s">
        <v>895</v>
      </c>
      <c r="F393" s="399" t="s">
        <v>2376</v>
      </c>
      <c r="G393" s="399" t="s">
        <v>2377</v>
      </c>
      <c r="H393" s="399" t="s">
        <v>1240</v>
      </c>
      <c r="I393" s="399" t="s">
        <v>1240</v>
      </c>
      <c r="J393" s="399" t="s">
        <v>2358</v>
      </c>
      <c r="K393" s="789">
        <v>44652</v>
      </c>
      <c r="L393" s="399">
        <v>0</v>
      </c>
      <c r="M393" s="399">
        <v>0</v>
      </c>
      <c r="N393" s="399">
        <v>2.2810000000000001</v>
      </c>
      <c r="O393" s="399">
        <v>2.2810000000000001</v>
      </c>
      <c r="P393" s="399">
        <v>2.2810000000000001</v>
      </c>
      <c r="Q393" s="399">
        <v>2.2810000000000001</v>
      </c>
      <c r="R393" s="399"/>
      <c r="S393" s="399">
        <v>522.37</v>
      </c>
      <c r="T393" s="399">
        <v>144.41999999999999</v>
      </c>
      <c r="U393" s="399"/>
      <c r="V393" s="399">
        <v>1520.9479900000001</v>
      </c>
      <c r="W393" s="399">
        <v>1520.9479900000001</v>
      </c>
      <c r="X393" s="399">
        <v>1486.6189400000001</v>
      </c>
      <c r="Y393" s="399">
        <v>0</v>
      </c>
      <c r="Z393" s="399">
        <v>140.05562496740882</v>
      </c>
      <c r="AA393" s="399">
        <v>0</v>
      </c>
      <c r="AB393" s="399">
        <v>0</v>
      </c>
      <c r="AC393" s="399">
        <v>0</v>
      </c>
      <c r="AD393" s="399">
        <v>232.57909354377003</v>
      </c>
      <c r="AE393" s="399">
        <v>757.08036517437358</v>
      </c>
      <c r="AF393" s="399">
        <v>329.42617970113855</v>
      </c>
      <c r="AG393" s="399">
        <v>0</v>
      </c>
      <c r="AH393" s="399">
        <v>0</v>
      </c>
      <c r="AI393" s="399">
        <v>0</v>
      </c>
      <c r="AJ393" s="399">
        <v>0</v>
      </c>
      <c r="AK393" s="399">
        <v>0</v>
      </c>
      <c r="AL393" s="399">
        <v>21.630165644433077</v>
      </c>
      <c r="AM393" s="399"/>
      <c r="AN393" s="399">
        <v>3.3185246888678468</v>
      </c>
      <c r="AO393" s="399">
        <v>0</v>
      </c>
      <c r="AP393" s="399">
        <v>0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36.857137742699273</v>
      </c>
      <c r="BH393" s="399">
        <v>0</v>
      </c>
      <c r="BI393" s="399">
        <v>0</v>
      </c>
      <c r="BJ393" s="399">
        <v>0</v>
      </c>
      <c r="BK393" s="399">
        <v>0</v>
      </c>
      <c r="BL393" s="399">
        <v>0</v>
      </c>
      <c r="BM393" s="399"/>
      <c r="BN393" s="399"/>
      <c r="BO393" s="399"/>
      <c r="BP393" s="399"/>
      <c r="BQ393" s="399"/>
      <c r="BR393" s="399">
        <v>178.37420000000003</v>
      </c>
      <c r="BS393" s="399"/>
      <c r="BT393" s="399"/>
      <c r="BU393" s="399"/>
      <c r="BV393" s="399">
        <v>366.2833174438378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1307.6711999999998</v>
      </c>
      <c r="CJ393" s="399">
        <v>-30.781170000000202</v>
      </c>
      <c r="CK393" s="399"/>
      <c r="CL393" s="399"/>
      <c r="CM393" s="399"/>
      <c r="CN393" s="399"/>
      <c r="CO393" s="399">
        <v>-47.65008999999997</v>
      </c>
      <c r="CP393" s="399">
        <v>13.321040000000009</v>
      </c>
      <c r="CQ393" s="399">
        <v>30</v>
      </c>
      <c r="CR393" s="399">
        <v>-0.21892754122404767</v>
      </c>
      <c r="CS393" s="399">
        <v>0</v>
      </c>
      <c r="CT393" s="399">
        <v>0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9.7337494228981711</v>
      </c>
      <c r="DA393" s="399">
        <v>0</v>
      </c>
      <c r="DB393" s="399">
        <v>0</v>
      </c>
      <c r="DC393" s="399">
        <v>13.320566460613577</v>
      </c>
      <c r="DD393" s="399">
        <v>0</v>
      </c>
      <c r="DE393" s="399">
        <v>0</v>
      </c>
      <c r="DF393" s="399">
        <v>0</v>
      </c>
      <c r="DG393" s="399">
        <v>1.4903428540347505</v>
      </c>
      <c r="DH393" s="399">
        <v>0</v>
      </c>
      <c r="DI393" s="399">
        <v>-21.516901833963757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-2.846195821966397</v>
      </c>
      <c r="DP393" s="399">
        <v>-0.40048862284042253</v>
      </c>
      <c r="DQ393" s="399">
        <v>0</v>
      </c>
      <c r="DR393" s="399">
        <v>0</v>
      </c>
      <c r="DS393" s="399"/>
      <c r="DT393" s="399"/>
      <c r="DU393" s="399"/>
      <c r="DV393" s="399">
        <v>757.08036517437358</v>
      </c>
      <c r="DW393" s="399">
        <v>0</v>
      </c>
      <c r="DX393" s="399">
        <v>0</v>
      </c>
      <c r="DY393" s="399">
        <v>-47.650090000000091</v>
      </c>
      <c r="DZ393" s="399">
        <v>13.321040000000039</v>
      </c>
      <c r="EA393" s="399">
        <v>0</v>
      </c>
      <c r="EB393" s="399">
        <v>0</v>
      </c>
      <c r="EC393" s="399">
        <v>-34.096802920478467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0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225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392</v>
      </c>
      <c r="B394" s="399" t="s">
        <v>2359</v>
      </c>
      <c r="C394" s="399" t="s">
        <v>2357</v>
      </c>
      <c r="D394" s="399" t="s">
        <v>2369</v>
      </c>
      <c r="E394" s="399" t="s">
        <v>895</v>
      </c>
      <c r="F394" s="399" t="s">
        <v>2376</v>
      </c>
      <c r="G394" s="399" t="s">
        <v>2377</v>
      </c>
      <c r="H394" s="399" t="s">
        <v>1240</v>
      </c>
      <c r="I394" s="399" t="s">
        <v>1240</v>
      </c>
      <c r="J394" s="399" t="s">
        <v>2358</v>
      </c>
      <c r="K394" s="789">
        <v>44652</v>
      </c>
      <c r="L394" s="399">
        <v>0</v>
      </c>
      <c r="M394" s="399">
        <v>0</v>
      </c>
      <c r="N394" s="399">
        <v>-5.9180000000000001</v>
      </c>
      <c r="O394" s="399">
        <v>-5.9180000000000001</v>
      </c>
      <c r="P394" s="399">
        <v>-5.9180000000000001</v>
      </c>
      <c r="Q394" s="399">
        <v>-5.9180000000000001</v>
      </c>
      <c r="R394" s="399"/>
      <c r="S394" s="399">
        <v>522.37</v>
      </c>
      <c r="T394" s="399">
        <v>144.41999999999999</v>
      </c>
      <c r="U394" s="399"/>
      <c r="V394" s="399">
        <v>-3946.06322</v>
      </c>
      <c r="W394" s="399">
        <v>-3946.06322</v>
      </c>
      <c r="X394" s="399">
        <v>-3856.9973199999999</v>
      </c>
      <c r="Y394" s="399">
        <v>0</v>
      </c>
      <c r="Z394" s="399">
        <v>-363.37097262478096</v>
      </c>
      <c r="AA394" s="399">
        <v>0</v>
      </c>
      <c r="AB394" s="399">
        <v>0</v>
      </c>
      <c r="AC394" s="399">
        <v>0</v>
      </c>
      <c r="AD394" s="399">
        <v>-603.42090118019769</v>
      </c>
      <c r="AE394" s="399">
        <v>-1964.2269185015093</v>
      </c>
      <c r="AF394" s="399">
        <v>-854.68835224521615</v>
      </c>
      <c r="AG394" s="399">
        <v>0</v>
      </c>
      <c r="AH394" s="399">
        <v>0</v>
      </c>
      <c r="AI394" s="399">
        <v>0</v>
      </c>
      <c r="AJ394" s="399">
        <v>0</v>
      </c>
      <c r="AK394" s="399">
        <v>0</v>
      </c>
      <c r="AL394" s="399">
        <v>-56.118947954298534</v>
      </c>
      <c r="AM394" s="399"/>
      <c r="AN394" s="399">
        <v>-8.6098330156597616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-95.624963244758561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/>
      <c r="BR394" s="399">
        <v>-462.78760000000011</v>
      </c>
      <c r="BS394" s="399"/>
      <c r="BT394" s="399"/>
      <c r="BU394" s="399"/>
      <c r="BV394" s="399">
        <v>-950.31331548997468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-3395.3567999999996</v>
      </c>
      <c r="CJ394" s="399">
        <v>77.118060000000241</v>
      </c>
      <c r="CK394" s="399"/>
      <c r="CL394" s="399"/>
      <c r="CM394" s="399"/>
      <c r="CN394" s="399"/>
      <c r="CO394" s="399">
        <v>123.62701999999992</v>
      </c>
      <c r="CP394" s="399">
        <v>-34.561120000000024</v>
      </c>
      <c r="CQ394" s="399">
        <v>30</v>
      </c>
      <c r="CR394" s="399">
        <v>0.568002274863602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-25.253980308948485</v>
      </c>
      <c r="DA394" s="399">
        <v>0</v>
      </c>
      <c r="DB394" s="399">
        <v>0</v>
      </c>
      <c r="DC394" s="399">
        <v>-34.559891413376249</v>
      </c>
      <c r="DD394" s="399">
        <v>0</v>
      </c>
      <c r="DE394" s="399">
        <v>0</v>
      </c>
      <c r="DF394" s="399">
        <v>0</v>
      </c>
      <c r="DG394" s="399">
        <v>-3.8666589259875792</v>
      </c>
      <c r="DH394" s="399">
        <v>0</v>
      </c>
      <c r="DI394" s="399">
        <v>55.825087704251416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7.3843870558514411</v>
      </c>
      <c r="DP394" s="399">
        <v>1.0390581630730473</v>
      </c>
      <c r="DQ394" s="399">
        <v>0</v>
      </c>
      <c r="DR394" s="399">
        <v>0</v>
      </c>
      <c r="DS394" s="399"/>
      <c r="DT394" s="399"/>
      <c r="DU394" s="399"/>
      <c r="DV394" s="399">
        <v>-1964.2269185015093</v>
      </c>
      <c r="DW394" s="399">
        <v>0</v>
      </c>
      <c r="DX394" s="399">
        <v>0</v>
      </c>
      <c r="DY394" s="399">
        <v>123.6270199999999</v>
      </c>
      <c r="DZ394" s="399">
        <v>-34.56111999999996</v>
      </c>
      <c r="EA394" s="399">
        <v>0</v>
      </c>
      <c r="EB394" s="399">
        <v>0</v>
      </c>
      <c r="EC394" s="399">
        <v>88.463340501267794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225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393</v>
      </c>
      <c r="B395" s="399" t="s">
        <v>957</v>
      </c>
      <c r="C395" s="399" t="s">
        <v>2357</v>
      </c>
      <c r="D395" s="399" t="s">
        <v>2369</v>
      </c>
      <c r="E395" s="399" t="s">
        <v>895</v>
      </c>
      <c r="F395" s="399" t="s">
        <v>2376</v>
      </c>
      <c r="G395" s="399" t="s">
        <v>2378</v>
      </c>
      <c r="H395" s="399" t="s">
        <v>1240</v>
      </c>
      <c r="I395" s="399" t="s">
        <v>1240</v>
      </c>
      <c r="J395" s="399" t="s">
        <v>2358</v>
      </c>
      <c r="K395" s="789">
        <v>44652</v>
      </c>
      <c r="L395" s="399">
        <v>0</v>
      </c>
      <c r="M395" s="399">
        <v>0</v>
      </c>
      <c r="N395" s="399">
        <v>0.67900000000000005</v>
      </c>
      <c r="O395" s="399">
        <v>0.27160000000000001</v>
      </c>
      <c r="P395" s="399">
        <v>0.67900000000000005</v>
      </c>
      <c r="Q395" s="399">
        <v>0.27160000000000001</v>
      </c>
      <c r="R395" s="399"/>
      <c r="S395" s="399">
        <v>522.37</v>
      </c>
      <c r="T395" s="399">
        <v>144.41999999999999</v>
      </c>
      <c r="U395" s="399"/>
      <c r="V395" s="399">
        <v>452.75040999999999</v>
      </c>
      <c r="W395" s="399">
        <v>452.75040999999999</v>
      </c>
      <c r="X395" s="399">
        <v>442.53146000000004</v>
      </c>
      <c r="Y395" s="399">
        <v>0</v>
      </c>
      <c r="Z395" s="399">
        <v>41.69126232041674</v>
      </c>
      <c r="AA395" s="399">
        <v>0</v>
      </c>
      <c r="AB395" s="399">
        <v>0</v>
      </c>
      <c r="AC395" s="399">
        <v>0</v>
      </c>
      <c r="AD395" s="399">
        <v>69.233320699789502</v>
      </c>
      <c r="AE395" s="399">
        <v>225.36500129478284</v>
      </c>
      <c r="AF395" s="399">
        <v>98.062418245099991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6.4387910883691628</v>
      </c>
      <c r="AM395" s="399"/>
      <c r="AN395" s="399">
        <v>0.9878466741522437</v>
      </c>
      <c r="AO395" s="399">
        <v>0</v>
      </c>
      <c r="AP395" s="399">
        <v>0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10.971502203986324</v>
      </c>
      <c r="BH395" s="399">
        <v>0</v>
      </c>
      <c r="BI395" s="399">
        <v>0</v>
      </c>
      <c r="BJ395" s="399">
        <v>0</v>
      </c>
      <c r="BK395" s="399">
        <v>0</v>
      </c>
      <c r="BL395" s="399">
        <v>0</v>
      </c>
      <c r="BM395" s="399"/>
      <c r="BN395" s="399"/>
      <c r="BO395" s="399"/>
      <c r="BP395" s="399"/>
      <c r="BQ395" s="399"/>
      <c r="BR395" s="399"/>
      <c r="BS395" s="399">
        <v>286.75799600000005</v>
      </c>
      <c r="BT395" s="399"/>
      <c r="BU395" s="399"/>
      <c r="BV395" s="399">
        <v>109.03392044908631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154.85580000000002</v>
      </c>
      <c r="CJ395" s="399">
        <v>-4.540931999999998</v>
      </c>
      <c r="CK395" s="399"/>
      <c r="CL395" s="399"/>
      <c r="CM395" s="399"/>
      <c r="CN395" s="399"/>
      <c r="CO395" s="399">
        <v>-14.184309999999991</v>
      </c>
      <c r="CP395" s="399">
        <v>3.9653600000000027</v>
      </c>
      <c r="CQ395" s="399">
        <v>30</v>
      </c>
      <c r="CR395" s="399">
        <v>-6.5169574963249488E-2</v>
      </c>
      <c r="CS395" s="399">
        <v>0</v>
      </c>
      <c r="CT395" s="399">
        <v>0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2.8975080482892821</v>
      </c>
      <c r="DA395" s="399">
        <v>0</v>
      </c>
      <c r="DB395" s="399">
        <v>0</v>
      </c>
      <c r="DC395" s="399">
        <v>3.9652190384728812</v>
      </c>
      <c r="DD395" s="399">
        <v>0</v>
      </c>
      <c r="DE395" s="399">
        <v>0</v>
      </c>
      <c r="DF395" s="399">
        <v>0</v>
      </c>
      <c r="DG395" s="399">
        <v>0.44363998153862205</v>
      </c>
      <c r="DH395" s="399">
        <v>0</v>
      </c>
      <c r="DI395" s="399">
        <v>-6.4050751184837296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-0.84724549018640261</v>
      </c>
      <c r="DP395" s="399">
        <v>-0.11921603459388286</v>
      </c>
      <c r="DQ395" s="399">
        <v>0</v>
      </c>
      <c r="DR395" s="399">
        <v>0</v>
      </c>
      <c r="DS395" s="399"/>
      <c r="DT395" s="399"/>
      <c r="DU395" s="399"/>
      <c r="DV395" s="399">
        <v>225.36500129478284</v>
      </c>
      <c r="DW395" s="399">
        <v>0</v>
      </c>
      <c r="DX395" s="399">
        <v>0</v>
      </c>
      <c r="DY395" s="399">
        <v>-14.184309999999982</v>
      </c>
      <c r="DZ395" s="399">
        <v>3.965360000000004</v>
      </c>
      <c r="EA395" s="399">
        <v>0</v>
      </c>
      <c r="EB395" s="399">
        <v>0</v>
      </c>
      <c r="EC395" s="399">
        <v>-10.149815512058268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0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225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394</v>
      </c>
      <c r="B396" s="399" t="s">
        <v>957</v>
      </c>
      <c r="C396" s="399" t="s">
        <v>2357</v>
      </c>
      <c r="D396" s="399" t="s">
        <v>1823</v>
      </c>
      <c r="E396" s="399" t="s">
        <v>890</v>
      </c>
      <c r="F396" s="399" t="s">
        <v>890</v>
      </c>
      <c r="G396" s="399" t="s">
        <v>1240</v>
      </c>
      <c r="H396" s="399" t="s">
        <v>1240</v>
      </c>
      <c r="I396" s="399" t="s">
        <v>1240</v>
      </c>
      <c r="J396" s="399" t="s">
        <v>2358</v>
      </c>
      <c r="K396" s="789">
        <v>44682</v>
      </c>
      <c r="L396" s="399">
        <v>0</v>
      </c>
      <c r="M396" s="399">
        <v>0</v>
      </c>
      <c r="N396" s="399">
        <v>2203.4090000000001</v>
      </c>
      <c r="O396" s="399">
        <v>2203.4090000000001</v>
      </c>
      <c r="P396" s="399">
        <v>2203.4090000000001</v>
      </c>
      <c r="Q396" s="399">
        <v>2203.4090000000001</v>
      </c>
      <c r="R396" s="399"/>
      <c r="S396" s="399">
        <v>522.37</v>
      </c>
      <c r="T396" s="399">
        <v>144.41999999999999</v>
      </c>
      <c r="U396" s="399"/>
      <c r="V396" s="399">
        <v>1469211.08711</v>
      </c>
      <c r="W396" s="399">
        <v>1469211.08711</v>
      </c>
      <c r="X396" s="399">
        <v>1436049.7816600001</v>
      </c>
      <c r="Y396" s="399">
        <v>0</v>
      </c>
      <c r="Z396" s="399">
        <v>135291.46188242582</v>
      </c>
      <c r="AA396" s="399">
        <v>0</v>
      </c>
      <c r="AB396" s="399">
        <v>0</v>
      </c>
      <c r="AC396" s="399">
        <v>0</v>
      </c>
      <c r="AD396" s="399">
        <v>224667.63170810381</v>
      </c>
      <c r="AE396" s="399">
        <v>731327.35219136393</v>
      </c>
      <c r="AF396" s="399">
        <v>318220.34598382551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20894.389150563195</v>
      </c>
      <c r="AM396" s="399"/>
      <c r="AN396" s="399">
        <v>3205.6410198043022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35603.397201448162</v>
      </c>
      <c r="BH396" s="399">
        <v>0</v>
      </c>
      <c r="BI396" s="399">
        <v>406.38</v>
      </c>
      <c r="BJ396" s="399">
        <v>1892.92</v>
      </c>
      <c r="BK396" s="399">
        <v>254527.27</v>
      </c>
      <c r="BL396" s="399">
        <v>11959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353823.74318527366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1436050.4334</v>
      </c>
      <c r="CJ396" s="399">
        <v>-33160.683710000012</v>
      </c>
      <c r="CK396" s="399"/>
      <c r="CL396" s="399"/>
      <c r="CM396" s="399"/>
      <c r="CN396" s="399"/>
      <c r="CO396" s="399">
        <v>-46029.214009999974</v>
      </c>
      <c r="CP396" s="399">
        <v>12867.908560000009</v>
      </c>
      <c r="CQ396" s="399">
        <v>31</v>
      </c>
      <c r="CR396" s="399">
        <v>-211.48045360832475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9402.6440518012387</v>
      </c>
      <c r="DA396" s="399">
        <v>0</v>
      </c>
      <c r="DB396" s="399">
        <v>0</v>
      </c>
      <c r="DC396" s="399">
        <v>12867.451128633984</v>
      </c>
      <c r="DD396" s="399">
        <v>0</v>
      </c>
      <c r="DE396" s="399">
        <v>0</v>
      </c>
      <c r="DF396" s="399">
        <v>0</v>
      </c>
      <c r="DG396" s="399">
        <v>1439.6470222121279</v>
      </c>
      <c r="DH396" s="399">
        <v>0</v>
      </c>
      <c r="DI396" s="399">
        <v>-20784.97814689709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-2749.378996003139</v>
      </c>
      <c r="DP396" s="399">
        <v>-386.86551335563036</v>
      </c>
      <c r="DQ396" s="399">
        <v>0</v>
      </c>
      <c r="DR396" s="399">
        <v>0</v>
      </c>
      <c r="DS396" s="399"/>
      <c r="DT396" s="399"/>
      <c r="DU396" s="399"/>
      <c r="DV396" s="399">
        <v>731327.35219136393</v>
      </c>
      <c r="DW396" s="399">
        <v>0</v>
      </c>
      <c r="DX396" s="399">
        <v>0</v>
      </c>
      <c r="DY396" s="399">
        <v>-46029.214009999996</v>
      </c>
      <c r="DZ396" s="399">
        <v>12867.908560000011</v>
      </c>
      <c r="EA396" s="399">
        <v>0</v>
      </c>
      <c r="EB396" s="399">
        <v>0</v>
      </c>
      <c r="EC396" s="399">
        <v>-32936.958538451698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225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395</v>
      </c>
      <c r="B397" s="399" t="s">
        <v>2359</v>
      </c>
      <c r="C397" s="399" t="s">
        <v>2357</v>
      </c>
      <c r="D397" s="399" t="s">
        <v>1823</v>
      </c>
      <c r="E397" s="399" t="s">
        <v>890</v>
      </c>
      <c r="F397" s="399" t="s">
        <v>890</v>
      </c>
      <c r="G397" s="399" t="s">
        <v>1240</v>
      </c>
      <c r="H397" s="399" t="s">
        <v>1240</v>
      </c>
      <c r="I397" s="399" t="s">
        <v>1240</v>
      </c>
      <c r="J397" s="399" t="s">
        <v>2358</v>
      </c>
      <c r="K397" s="789">
        <v>44682</v>
      </c>
      <c r="L397" s="399">
        <v>0</v>
      </c>
      <c r="M397" s="399">
        <v>0</v>
      </c>
      <c r="N397" s="399">
        <v>-3.4849999999999999</v>
      </c>
      <c r="O397" s="399">
        <v>-3.4849999999999999</v>
      </c>
      <c r="P397" s="399">
        <v>-3.4849999999999999</v>
      </c>
      <c r="Q397" s="399">
        <v>-3.4849999999999999</v>
      </c>
      <c r="R397" s="399"/>
      <c r="S397" s="399">
        <v>522.37</v>
      </c>
      <c r="T397" s="399">
        <v>144.41999999999999</v>
      </c>
      <c r="U397" s="399"/>
      <c r="V397" s="399">
        <v>-2323.7631499999998</v>
      </c>
      <c r="W397" s="399">
        <v>-2323.7631499999998</v>
      </c>
      <c r="X397" s="399">
        <v>-2271.3139000000001</v>
      </c>
      <c r="Y397" s="399">
        <v>0</v>
      </c>
      <c r="Z397" s="399">
        <v>-213.98239939124053</v>
      </c>
      <c r="AA397" s="399">
        <v>0</v>
      </c>
      <c r="AB397" s="399">
        <v>0</v>
      </c>
      <c r="AC397" s="399">
        <v>0</v>
      </c>
      <c r="AD397" s="399">
        <v>-355.34333231040705</v>
      </c>
      <c r="AE397" s="399">
        <v>-1156.6966561300708</v>
      </c>
      <c r="AF397" s="399">
        <v>-503.31005535224364</v>
      </c>
      <c r="AG397" s="399">
        <v>0</v>
      </c>
      <c r="AH397" s="399">
        <v>0</v>
      </c>
      <c r="AI397" s="399">
        <v>0</v>
      </c>
      <c r="AJ397" s="399">
        <v>0</v>
      </c>
      <c r="AK397" s="399">
        <v>0</v>
      </c>
      <c r="AL397" s="399">
        <v>-33.047403450613444</v>
      </c>
      <c r="AM397" s="399"/>
      <c r="AN397" s="399">
        <v>-5.0701703378800724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-56.311760207499759</v>
      </c>
      <c r="BH397" s="399">
        <v>0</v>
      </c>
      <c r="BI397" s="399">
        <v>-0.95</v>
      </c>
      <c r="BJ397" s="399">
        <v>-4.4400000000000004</v>
      </c>
      <c r="BK397" s="399">
        <v>-513.04999999999995</v>
      </c>
      <c r="BL397" s="399">
        <v>0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-559.62181555974337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-2274.5726000000004</v>
      </c>
      <c r="CJ397" s="399">
        <v>49.160549999999603</v>
      </c>
      <c r="CK397" s="399"/>
      <c r="CL397" s="399"/>
      <c r="CM397" s="399"/>
      <c r="CN397" s="399"/>
      <c r="CO397" s="399">
        <v>72.801649999999952</v>
      </c>
      <c r="CP397" s="399">
        <v>-20.35240000000001</v>
      </c>
      <c r="CQ397" s="399">
        <v>31</v>
      </c>
      <c r="CR397" s="399">
        <v>0.33448596280845777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-14.871598745637925</v>
      </c>
      <c r="DA397" s="399">
        <v>0</v>
      </c>
      <c r="DB397" s="399">
        <v>0</v>
      </c>
      <c r="DC397" s="399">
        <v>-20.351676508215007</v>
      </c>
      <c r="DD397" s="399">
        <v>0</v>
      </c>
      <c r="DE397" s="399">
        <v>0</v>
      </c>
      <c r="DF397" s="399">
        <v>0</v>
      </c>
      <c r="DG397" s="399">
        <v>-2.277003439855811</v>
      </c>
      <c r="DH397" s="399">
        <v>0</v>
      </c>
      <c r="DI397" s="399">
        <v>32.874354621378188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4.3485280313690886</v>
      </c>
      <c r="DP397" s="399">
        <v>0.6118820037697823</v>
      </c>
      <c r="DQ397" s="399">
        <v>0</v>
      </c>
      <c r="DR397" s="399">
        <v>0</v>
      </c>
      <c r="DS397" s="399"/>
      <c r="DT397" s="399"/>
      <c r="DU397" s="399"/>
      <c r="DV397" s="399">
        <v>-1156.6966561300708</v>
      </c>
      <c r="DW397" s="399">
        <v>0</v>
      </c>
      <c r="DX397" s="399">
        <v>0</v>
      </c>
      <c r="DY397" s="399">
        <v>72.801650000000109</v>
      </c>
      <c r="DZ397" s="399">
        <v>-20.352399999999989</v>
      </c>
      <c r="EA397" s="399">
        <v>0</v>
      </c>
      <c r="EB397" s="399">
        <v>0</v>
      </c>
      <c r="EC397" s="399">
        <v>52.094413931550662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225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396</v>
      </c>
      <c r="B398" s="399" t="s">
        <v>2360</v>
      </c>
      <c r="C398" s="399" t="s">
        <v>2357</v>
      </c>
      <c r="D398" s="399" t="s">
        <v>1823</v>
      </c>
      <c r="E398" s="399" t="s">
        <v>890</v>
      </c>
      <c r="F398" s="399" t="s">
        <v>890</v>
      </c>
      <c r="G398" s="399" t="s">
        <v>1240</v>
      </c>
      <c r="H398" s="399" t="s">
        <v>1240</v>
      </c>
      <c r="I398" s="399" t="s">
        <v>1240</v>
      </c>
      <c r="J398" s="399" t="s">
        <v>2358</v>
      </c>
      <c r="K398" s="789">
        <v>44682</v>
      </c>
      <c r="L398" s="399">
        <v>0</v>
      </c>
      <c r="M398" s="399">
        <v>0</v>
      </c>
      <c r="N398" s="399">
        <v>13.932</v>
      </c>
      <c r="O398" s="399">
        <v>13.932</v>
      </c>
      <c r="P398" s="399">
        <v>13.932</v>
      </c>
      <c r="Q398" s="399">
        <v>13.932</v>
      </c>
      <c r="R398" s="399"/>
      <c r="S398" s="399">
        <v>522.37</v>
      </c>
      <c r="T398" s="399">
        <v>144.41999999999999</v>
      </c>
      <c r="U398" s="399"/>
      <c r="V398" s="399">
        <v>9289.7182799999991</v>
      </c>
      <c r="W398" s="399">
        <v>9289.7182799999991</v>
      </c>
      <c r="X398" s="399">
        <v>9080.0416800000003</v>
      </c>
      <c r="Y398" s="399">
        <v>0</v>
      </c>
      <c r="Z398" s="399">
        <v>855.43838976148163</v>
      </c>
      <c r="AA398" s="399">
        <v>0</v>
      </c>
      <c r="AB398" s="399">
        <v>0</v>
      </c>
      <c r="AC398" s="399">
        <v>0</v>
      </c>
      <c r="AD398" s="399">
        <v>1420.5576200139431</v>
      </c>
      <c r="AE398" s="399">
        <v>4624.1313667730701</v>
      </c>
      <c r="AF398" s="399">
        <v>2012.0848468199308</v>
      </c>
      <c r="AG398" s="399">
        <v>0</v>
      </c>
      <c r="AH398" s="399">
        <v>0</v>
      </c>
      <c r="AI398" s="399">
        <v>0</v>
      </c>
      <c r="AJ398" s="399">
        <v>0</v>
      </c>
      <c r="AK398" s="399">
        <v>0</v>
      </c>
      <c r="AL398" s="399">
        <v>132.11375175723001</v>
      </c>
      <c r="AM398" s="399"/>
      <c r="AN398" s="399">
        <v>20.269042509998613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225.11777423554855</v>
      </c>
      <c r="BH398" s="399">
        <v>0</v>
      </c>
      <c r="BI398" s="399">
        <v>2.63</v>
      </c>
      <c r="BJ398" s="399">
        <v>12.27</v>
      </c>
      <c r="BK398" s="399">
        <v>5897.35</v>
      </c>
      <c r="BL398" s="399">
        <v>112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2237.2026210554795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9078.7381999999998</v>
      </c>
      <c r="CJ398" s="399">
        <v>-211.01008000000002</v>
      </c>
      <c r="CK398" s="399"/>
      <c r="CL398" s="399"/>
      <c r="CM398" s="399"/>
      <c r="CN398" s="399"/>
      <c r="CO398" s="399">
        <v>-291.0394799999998</v>
      </c>
      <c r="CP398" s="399">
        <v>81.362880000000047</v>
      </c>
      <c r="CQ398" s="399">
        <v>31</v>
      </c>
      <c r="CR398" s="399">
        <v>-1.337176021189407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59.452256448845674</v>
      </c>
      <c r="DA398" s="399">
        <v>0</v>
      </c>
      <c r="DB398" s="399">
        <v>0</v>
      </c>
      <c r="DC398" s="399">
        <v>81.35998769367302</v>
      </c>
      <c r="DD398" s="399">
        <v>0</v>
      </c>
      <c r="DE398" s="399">
        <v>0</v>
      </c>
      <c r="DF398" s="399">
        <v>0</v>
      </c>
      <c r="DG398" s="399">
        <v>9.1027867787865659</v>
      </c>
      <c r="DH398" s="399">
        <v>0</v>
      </c>
      <c r="DI398" s="399">
        <v>-131.42195368293869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-17.384129851659736</v>
      </c>
      <c r="DP398" s="399">
        <v>-2.4461234078968737</v>
      </c>
      <c r="DQ398" s="399">
        <v>0</v>
      </c>
      <c r="DR398" s="399">
        <v>0</v>
      </c>
      <c r="DS398" s="399"/>
      <c r="DT398" s="399"/>
      <c r="DU398" s="399"/>
      <c r="DV398" s="399">
        <v>4624.1313667730701</v>
      </c>
      <c r="DW398" s="399">
        <v>0</v>
      </c>
      <c r="DX398" s="399">
        <v>0</v>
      </c>
      <c r="DY398" s="399">
        <v>-291.03947999999946</v>
      </c>
      <c r="DZ398" s="399">
        <v>81.362880000000359</v>
      </c>
      <c r="EA398" s="399">
        <v>0</v>
      </c>
      <c r="EB398" s="399">
        <v>0</v>
      </c>
      <c r="EC398" s="399">
        <v>-208.25807027098017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225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397</v>
      </c>
      <c r="B399" s="399" t="s">
        <v>957</v>
      </c>
      <c r="C399" s="399" t="s">
        <v>2357</v>
      </c>
      <c r="D399" s="399" t="s">
        <v>1823</v>
      </c>
      <c r="E399" s="399" t="s">
        <v>890</v>
      </c>
      <c r="F399" s="399" t="s">
        <v>2361</v>
      </c>
      <c r="G399" s="399" t="s">
        <v>1240</v>
      </c>
      <c r="H399" s="399" t="s">
        <v>1240</v>
      </c>
      <c r="I399" s="399" t="s">
        <v>1240</v>
      </c>
      <c r="J399" s="399" t="s">
        <v>2358</v>
      </c>
      <c r="K399" s="789">
        <v>44682</v>
      </c>
      <c r="L399" s="399">
        <v>0</v>
      </c>
      <c r="M399" s="399">
        <v>0</v>
      </c>
      <c r="N399" s="399">
        <v>18.239999999999998</v>
      </c>
      <c r="O399" s="399">
        <v>18.239999999999998</v>
      </c>
      <c r="P399" s="399">
        <v>18.239999999999998</v>
      </c>
      <c r="Q399" s="399">
        <v>18.239999999999998</v>
      </c>
      <c r="R399" s="399"/>
      <c r="S399" s="399">
        <v>451.48</v>
      </c>
      <c r="T399" s="399">
        <v>144.41999999999999</v>
      </c>
      <c r="U399" s="399"/>
      <c r="V399" s="399">
        <v>10869.215999999999</v>
      </c>
      <c r="W399" s="399">
        <v>10869.215999999999</v>
      </c>
      <c r="X399" s="399">
        <v>10789.689599999998</v>
      </c>
      <c r="Y399" s="399">
        <v>0</v>
      </c>
      <c r="Z399" s="399">
        <v>0</v>
      </c>
      <c r="AA399" s="399">
        <v>0</v>
      </c>
      <c r="AB399" s="399">
        <v>0</v>
      </c>
      <c r="AC399" s="399">
        <v>0</v>
      </c>
      <c r="AD399" s="399">
        <v>1859.8170391224749</v>
      </c>
      <c r="AE399" s="399">
        <v>6053.9876636477738</v>
      </c>
      <c r="AF399" s="399">
        <v>2634.2540630200642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0</v>
      </c>
      <c r="AM399" s="399"/>
      <c r="AN399" s="399">
        <v>26.536558669421094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294.72783534714364</v>
      </c>
      <c r="BH399" s="399">
        <v>0</v>
      </c>
      <c r="BI399" s="399">
        <v>1.01</v>
      </c>
      <c r="BJ399" s="399">
        <v>4.3899999999999997</v>
      </c>
      <c r="BK399" s="399">
        <v>456.54</v>
      </c>
      <c r="BL399" s="399">
        <v>12</v>
      </c>
      <c r="BM399" s="399"/>
      <c r="BN399" s="399"/>
      <c r="BO399" s="399"/>
      <c r="BP399" s="399"/>
      <c r="BQ399" s="399"/>
      <c r="BR399" s="399"/>
      <c r="BS399" s="399"/>
      <c r="BT399" s="399">
        <v>7013.2799999999988</v>
      </c>
      <c r="BU399" s="399"/>
      <c r="BV399" s="399">
        <v>2928.981898367208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3776.4095999999995</v>
      </c>
      <c r="CJ399" s="399">
        <v>-27.937200000000757</v>
      </c>
      <c r="CK399" s="399"/>
      <c r="CL399" s="399"/>
      <c r="CM399" s="399"/>
      <c r="CN399" s="399"/>
      <c r="CO399" s="399">
        <v>-186.04800000000083</v>
      </c>
      <c r="CP399" s="399">
        <v>106.52160000000005</v>
      </c>
      <c r="CQ399" s="399">
        <v>31</v>
      </c>
      <c r="CR399" s="399">
        <v>193.06868167130142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77.835856849479114</v>
      </c>
      <c r="DA399" s="399">
        <v>0</v>
      </c>
      <c r="DB399" s="399">
        <v>0</v>
      </c>
      <c r="DC399" s="399">
        <v>106.51781334572206</v>
      </c>
      <c r="DD399" s="399">
        <v>0</v>
      </c>
      <c r="DE399" s="399">
        <v>0</v>
      </c>
      <c r="DF399" s="399">
        <v>0</v>
      </c>
      <c r="DG399" s="399">
        <v>11.917515851641326</v>
      </c>
      <c r="DH399" s="399">
        <v>0</v>
      </c>
      <c r="DI399" s="399">
        <v>0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0</v>
      </c>
      <c r="DP399" s="399">
        <v>-3.2025043755411247</v>
      </c>
      <c r="DQ399" s="399">
        <v>0</v>
      </c>
      <c r="DR399" s="399">
        <v>0</v>
      </c>
      <c r="DS399" s="399"/>
      <c r="DT399" s="399"/>
      <c r="DU399" s="399"/>
      <c r="DV399" s="399">
        <v>6053.9876636477738</v>
      </c>
      <c r="DW399" s="399">
        <v>0</v>
      </c>
      <c r="DX399" s="399">
        <v>0</v>
      </c>
      <c r="DY399" s="399">
        <v>-186.04800000000068</v>
      </c>
      <c r="DZ399" s="399">
        <v>106.52160000000003</v>
      </c>
      <c r="EA399" s="399">
        <v>0</v>
      </c>
      <c r="EB399" s="399">
        <v>0</v>
      </c>
      <c r="EC399" s="399">
        <v>-272.65483790860435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225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398</v>
      </c>
      <c r="B400" s="399" t="s">
        <v>957</v>
      </c>
      <c r="C400" s="399" t="s">
        <v>2357</v>
      </c>
      <c r="D400" s="399" t="s">
        <v>1823</v>
      </c>
      <c r="E400" s="399" t="s">
        <v>890</v>
      </c>
      <c r="F400" s="399" t="s">
        <v>2362</v>
      </c>
      <c r="G400" s="399" t="s">
        <v>1240</v>
      </c>
      <c r="H400" s="399" t="s">
        <v>1240</v>
      </c>
      <c r="I400" s="399" t="s">
        <v>1240</v>
      </c>
      <c r="J400" s="399" t="s">
        <v>2358</v>
      </c>
      <c r="K400" s="789">
        <v>44682</v>
      </c>
      <c r="L400" s="399">
        <v>0</v>
      </c>
      <c r="M400" s="399">
        <v>0</v>
      </c>
      <c r="N400" s="399">
        <v>38.965000000000003</v>
      </c>
      <c r="O400" s="399">
        <v>38.965000000000003</v>
      </c>
      <c r="P400" s="399">
        <v>38.965000000000003</v>
      </c>
      <c r="Q400" s="399">
        <v>38.965000000000003</v>
      </c>
      <c r="R400" s="399"/>
      <c r="S400" s="399">
        <v>451.48</v>
      </c>
      <c r="T400" s="399">
        <v>144.41999999999999</v>
      </c>
      <c r="U400" s="399"/>
      <c r="V400" s="399">
        <v>23219.243500000004</v>
      </c>
      <c r="W400" s="399">
        <v>23219.243500000004</v>
      </c>
      <c r="X400" s="399">
        <v>23049.356100000001</v>
      </c>
      <c r="Y400" s="399">
        <v>0</v>
      </c>
      <c r="Z400" s="399">
        <v>0</v>
      </c>
      <c r="AA400" s="399">
        <v>0</v>
      </c>
      <c r="AB400" s="399">
        <v>0</v>
      </c>
      <c r="AC400" s="399">
        <v>0</v>
      </c>
      <c r="AD400" s="399">
        <v>3973.0137570946954</v>
      </c>
      <c r="AE400" s="399">
        <v>12932.764765023878</v>
      </c>
      <c r="AF400" s="399">
        <v>5627.396357761887</v>
      </c>
      <c r="AG400" s="399">
        <v>0</v>
      </c>
      <c r="AH400" s="399">
        <v>0</v>
      </c>
      <c r="AI400" s="399">
        <v>0</v>
      </c>
      <c r="AJ400" s="399">
        <v>0</v>
      </c>
      <c r="AK400" s="399">
        <v>0</v>
      </c>
      <c r="AL400" s="399">
        <v>0</v>
      </c>
      <c r="AM400" s="399"/>
      <c r="AN400" s="399">
        <v>56.688432486512781</v>
      </c>
      <c r="AO400" s="399">
        <v>0</v>
      </c>
      <c r="AP400" s="399">
        <v>0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629.60910659547437</v>
      </c>
      <c r="BH400" s="399">
        <v>0</v>
      </c>
      <c r="BI400" s="399">
        <v>3.67</v>
      </c>
      <c r="BJ400" s="399">
        <v>16.940000000000001</v>
      </c>
      <c r="BK400" s="399">
        <v>1673.18</v>
      </c>
      <c r="BL400" s="399">
        <v>97</v>
      </c>
      <c r="BM400" s="399"/>
      <c r="BN400" s="399"/>
      <c r="BO400" s="399"/>
      <c r="BP400" s="399"/>
      <c r="BQ400" s="399"/>
      <c r="BR400" s="399"/>
      <c r="BS400" s="399"/>
      <c r="BT400" s="399">
        <v>9219.5086499999998</v>
      </c>
      <c r="BU400" s="399"/>
      <c r="BV400" s="399">
        <v>6257.0054643573612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13831.622099999999</v>
      </c>
      <c r="CJ400" s="399">
        <v>-99.954000000001543</v>
      </c>
      <c r="CK400" s="399"/>
      <c r="CL400" s="399"/>
      <c r="CM400" s="399"/>
      <c r="CN400" s="399"/>
      <c r="CO400" s="399">
        <v>-397.4430000000018</v>
      </c>
      <c r="CP400" s="399">
        <v>227.55560000000014</v>
      </c>
      <c r="CQ400" s="399">
        <v>31</v>
      </c>
      <c r="CR400" s="399">
        <v>412.44085423915749</v>
      </c>
      <c r="CS400" s="399">
        <v>0</v>
      </c>
      <c r="CT400" s="399">
        <v>0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166.2759957313574</v>
      </c>
      <c r="DA400" s="399">
        <v>0</v>
      </c>
      <c r="DB400" s="399">
        <v>0</v>
      </c>
      <c r="DC400" s="399">
        <v>227.54751080131882</v>
      </c>
      <c r="DD400" s="399">
        <v>0</v>
      </c>
      <c r="DE400" s="399">
        <v>0</v>
      </c>
      <c r="DF400" s="399">
        <v>0</v>
      </c>
      <c r="DG400" s="399">
        <v>25.458662563552934</v>
      </c>
      <c r="DH400" s="399">
        <v>0</v>
      </c>
      <c r="DI400" s="399">
        <v>0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0</v>
      </c>
      <c r="DP400" s="399">
        <v>-6.8413148570701736</v>
      </c>
      <c r="DQ400" s="399">
        <v>0</v>
      </c>
      <c r="DR400" s="399">
        <v>0</v>
      </c>
      <c r="DS400" s="399"/>
      <c r="DT400" s="399"/>
      <c r="DU400" s="399"/>
      <c r="DV400" s="399">
        <v>12932.764765023878</v>
      </c>
      <c r="DW400" s="399">
        <v>0</v>
      </c>
      <c r="DX400" s="399">
        <v>0</v>
      </c>
      <c r="DY400" s="399">
        <v>-397.44300000000294</v>
      </c>
      <c r="DZ400" s="399">
        <v>227.55559999999969</v>
      </c>
      <c r="EA400" s="399">
        <v>0</v>
      </c>
      <c r="EB400" s="399">
        <v>0</v>
      </c>
      <c r="EC400" s="399">
        <v>-582.45590784587512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0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225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399</v>
      </c>
      <c r="B401" s="399" t="s">
        <v>957</v>
      </c>
      <c r="C401" s="399" t="s">
        <v>2357</v>
      </c>
      <c r="D401" s="399" t="s">
        <v>1823</v>
      </c>
      <c r="E401" s="399" t="s">
        <v>890</v>
      </c>
      <c r="F401" s="399" t="s">
        <v>2363</v>
      </c>
      <c r="G401" s="399" t="s">
        <v>1240</v>
      </c>
      <c r="H401" s="399" t="s">
        <v>1240</v>
      </c>
      <c r="I401" s="399" t="s">
        <v>1240</v>
      </c>
      <c r="J401" s="399" t="s">
        <v>2358</v>
      </c>
      <c r="K401" s="789">
        <v>44682</v>
      </c>
      <c r="L401" s="399">
        <v>0</v>
      </c>
      <c r="M401" s="399">
        <v>0</v>
      </c>
      <c r="N401" s="399">
        <v>40.914999999999999</v>
      </c>
      <c r="O401" s="399">
        <v>40.914999999999999</v>
      </c>
      <c r="P401" s="399">
        <v>40.914999999999999</v>
      </c>
      <c r="Q401" s="399">
        <v>40.914999999999999</v>
      </c>
      <c r="R401" s="399"/>
      <c r="S401" s="399">
        <v>451.48</v>
      </c>
      <c r="T401" s="399">
        <v>144.41999999999999</v>
      </c>
      <c r="U401" s="399"/>
      <c r="V401" s="399">
        <v>24381.248499999998</v>
      </c>
      <c r="W401" s="399">
        <v>24381.248499999998</v>
      </c>
      <c r="X401" s="399">
        <v>24202.859100000001</v>
      </c>
      <c r="Y401" s="399">
        <v>0</v>
      </c>
      <c r="Z401" s="399">
        <v>0</v>
      </c>
      <c r="AA401" s="399">
        <v>0</v>
      </c>
      <c r="AB401" s="399">
        <v>0</v>
      </c>
      <c r="AC401" s="399">
        <v>0</v>
      </c>
      <c r="AD401" s="399">
        <v>4171.8428813429855</v>
      </c>
      <c r="AE401" s="399">
        <v>13579.983840907274</v>
      </c>
      <c r="AF401" s="399">
        <v>5909.0189138413343</v>
      </c>
      <c r="AG401" s="399">
        <v>0</v>
      </c>
      <c r="AH401" s="399">
        <v>0</v>
      </c>
      <c r="AI401" s="399">
        <v>0</v>
      </c>
      <c r="AJ401" s="399">
        <v>0</v>
      </c>
      <c r="AK401" s="399">
        <v>0</v>
      </c>
      <c r="AL401" s="399">
        <v>0</v>
      </c>
      <c r="AM401" s="399"/>
      <c r="AN401" s="399">
        <v>59.525400107421277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661.11783899278407</v>
      </c>
      <c r="BH401" s="399">
        <v>0</v>
      </c>
      <c r="BI401" s="399">
        <v>5.45</v>
      </c>
      <c r="BJ401" s="399">
        <v>25.89</v>
      </c>
      <c r="BK401" s="399">
        <v>4436.5200000000004</v>
      </c>
      <c r="BL401" s="399">
        <v>311</v>
      </c>
      <c r="BM401" s="399"/>
      <c r="BN401" s="399"/>
      <c r="BO401" s="399"/>
      <c r="BP401" s="399"/>
      <c r="BQ401" s="399"/>
      <c r="BR401" s="399"/>
      <c r="BS401" s="399"/>
      <c r="BT401" s="399">
        <v>2420.122249999999</v>
      </c>
      <c r="BU401" s="399"/>
      <c r="BV401" s="399">
        <v>6570.1367528341179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21785.398800000003</v>
      </c>
      <c r="CJ401" s="399">
        <v>-158.16399999999339</v>
      </c>
      <c r="CK401" s="399"/>
      <c r="CL401" s="399"/>
      <c r="CM401" s="399"/>
      <c r="CN401" s="399"/>
      <c r="CO401" s="399">
        <v>-417.33300000000185</v>
      </c>
      <c r="CP401" s="399">
        <v>238.94360000000015</v>
      </c>
      <c r="CQ401" s="399">
        <v>31</v>
      </c>
      <c r="CR401" s="399">
        <v>433.08142053625488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174.5972633221736</v>
      </c>
      <c r="DA401" s="399">
        <v>0</v>
      </c>
      <c r="DB401" s="399">
        <v>0</v>
      </c>
      <c r="DC401" s="399">
        <v>238.93510597808199</v>
      </c>
      <c r="DD401" s="399">
        <v>0</v>
      </c>
      <c r="DE401" s="399">
        <v>0</v>
      </c>
      <c r="DF401" s="399">
        <v>0</v>
      </c>
      <c r="DG401" s="399">
        <v>26.73273909374484</v>
      </c>
      <c r="DH401" s="399">
        <v>0</v>
      </c>
      <c r="DI401" s="399">
        <v>0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0</v>
      </c>
      <c r="DP401" s="399">
        <v>-7.1836878577448005</v>
      </c>
      <c r="DQ401" s="399">
        <v>0</v>
      </c>
      <c r="DR401" s="399">
        <v>0</v>
      </c>
      <c r="DS401" s="399"/>
      <c r="DT401" s="399"/>
      <c r="DU401" s="399"/>
      <c r="DV401" s="399">
        <v>13579.983840907274</v>
      </c>
      <c r="DW401" s="399">
        <v>0</v>
      </c>
      <c r="DX401" s="399">
        <v>0</v>
      </c>
      <c r="DY401" s="399">
        <v>-417.33299999999872</v>
      </c>
      <c r="DZ401" s="399">
        <v>238.94360000000052</v>
      </c>
      <c r="EA401" s="399">
        <v>0</v>
      </c>
      <c r="EB401" s="399">
        <v>0</v>
      </c>
      <c r="EC401" s="399">
        <v>-611.60486255649994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225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400</v>
      </c>
      <c r="B402" s="399" t="s">
        <v>957</v>
      </c>
      <c r="C402" s="399" t="s">
        <v>2357</v>
      </c>
      <c r="D402" s="399" t="s">
        <v>1823</v>
      </c>
      <c r="E402" s="399" t="s">
        <v>890</v>
      </c>
      <c r="F402" s="399" t="s">
        <v>2364</v>
      </c>
      <c r="G402" s="399" t="s">
        <v>1240</v>
      </c>
      <c r="H402" s="399" t="s">
        <v>1240</v>
      </c>
      <c r="I402" s="399" t="s">
        <v>1240</v>
      </c>
      <c r="J402" s="399" t="s">
        <v>2358</v>
      </c>
      <c r="K402" s="789">
        <v>44682</v>
      </c>
      <c r="L402" s="399">
        <v>0</v>
      </c>
      <c r="M402" s="399">
        <v>0</v>
      </c>
      <c r="N402" s="399">
        <v>13.004</v>
      </c>
      <c r="O402" s="399">
        <v>13.004</v>
      </c>
      <c r="P402" s="399">
        <v>13.004</v>
      </c>
      <c r="Q402" s="399">
        <v>13.004</v>
      </c>
      <c r="R402" s="399"/>
      <c r="S402" s="399">
        <v>451.48</v>
      </c>
      <c r="T402" s="399">
        <v>144.41999999999999</v>
      </c>
      <c r="U402" s="399"/>
      <c r="V402" s="399">
        <v>7749.0835999999999</v>
      </c>
      <c r="W402" s="399">
        <v>7749.0835999999999</v>
      </c>
      <c r="X402" s="399">
        <v>7692.3861599999991</v>
      </c>
      <c r="Y402" s="399">
        <v>0</v>
      </c>
      <c r="Z402" s="399">
        <v>0</v>
      </c>
      <c r="AA402" s="399">
        <v>0</v>
      </c>
      <c r="AB402" s="399">
        <v>0</v>
      </c>
      <c r="AC402" s="399">
        <v>0</v>
      </c>
      <c r="AD402" s="399">
        <v>1325.9353496024487</v>
      </c>
      <c r="AE402" s="399">
        <v>4316.121468096253</v>
      </c>
      <c r="AF402" s="399">
        <v>1878.0613944908398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0</v>
      </c>
      <c r="AM402" s="399"/>
      <c r="AN402" s="399">
        <v>18.918936893484208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210.12284927929034</v>
      </c>
      <c r="BH402" s="399">
        <v>0</v>
      </c>
      <c r="BI402" s="399">
        <v>0.73</v>
      </c>
      <c r="BJ402" s="399">
        <v>3.58</v>
      </c>
      <c r="BK402" s="399">
        <v>2279.62</v>
      </c>
      <c r="BL402" s="399">
        <v>186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>
        <v>2088.1842437701303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7690.0199999999995</v>
      </c>
      <c r="CJ402" s="399">
        <v>-59.093600000001061</v>
      </c>
      <c r="CK402" s="399"/>
      <c r="CL402" s="399"/>
      <c r="CM402" s="399"/>
      <c r="CN402" s="399"/>
      <c r="CO402" s="399">
        <v>-132.64080000000058</v>
      </c>
      <c r="CP402" s="399">
        <v>75.943360000000041</v>
      </c>
      <c r="CQ402" s="399">
        <v>31</v>
      </c>
      <c r="CR402" s="399">
        <v>137.64611493714938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55.492186538959913</v>
      </c>
      <c r="DA402" s="399">
        <v>0</v>
      </c>
      <c r="DB402" s="399">
        <v>0</v>
      </c>
      <c r="DC402" s="399">
        <v>75.94066034801358</v>
      </c>
      <c r="DD402" s="399">
        <v>0</v>
      </c>
      <c r="DE402" s="399">
        <v>0</v>
      </c>
      <c r="DF402" s="399">
        <v>0</v>
      </c>
      <c r="DG402" s="399">
        <v>8.4964570249311464</v>
      </c>
      <c r="DH402" s="399">
        <v>0</v>
      </c>
      <c r="DI402" s="399">
        <v>0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0</v>
      </c>
      <c r="DP402" s="399">
        <v>-2.2831889747553085</v>
      </c>
      <c r="DQ402" s="399">
        <v>0</v>
      </c>
      <c r="DR402" s="399">
        <v>0</v>
      </c>
      <c r="DS402" s="399"/>
      <c r="DT402" s="399"/>
      <c r="DU402" s="399"/>
      <c r="DV402" s="399">
        <v>4316.121468096253</v>
      </c>
      <c r="DW402" s="399">
        <v>0</v>
      </c>
      <c r="DX402" s="399">
        <v>0</v>
      </c>
      <c r="DY402" s="399">
        <v>-132.64080000000104</v>
      </c>
      <c r="DZ402" s="399">
        <v>75.943360000000212</v>
      </c>
      <c r="EA402" s="399">
        <v>0</v>
      </c>
      <c r="EB402" s="399">
        <v>0</v>
      </c>
      <c r="EC402" s="399">
        <v>-194.38615746510368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225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401</v>
      </c>
      <c r="B403" s="399" t="s">
        <v>957</v>
      </c>
      <c r="C403" s="399" t="s">
        <v>2357</v>
      </c>
      <c r="D403" s="399" t="s">
        <v>1826</v>
      </c>
      <c r="E403" s="399" t="s">
        <v>891</v>
      </c>
      <c r="F403" s="399" t="s">
        <v>1240</v>
      </c>
      <c r="G403" s="399" t="s">
        <v>1240</v>
      </c>
      <c r="H403" s="399" t="s">
        <v>1240</v>
      </c>
      <c r="I403" s="399" t="s">
        <v>1240</v>
      </c>
      <c r="J403" s="399" t="s">
        <v>2358</v>
      </c>
      <c r="K403" s="789">
        <v>44682</v>
      </c>
      <c r="L403" s="399">
        <v>0</v>
      </c>
      <c r="M403" s="399">
        <v>0</v>
      </c>
      <c r="N403" s="399">
        <v>346.29300000000001</v>
      </c>
      <c r="O403" s="399">
        <v>346.29300000000001</v>
      </c>
      <c r="P403" s="399">
        <v>346.29300000000001</v>
      </c>
      <c r="Q403" s="399">
        <v>346.29300000000001</v>
      </c>
      <c r="R403" s="399"/>
      <c r="S403" s="399">
        <v>522.37</v>
      </c>
      <c r="T403" s="399">
        <v>144.41999999999999</v>
      </c>
      <c r="U403" s="399"/>
      <c r="V403" s="399">
        <v>230904.70947</v>
      </c>
      <c r="W403" s="399">
        <v>230904.70947</v>
      </c>
      <c r="X403" s="399">
        <v>225692.99982000003</v>
      </c>
      <c r="Y403" s="399">
        <v>0</v>
      </c>
      <c r="Z403" s="399">
        <v>21262.727986338843</v>
      </c>
      <c r="AA403" s="399">
        <v>0</v>
      </c>
      <c r="AB403" s="399">
        <v>0</v>
      </c>
      <c r="AC403" s="399">
        <v>0</v>
      </c>
      <c r="AD403" s="399">
        <v>35309.299447853024</v>
      </c>
      <c r="AE403" s="399">
        <v>114937.14638199445</v>
      </c>
      <c r="AF403" s="399">
        <v>50012.266570471882</v>
      </c>
      <c r="AG403" s="399">
        <v>0</v>
      </c>
      <c r="AH403" s="399">
        <v>0</v>
      </c>
      <c r="AI403" s="399">
        <v>0</v>
      </c>
      <c r="AJ403" s="399">
        <v>0</v>
      </c>
      <c r="AK403" s="399">
        <v>0</v>
      </c>
      <c r="AL403" s="399">
        <v>3283.8119033352318</v>
      </c>
      <c r="AM403" s="399"/>
      <c r="AN403" s="399">
        <v>503.80616838321492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5595.5145990059436</v>
      </c>
      <c r="BH403" s="399">
        <v>0</v>
      </c>
      <c r="BI403" s="399">
        <v>25.3</v>
      </c>
      <c r="BJ403" s="399">
        <v>119.04</v>
      </c>
      <c r="BK403" s="399">
        <v>67208.899999999994</v>
      </c>
      <c r="BL403" s="399">
        <v>567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55607.781169477828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225691.04460000002</v>
      </c>
      <c r="CJ403" s="399">
        <v>-5213.6948700000066</v>
      </c>
      <c r="CK403" s="399"/>
      <c r="CL403" s="399"/>
      <c r="CM403" s="399"/>
      <c r="CN403" s="399"/>
      <c r="CO403" s="399">
        <v>-7234.0607699999955</v>
      </c>
      <c r="CP403" s="399">
        <v>2022.3511200000012</v>
      </c>
      <c r="CQ403" s="399">
        <v>31</v>
      </c>
      <c r="CR403" s="399">
        <v>-33.236771167503321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1477.7419065776776</v>
      </c>
      <c r="DA403" s="399">
        <v>0</v>
      </c>
      <c r="DB403" s="399">
        <v>0</v>
      </c>
      <c r="DC403" s="399">
        <v>2022.2792289983627</v>
      </c>
      <c r="DD403" s="399">
        <v>0</v>
      </c>
      <c r="DE403" s="399">
        <v>0</v>
      </c>
      <c r="DF403" s="399">
        <v>0</v>
      </c>
      <c r="DG403" s="399">
        <v>226.25835070243647</v>
      </c>
      <c r="DH403" s="399">
        <v>0</v>
      </c>
      <c r="DI403" s="399">
        <v>-3266.6166097276691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-432.09894334774663</v>
      </c>
      <c r="DP403" s="399">
        <v>-60.800704370573669</v>
      </c>
      <c r="DQ403" s="399">
        <v>0</v>
      </c>
      <c r="DR403" s="399">
        <v>0</v>
      </c>
      <c r="DS403" s="399"/>
      <c r="DT403" s="399"/>
      <c r="DU403" s="399"/>
      <c r="DV403" s="399">
        <v>114937.14638199445</v>
      </c>
      <c r="DW403" s="399">
        <v>0</v>
      </c>
      <c r="DX403" s="399">
        <v>0</v>
      </c>
      <c r="DY403" s="399">
        <v>-7234.0607699999819</v>
      </c>
      <c r="DZ403" s="399">
        <v>2022.3511200000066</v>
      </c>
      <c r="EA403" s="399">
        <v>0</v>
      </c>
      <c r="EB403" s="399">
        <v>0</v>
      </c>
      <c r="EC403" s="399">
        <v>-5176.4507556954195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225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402</v>
      </c>
      <c r="B404" s="399" t="s">
        <v>2360</v>
      </c>
      <c r="C404" s="399" t="s">
        <v>2357</v>
      </c>
      <c r="D404" s="399" t="s">
        <v>1826</v>
      </c>
      <c r="E404" s="399" t="s">
        <v>891</v>
      </c>
      <c r="F404" s="399" t="s">
        <v>1240</v>
      </c>
      <c r="G404" s="399" t="s">
        <v>1240</v>
      </c>
      <c r="H404" s="399" t="s">
        <v>1240</v>
      </c>
      <c r="I404" s="399" t="s">
        <v>1240</v>
      </c>
      <c r="J404" s="399" t="s">
        <v>2358</v>
      </c>
      <c r="K404" s="789">
        <v>44682</v>
      </c>
      <c r="L404" s="399">
        <v>0</v>
      </c>
      <c r="M404" s="399">
        <v>0</v>
      </c>
      <c r="N404" s="399">
        <v>4.0880000000000001</v>
      </c>
      <c r="O404" s="399">
        <v>4.0880000000000001</v>
      </c>
      <c r="P404" s="399">
        <v>4.0880000000000001</v>
      </c>
      <c r="Q404" s="399">
        <v>4.0880000000000001</v>
      </c>
      <c r="R404" s="399"/>
      <c r="S404" s="399">
        <v>522.37</v>
      </c>
      <c r="T404" s="399">
        <v>144.41999999999999</v>
      </c>
      <c r="U404" s="399"/>
      <c r="V404" s="399">
        <v>2725.83752</v>
      </c>
      <c r="W404" s="399">
        <v>2725.83752</v>
      </c>
      <c r="X404" s="399">
        <v>2664.3131199999998</v>
      </c>
      <c r="Y404" s="399">
        <v>0</v>
      </c>
      <c r="Z404" s="399">
        <v>251.0071875785915</v>
      </c>
      <c r="AA404" s="399">
        <v>0</v>
      </c>
      <c r="AB404" s="399">
        <v>0</v>
      </c>
      <c r="AC404" s="399">
        <v>0</v>
      </c>
      <c r="AD404" s="399">
        <v>416.82741534718627</v>
      </c>
      <c r="AE404" s="399">
        <v>1356.8367088263212</v>
      </c>
      <c r="AF404" s="399">
        <v>590.3964150014267</v>
      </c>
      <c r="AG404" s="399">
        <v>0</v>
      </c>
      <c r="AH404" s="399">
        <v>0</v>
      </c>
      <c r="AI404" s="399">
        <v>0</v>
      </c>
      <c r="AJ404" s="399">
        <v>0</v>
      </c>
      <c r="AK404" s="399">
        <v>0</v>
      </c>
      <c r="AL404" s="399">
        <v>38.765505109356603</v>
      </c>
      <c r="AM404" s="399"/>
      <c r="AN404" s="399">
        <v>5.9474480175763951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66.055229764206317</v>
      </c>
      <c r="BH404" s="399">
        <v>0</v>
      </c>
      <c r="BI404" s="399">
        <v>0</v>
      </c>
      <c r="BJ404" s="399">
        <v>0</v>
      </c>
      <c r="BK404" s="399">
        <v>4914.6000000000004</v>
      </c>
      <c r="BL404" s="399">
        <v>9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656.45164476563298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2665.6165999999998</v>
      </c>
      <c r="CJ404" s="399">
        <v>-60.25092000000086</v>
      </c>
      <c r="CK404" s="399"/>
      <c r="CL404" s="399"/>
      <c r="CM404" s="399"/>
      <c r="CN404" s="399"/>
      <c r="CO404" s="399">
        <v>-85.398319999999941</v>
      </c>
      <c r="CP404" s="399">
        <v>23.873920000000016</v>
      </c>
      <c r="CQ404" s="399">
        <v>31</v>
      </c>
      <c r="CR404" s="399">
        <v>-0.39236115235598845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17.444790723721042</v>
      </c>
      <c r="DA404" s="399">
        <v>0</v>
      </c>
      <c r="DB404" s="399">
        <v>0</v>
      </c>
      <c r="DC404" s="399">
        <v>23.873071324414013</v>
      </c>
      <c r="DD404" s="399">
        <v>0</v>
      </c>
      <c r="DE404" s="399">
        <v>0</v>
      </c>
      <c r="DF404" s="399">
        <v>0</v>
      </c>
      <c r="DG404" s="399">
        <v>2.6709871053459295</v>
      </c>
      <c r="DH404" s="399">
        <v>0</v>
      </c>
      <c r="DI404" s="399">
        <v>-38.562514115407197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-5.1009419202975153</v>
      </c>
      <c r="DP404" s="399">
        <v>-0.71775427013224391</v>
      </c>
      <c r="DQ404" s="399">
        <v>0</v>
      </c>
      <c r="DR404" s="399">
        <v>0</v>
      </c>
      <c r="DS404" s="399"/>
      <c r="DT404" s="399"/>
      <c r="DU404" s="399"/>
      <c r="DV404" s="399">
        <v>1356.8367088263212</v>
      </c>
      <c r="DW404" s="399">
        <v>0</v>
      </c>
      <c r="DX404" s="399">
        <v>0</v>
      </c>
      <c r="DY404" s="399">
        <v>-85.39832000000024</v>
      </c>
      <c r="DZ404" s="399">
        <v>23.873919999999998</v>
      </c>
      <c r="EA404" s="399">
        <v>0</v>
      </c>
      <c r="EB404" s="399">
        <v>0</v>
      </c>
      <c r="EC404" s="399">
        <v>-61.108167618989683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225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403</v>
      </c>
      <c r="B405" s="399" t="s">
        <v>957</v>
      </c>
      <c r="C405" s="399" t="s">
        <v>2365</v>
      </c>
      <c r="D405" s="399" t="s">
        <v>534</v>
      </c>
      <c r="E405" s="399" t="s">
        <v>891</v>
      </c>
      <c r="F405" s="399" t="s">
        <v>1240</v>
      </c>
      <c r="G405" s="399" t="s">
        <v>1240</v>
      </c>
      <c r="H405" s="399" t="s">
        <v>1240</v>
      </c>
      <c r="I405" s="399" t="s">
        <v>894</v>
      </c>
      <c r="J405" s="399" t="s">
        <v>2358</v>
      </c>
      <c r="K405" s="789">
        <v>44682</v>
      </c>
      <c r="L405" s="399">
        <v>100</v>
      </c>
      <c r="M405" s="399">
        <v>100</v>
      </c>
      <c r="N405" s="399">
        <v>2.9580000000000002</v>
      </c>
      <c r="O405" s="399">
        <v>2.9580000000000002</v>
      </c>
      <c r="P405" s="399">
        <v>2.9580000000000002</v>
      </c>
      <c r="Q405" s="399">
        <v>2.9580000000000002</v>
      </c>
      <c r="R405" s="399">
        <v>111</v>
      </c>
      <c r="S405" s="399">
        <v>69.64</v>
      </c>
      <c r="T405" s="399">
        <v>144.41999999999999</v>
      </c>
      <c r="U405" s="399">
        <v>11100</v>
      </c>
      <c r="V405" s="399">
        <v>633.18948</v>
      </c>
      <c r="W405" s="399">
        <v>11733.189479999999</v>
      </c>
      <c r="X405" s="399">
        <v>11494.073120000001</v>
      </c>
      <c r="Y405" s="399">
        <v>0</v>
      </c>
      <c r="Z405" s="399">
        <v>158.01295424315123</v>
      </c>
      <c r="AA405" s="399">
        <v>0</v>
      </c>
      <c r="AB405" s="399">
        <v>0</v>
      </c>
      <c r="AC405" s="399">
        <v>0</v>
      </c>
      <c r="AD405" s="399">
        <v>3124.5310721648098</v>
      </c>
      <c r="AE405" s="399">
        <v>7975.1075333797698</v>
      </c>
      <c r="AF405" s="399">
        <v>427.19975429897761</v>
      </c>
      <c r="AG405" s="399">
        <v>0</v>
      </c>
      <c r="AH405" s="399">
        <v>0</v>
      </c>
      <c r="AI405" s="399">
        <v>0</v>
      </c>
      <c r="AJ405" s="399">
        <v>0</v>
      </c>
      <c r="AK405" s="399">
        <v>0</v>
      </c>
      <c r="AL405" s="399">
        <v>28.049991221496292</v>
      </c>
      <c r="AM405" s="399"/>
      <c r="AN405" s="399">
        <v>1.4721528318055201</v>
      </c>
      <c r="AO405" s="399">
        <v>0</v>
      </c>
      <c r="AP405" s="399">
        <v>0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18.45378588539463</v>
      </c>
      <c r="BH405" s="399">
        <v>0</v>
      </c>
      <c r="BI405" s="399">
        <v>0</v>
      </c>
      <c r="BJ405" s="399">
        <v>0</v>
      </c>
      <c r="BK405" s="399">
        <v>0</v>
      </c>
      <c r="BL405" s="399">
        <v>0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>
        <v>445.65354018437222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11494.4944</v>
      </c>
      <c r="CJ405" s="399">
        <v>-238.72508000000016</v>
      </c>
      <c r="CK405" s="399"/>
      <c r="CL405" s="399"/>
      <c r="CM405" s="399"/>
      <c r="CN405" s="399"/>
      <c r="CO405" s="399">
        <v>-256.39108000000061</v>
      </c>
      <c r="CP405" s="399">
        <v>17.274720000000013</v>
      </c>
      <c r="CQ405" s="399">
        <v>31</v>
      </c>
      <c r="CR405" s="399">
        <v>120.64183002839582</v>
      </c>
      <c r="CS405" s="399">
        <v>0</v>
      </c>
      <c r="CT405" s="399">
        <v>0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130.76584854255043</v>
      </c>
      <c r="DA405" s="399">
        <v>0</v>
      </c>
      <c r="DB405" s="399">
        <v>0</v>
      </c>
      <c r="DC405" s="399">
        <v>17.274105914289748</v>
      </c>
      <c r="DD405" s="399">
        <v>0</v>
      </c>
      <c r="DE405" s="399">
        <v>0</v>
      </c>
      <c r="DF405" s="399">
        <v>0</v>
      </c>
      <c r="DG405" s="399">
        <v>0.74619109373548653</v>
      </c>
      <c r="DH405" s="399">
        <v>0</v>
      </c>
      <c r="DI405" s="399">
        <v>-24.275706354069314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-3.6909457436986415</v>
      </c>
      <c r="DP405" s="399">
        <v>-0.17766342441212246</v>
      </c>
      <c r="DQ405" s="399">
        <v>0</v>
      </c>
      <c r="DR405" s="399">
        <v>0</v>
      </c>
      <c r="DS405" s="399"/>
      <c r="DT405" s="399"/>
      <c r="DU405" s="399">
        <v>7975.1075333797698</v>
      </c>
      <c r="DV405" s="399">
        <v>0</v>
      </c>
      <c r="DW405" s="399">
        <v>0</v>
      </c>
      <c r="DX405" s="399">
        <v>0</v>
      </c>
      <c r="DY405" s="399">
        <v>-256.39107999999942</v>
      </c>
      <c r="DZ405" s="399">
        <v>17.274720000000002</v>
      </c>
      <c r="EA405" s="399">
        <v>0</v>
      </c>
      <c r="EB405" s="399">
        <v>0</v>
      </c>
      <c r="EC405" s="399">
        <v>-359.17675631788006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0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225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404</v>
      </c>
      <c r="B406" s="399" t="s">
        <v>957</v>
      </c>
      <c r="C406" s="399" t="s">
        <v>2365</v>
      </c>
      <c r="D406" s="399" t="s">
        <v>534</v>
      </c>
      <c r="E406" s="399" t="s">
        <v>891</v>
      </c>
      <c r="F406" s="399" t="s">
        <v>1240</v>
      </c>
      <c r="G406" s="399" t="s">
        <v>1240</v>
      </c>
      <c r="H406" s="399" t="s">
        <v>1240</v>
      </c>
      <c r="I406" s="399" t="s">
        <v>2328</v>
      </c>
      <c r="J406" s="399" t="s">
        <v>2358</v>
      </c>
      <c r="K406" s="789">
        <v>44682</v>
      </c>
      <c r="L406" s="399">
        <v>3128</v>
      </c>
      <c r="M406" s="399">
        <v>3128</v>
      </c>
      <c r="N406" s="399">
        <v>1152.1600000000001</v>
      </c>
      <c r="O406" s="399">
        <v>1152.1600000000001</v>
      </c>
      <c r="P406" s="399">
        <v>1152.1600000000001</v>
      </c>
      <c r="Q406" s="399">
        <v>1152.1600000000001</v>
      </c>
      <c r="R406" s="399">
        <v>34.950000000000003</v>
      </c>
      <c r="S406" s="399">
        <v>69.64</v>
      </c>
      <c r="T406" s="399">
        <v>144.41999999999999</v>
      </c>
      <c r="U406" s="399">
        <v>109323.6</v>
      </c>
      <c r="V406" s="399">
        <v>246631.36960000001</v>
      </c>
      <c r="W406" s="399">
        <v>355954.96960000001</v>
      </c>
      <c r="X406" s="399">
        <v>350544.42240000004</v>
      </c>
      <c r="Y406" s="399">
        <v>0</v>
      </c>
      <c r="Z406" s="399">
        <v>61547.060635831345</v>
      </c>
      <c r="AA406" s="399">
        <v>0</v>
      </c>
      <c r="AB406" s="399">
        <v>0</v>
      </c>
      <c r="AC406" s="399">
        <v>0</v>
      </c>
      <c r="AD406" s="399">
        <v>39631.070311774936</v>
      </c>
      <c r="AE406" s="399">
        <v>69706.879400831851</v>
      </c>
      <c r="AF406" s="399">
        <v>166397.04831410074</v>
      </c>
      <c r="AG406" s="399">
        <v>0</v>
      </c>
      <c r="AH406" s="399">
        <v>0</v>
      </c>
      <c r="AI406" s="399">
        <v>0</v>
      </c>
      <c r="AJ406" s="399">
        <v>0</v>
      </c>
      <c r="AK406" s="399">
        <v>0</v>
      </c>
      <c r="AL406" s="399">
        <v>10925.651753130212</v>
      </c>
      <c r="AM406" s="399"/>
      <c r="AN406" s="399">
        <v>573.4129840071156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7187.8681358067197</v>
      </c>
      <c r="BH406" s="399">
        <v>0</v>
      </c>
      <c r="BI406" s="399">
        <v>0</v>
      </c>
      <c r="BJ406" s="399">
        <v>0</v>
      </c>
      <c r="BK406" s="399">
        <v>0</v>
      </c>
      <c r="BL406" s="399">
        <v>0</v>
      </c>
      <c r="BM406" s="399"/>
      <c r="BN406" s="399"/>
      <c r="BO406" s="399"/>
      <c r="BP406" s="399"/>
      <c r="BQ406" s="399"/>
      <c r="BR406" s="399"/>
      <c r="BS406" s="399"/>
      <c r="BT406" s="399"/>
      <c r="BU406" s="399"/>
      <c r="BV406" s="399">
        <v>173584.91644990747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350544.42240000004</v>
      </c>
      <c r="CJ406" s="399">
        <v>-5410.5771999999997</v>
      </c>
      <c r="CK406" s="399"/>
      <c r="CL406" s="399"/>
      <c r="CM406" s="399"/>
      <c r="CN406" s="399"/>
      <c r="CO406" s="399">
        <v>-12139.161600000016</v>
      </c>
      <c r="CP406" s="399">
        <v>6728.614400000004</v>
      </c>
      <c r="CQ406" s="399">
        <v>31</v>
      </c>
      <c r="CR406" s="399">
        <v>-2284.7563818400959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1658.6138586158268</v>
      </c>
      <c r="DA406" s="399">
        <v>0</v>
      </c>
      <c r="DB406" s="399">
        <v>0</v>
      </c>
      <c r="DC406" s="399">
        <v>6728.3752096714452</v>
      </c>
      <c r="DD406" s="399">
        <v>0</v>
      </c>
      <c r="DE406" s="399">
        <v>0</v>
      </c>
      <c r="DF406" s="399">
        <v>0</v>
      </c>
      <c r="DG406" s="399">
        <v>290.64622398859956</v>
      </c>
      <c r="DH406" s="399">
        <v>0</v>
      </c>
      <c r="DI406" s="399">
        <v>-9455.5435540583203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-1437.6470750709359</v>
      </c>
      <c r="DP406" s="399">
        <v>-69.201044986704119</v>
      </c>
      <c r="DQ406" s="399">
        <v>0</v>
      </c>
      <c r="DR406" s="399">
        <v>0</v>
      </c>
      <c r="DS406" s="399"/>
      <c r="DT406" s="399"/>
      <c r="DU406" s="399">
        <v>69706.879400831851</v>
      </c>
      <c r="DV406" s="399">
        <v>0</v>
      </c>
      <c r="DW406" s="399">
        <v>0</v>
      </c>
      <c r="DX406" s="399">
        <v>0</v>
      </c>
      <c r="DY406" s="399">
        <v>-12139.161600000021</v>
      </c>
      <c r="DZ406" s="399">
        <v>6728.6144000000204</v>
      </c>
      <c r="EA406" s="399">
        <v>0</v>
      </c>
      <c r="EB406" s="399">
        <v>0</v>
      </c>
      <c r="EC406" s="399">
        <v>-3139.4047956642025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225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405</v>
      </c>
      <c r="B407" s="399" t="s">
        <v>957</v>
      </c>
      <c r="C407" s="399" t="s">
        <v>2365</v>
      </c>
      <c r="D407" s="399" t="s">
        <v>534</v>
      </c>
      <c r="E407" s="399" t="s">
        <v>891</v>
      </c>
      <c r="F407" s="399" t="s">
        <v>1240</v>
      </c>
      <c r="G407" s="399" t="s">
        <v>1240</v>
      </c>
      <c r="H407" s="399" t="s">
        <v>1240</v>
      </c>
      <c r="I407" s="399" t="s">
        <v>1240</v>
      </c>
      <c r="J407" s="399" t="s">
        <v>2358</v>
      </c>
      <c r="K407" s="789">
        <v>44682</v>
      </c>
      <c r="L407" s="399">
        <v>0</v>
      </c>
      <c r="M407" s="399">
        <v>0</v>
      </c>
      <c r="N407" s="399">
        <v>0</v>
      </c>
      <c r="O407" s="399">
        <v>0</v>
      </c>
      <c r="P407" s="399">
        <v>0</v>
      </c>
      <c r="Q407" s="399">
        <v>0</v>
      </c>
      <c r="R407" s="399"/>
      <c r="S407" s="399"/>
      <c r="T407" s="399"/>
      <c r="U407" s="399"/>
      <c r="V407" s="399"/>
      <c r="W407" s="399"/>
      <c r="X407" s="399"/>
      <c r="Y407" s="399"/>
      <c r="Z407" s="399"/>
      <c r="AA407" s="399">
        <v>0</v>
      </c>
      <c r="AB407" s="399"/>
      <c r="AC407" s="399"/>
      <c r="AD407" s="399"/>
      <c r="AE407" s="399"/>
      <c r="AF407" s="399"/>
      <c r="AG407" s="399"/>
      <c r="AH407" s="399"/>
      <c r="AI407" s="399"/>
      <c r="AJ407" s="399"/>
      <c r="AK407" s="399"/>
      <c r="AL407" s="399"/>
      <c r="AM407" s="399"/>
      <c r="AN407" s="399"/>
      <c r="AO407" s="399"/>
      <c r="AP407" s="399"/>
      <c r="AQ407" s="399"/>
      <c r="AR407" s="399"/>
      <c r="AS407" s="399"/>
      <c r="AT407" s="399"/>
      <c r="AU407" s="399"/>
      <c r="AV407" s="399"/>
      <c r="AW407" s="399"/>
      <c r="AX407" s="399"/>
      <c r="AY407" s="399"/>
      <c r="AZ407" s="399">
        <v>0</v>
      </c>
      <c r="BA407" s="399"/>
      <c r="BB407" s="399"/>
      <c r="BC407" s="399"/>
      <c r="BD407" s="399"/>
      <c r="BE407" s="399"/>
      <c r="BF407" s="399"/>
      <c r="BG407" s="399"/>
      <c r="BH407" s="399"/>
      <c r="BI407" s="399">
        <v>0</v>
      </c>
      <c r="BJ407" s="399">
        <v>0</v>
      </c>
      <c r="BK407" s="399">
        <v>136467.95000000001</v>
      </c>
      <c r="BL407" s="399">
        <v>2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/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/>
      <c r="CJ407" s="399">
        <v>-0.03</v>
      </c>
      <c r="CK407" s="399"/>
      <c r="CL407" s="399"/>
      <c r="CM407" s="399"/>
      <c r="CN407" s="399"/>
      <c r="CO407" s="399">
        <v>0</v>
      </c>
      <c r="CP407" s="399">
        <v>0</v>
      </c>
      <c r="CQ407" s="399">
        <v>31</v>
      </c>
      <c r="CR407" s="399"/>
      <c r="CS407" s="399"/>
      <c r="CT407" s="399"/>
      <c r="CU407" s="399"/>
      <c r="CV407" s="399"/>
      <c r="CW407" s="399"/>
      <c r="CX407" s="399"/>
      <c r="CY407" s="399"/>
      <c r="CZ407" s="399"/>
      <c r="DA407" s="399"/>
      <c r="DB407" s="399"/>
      <c r="DC407" s="399"/>
      <c r="DD407" s="399"/>
      <c r="DE407" s="399"/>
      <c r="DF407" s="399"/>
      <c r="DG407" s="399"/>
      <c r="DH407" s="399"/>
      <c r="DI407" s="399"/>
      <c r="DJ407" s="399"/>
      <c r="DK407" s="399">
        <v>0</v>
      </c>
      <c r="DL407" s="399"/>
      <c r="DM407" s="399"/>
      <c r="DN407" s="399"/>
      <c r="DO407" s="399"/>
      <c r="DP407" s="399"/>
      <c r="DQ407" s="399"/>
      <c r="DR407" s="399"/>
      <c r="DS407" s="399"/>
      <c r="DT407" s="399"/>
      <c r="DU407" s="399"/>
      <c r="DV407" s="399"/>
      <c r="DW407" s="399"/>
      <c r="DX407" s="399"/>
      <c r="DY407" s="399"/>
      <c r="DZ407" s="399"/>
      <c r="EA407" s="399"/>
      <c r="EB407" s="399"/>
      <c r="EC407" s="399"/>
      <c r="ED407" s="399"/>
      <c r="EE407" s="399"/>
      <c r="EF407" s="399"/>
      <c r="EG407" s="399"/>
      <c r="EH407" s="399"/>
      <c r="EI407" s="399"/>
      <c r="EJ407" s="399"/>
      <c r="EK407" s="399"/>
      <c r="EL407" s="399"/>
      <c r="EM407" s="399"/>
      <c r="EN407" s="399"/>
      <c r="EO407" s="399"/>
      <c r="EP407" s="399"/>
      <c r="EQ407" s="399"/>
      <c r="ER407" s="399"/>
      <c r="ES407" s="399"/>
      <c r="ET407" s="399"/>
      <c r="EU407" s="399"/>
      <c r="EV407" s="399">
        <v>225</v>
      </c>
      <c r="EW407" s="399"/>
      <c r="EX407" s="399"/>
      <c r="EY407" s="399"/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406</v>
      </c>
      <c r="B408" s="399" t="s">
        <v>957</v>
      </c>
      <c r="C408" s="399" t="s">
        <v>2366</v>
      </c>
      <c r="D408" s="399" t="s">
        <v>534</v>
      </c>
      <c r="E408" s="399" t="s">
        <v>891</v>
      </c>
      <c r="F408" s="399" t="s">
        <v>1240</v>
      </c>
      <c r="G408" s="399" t="s">
        <v>1240</v>
      </c>
      <c r="H408" s="399" t="s">
        <v>1240</v>
      </c>
      <c r="I408" s="399" t="s">
        <v>894</v>
      </c>
      <c r="J408" s="399" t="s">
        <v>2358</v>
      </c>
      <c r="K408" s="789">
        <v>44682</v>
      </c>
      <c r="L408" s="399">
        <v>0</v>
      </c>
      <c r="M408" s="399">
        <v>0</v>
      </c>
      <c r="N408" s="399">
        <v>98.71</v>
      </c>
      <c r="O408" s="399">
        <v>98.71</v>
      </c>
      <c r="P408" s="399">
        <v>98.71</v>
      </c>
      <c r="Q408" s="399">
        <v>98.71</v>
      </c>
      <c r="R408" s="399"/>
      <c r="S408" s="399">
        <v>2740.31</v>
      </c>
      <c r="T408" s="399">
        <v>144.41999999999999</v>
      </c>
      <c r="U408" s="399"/>
      <c r="V408" s="399">
        <v>284751.69829999999</v>
      </c>
      <c r="W408" s="399">
        <v>284751.69829999999</v>
      </c>
      <c r="X408" s="399">
        <v>278995.91820000001</v>
      </c>
      <c r="Y408" s="399">
        <v>0</v>
      </c>
      <c r="Z408" s="399">
        <v>5272.9745481208438</v>
      </c>
      <c r="AA408" s="399">
        <v>0</v>
      </c>
      <c r="AB408" s="399">
        <v>0</v>
      </c>
      <c r="AC408" s="399">
        <v>0</v>
      </c>
      <c r="AD408" s="399">
        <v>74295.346295646508</v>
      </c>
      <c r="AE408" s="399">
        <v>189326.52683942468</v>
      </c>
      <c r="AF408" s="399">
        <v>14255.878210565272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936.04281050503675</v>
      </c>
      <c r="AM408" s="399"/>
      <c r="AN408" s="399">
        <v>49.126506432563517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615.81244244330753</v>
      </c>
      <c r="BH408" s="399">
        <v>0</v>
      </c>
      <c r="BI408" s="399">
        <v>0</v>
      </c>
      <c r="BJ408" s="399">
        <v>0</v>
      </c>
      <c r="BK408" s="399">
        <v>0</v>
      </c>
      <c r="BL408" s="399">
        <v>0</v>
      </c>
      <c r="BM408" s="399"/>
      <c r="BN408" s="399"/>
      <c r="BO408" s="399"/>
      <c r="BP408" s="399"/>
      <c r="BQ408" s="399"/>
      <c r="BR408" s="399"/>
      <c r="BS408" s="399"/>
      <c r="BT408" s="399"/>
      <c r="BU408" s="399"/>
      <c r="BV408" s="399">
        <v>14871.69065300858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278995.91820000001</v>
      </c>
      <c r="CJ408" s="399">
        <v>-5755.8101000000024</v>
      </c>
      <c r="CK408" s="399"/>
      <c r="CL408" s="399"/>
      <c r="CM408" s="399"/>
      <c r="CN408" s="399"/>
      <c r="CO408" s="399">
        <v>-6332.2465000000084</v>
      </c>
      <c r="CP408" s="399">
        <v>576.46640000000025</v>
      </c>
      <c r="CQ408" s="399">
        <v>31</v>
      </c>
      <c r="CR408" s="399">
        <v>2771.5168927959166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3109.360661400453</v>
      </c>
      <c r="DA408" s="399">
        <v>0</v>
      </c>
      <c r="DB408" s="399">
        <v>0</v>
      </c>
      <c r="DC408" s="399">
        <v>576.44590764014356</v>
      </c>
      <c r="DD408" s="399">
        <v>0</v>
      </c>
      <c r="DE408" s="399">
        <v>0</v>
      </c>
      <c r="DF408" s="399">
        <v>0</v>
      </c>
      <c r="DG408" s="399">
        <v>24.900785281484104</v>
      </c>
      <c r="DH408" s="399">
        <v>0</v>
      </c>
      <c r="DI408" s="399">
        <v>-810.09295950310479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-123.16878105493333</v>
      </c>
      <c r="DP408" s="399">
        <v>-5.9287209681273225</v>
      </c>
      <c r="DQ408" s="399">
        <v>0</v>
      </c>
      <c r="DR408" s="399">
        <v>0</v>
      </c>
      <c r="DS408" s="399"/>
      <c r="DT408" s="399"/>
      <c r="DU408" s="399"/>
      <c r="DV408" s="399">
        <v>189326.52683942468</v>
      </c>
      <c r="DW408" s="399">
        <v>0</v>
      </c>
      <c r="DX408" s="399">
        <v>0</v>
      </c>
      <c r="DY408" s="399">
        <v>-6332.2465000000084</v>
      </c>
      <c r="DZ408" s="399">
        <v>576.46640000000116</v>
      </c>
      <c r="EA408" s="399">
        <v>0</v>
      </c>
      <c r="EB408" s="399">
        <v>0</v>
      </c>
      <c r="EC408" s="399">
        <v>-8526.7424308066838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225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407</v>
      </c>
      <c r="B409" s="399" t="s">
        <v>2360</v>
      </c>
      <c r="C409" s="399" t="s">
        <v>2366</v>
      </c>
      <c r="D409" s="399" t="s">
        <v>534</v>
      </c>
      <c r="E409" s="399" t="s">
        <v>891</v>
      </c>
      <c r="F409" s="399" t="s">
        <v>1240</v>
      </c>
      <c r="G409" s="399" t="s">
        <v>1240</v>
      </c>
      <c r="H409" s="399" t="s">
        <v>1240</v>
      </c>
      <c r="I409" s="399" t="s">
        <v>894</v>
      </c>
      <c r="J409" s="399" t="s">
        <v>2358</v>
      </c>
      <c r="K409" s="789">
        <v>44682</v>
      </c>
      <c r="L409" s="399">
        <v>0</v>
      </c>
      <c r="M409" s="399">
        <v>0</v>
      </c>
      <c r="N409" s="399">
        <v>0.55800000000000005</v>
      </c>
      <c r="O409" s="399">
        <v>0.55800000000000005</v>
      </c>
      <c r="P409" s="399">
        <v>0.55800000000000005</v>
      </c>
      <c r="Q409" s="399">
        <v>0.55800000000000005</v>
      </c>
      <c r="R409" s="399"/>
      <c r="S409" s="399">
        <v>2740.31</v>
      </c>
      <c r="T409" s="399">
        <v>144.41999999999999</v>
      </c>
      <c r="U409" s="399"/>
      <c r="V409" s="399">
        <v>1609.6793400000001</v>
      </c>
      <c r="W409" s="399">
        <v>1609.6793400000001</v>
      </c>
      <c r="X409" s="399">
        <v>1577.1423600000001</v>
      </c>
      <c r="Y409" s="399">
        <v>0</v>
      </c>
      <c r="Z409" s="399">
        <v>29.807717534712097</v>
      </c>
      <c r="AA409" s="399">
        <v>0</v>
      </c>
      <c r="AB409" s="399">
        <v>0</v>
      </c>
      <c r="AC409" s="399">
        <v>0</v>
      </c>
      <c r="AD409" s="399">
        <v>419.98584979202468</v>
      </c>
      <c r="AE409" s="399">
        <v>1070.2482218255393</v>
      </c>
      <c r="AF409" s="399">
        <v>80.587377585811183</v>
      </c>
      <c r="AG409" s="399">
        <v>0</v>
      </c>
      <c r="AH409" s="399">
        <v>0</v>
      </c>
      <c r="AI409" s="399">
        <v>0</v>
      </c>
      <c r="AJ409" s="399">
        <v>0</v>
      </c>
      <c r="AK409" s="399">
        <v>0</v>
      </c>
      <c r="AL409" s="399">
        <v>5.2913776543593416</v>
      </c>
      <c r="AM409" s="399"/>
      <c r="AN409" s="399">
        <v>0.27770834352517926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3.4811401365957417</v>
      </c>
      <c r="BH409" s="399">
        <v>0</v>
      </c>
      <c r="BI409" s="399">
        <v>0</v>
      </c>
      <c r="BJ409" s="399">
        <v>0</v>
      </c>
      <c r="BK409" s="399">
        <v>0</v>
      </c>
      <c r="BL409" s="399">
        <v>0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>
        <v>84.068517722406924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1582.7952</v>
      </c>
      <c r="CJ409" s="399">
        <v>-26.914140000000089</v>
      </c>
      <c r="CK409" s="399"/>
      <c r="CL409" s="399"/>
      <c r="CM409" s="399"/>
      <c r="CN409" s="399"/>
      <c r="CO409" s="399">
        <v>-35.795700000000053</v>
      </c>
      <c r="CP409" s="399">
        <v>3.2587200000000021</v>
      </c>
      <c r="CQ409" s="399">
        <v>31</v>
      </c>
      <c r="CR409" s="399">
        <v>15.667170764665343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17.576975474232142</v>
      </c>
      <c r="DA409" s="399">
        <v>0</v>
      </c>
      <c r="DB409" s="399">
        <v>0</v>
      </c>
      <c r="DC409" s="399">
        <v>3.2586041582737408</v>
      </c>
      <c r="DD409" s="399">
        <v>0</v>
      </c>
      <c r="DE409" s="399">
        <v>0</v>
      </c>
      <c r="DF409" s="399">
        <v>0</v>
      </c>
      <c r="DG409" s="399">
        <v>0.14076221443691717</v>
      </c>
      <c r="DH409" s="399">
        <v>0</v>
      </c>
      <c r="DI409" s="399">
        <v>-4.5793928822078023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-0.69626359870988619</v>
      </c>
      <c r="DP409" s="399">
        <v>-3.3514601359690421E-2</v>
      </c>
      <c r="DQ409" s="399">
        <v>0</v>
      </c>
      <c r="DR409" s="399">
        <v>0</v>
      </c>
      <c r="DS409" s="399"/>
      <c r="DT409" s="399"/>
      <c r="DU409" s="399"/>
      <c r="DV409" s="399">
        <v>1070.2482218255393</v>
      </c>
      <c r="DW409" s="399">
        <v>0</v>
      </c>
      <c r="DX409" s="399">
        <v>0</v>
      </c>
      <c r="DY409" s="399">
        <v>-35.795700000000124</v>
      </c>
      <c r="DZ409" s="399">
        <v>3.2587199999999967</v>
      </c>
      <c r="EA409" s="399">
        <v>0</v>
      </c>
      <c r="EB409" s="399">
        <v>0</v>
      </c>
      <c r="EC409" s="399">
        <v>-48.201015868606305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225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408</v>
      </c>
      <c r="B410" s="399" t="s">
        <v>957</v>
      </c>
      <c r="C410" s="399" t="s">
        <v>2366</v>
      </c>
      <c r="D410" s="399" t="s">
        <v>534</v>
      </c>
      <c r="E410" s="399" t="s">
        <v>891</v>
      </c>
      <c r="F410" s="399" t="s">
        <v>1240</v>
      </c>
      <c r="G410" s="399" t="s">
        <v>1240</v>
      </c>
      <c r="H410" s="399" t="s">
        <v>1240</v>
      </c>
      <c r="I410" s="399" t="s">
        <v>2328</v>
      </c>
      <c r="J410" s="399" t="s">
        <v>2358</v>
      </c>
      <c r="K410" s="789">
        <v>44682</v>
      </c>
      <c r="L410" s="399">
        <v>0</v>
      </c>
      <c r="M410" s="399">
        <v>0</v>
      </c>
      <c r="N410" s="399">
        <v>5911.1869999999999</v>
      </c>
      <c r="O410" s="399">
        <v>5911.1869999999999</v>
      </c>
      <c r="P410" s="399">
        <v>5911.1869999999999</v>
      </c>
      <c r="Q410" s="399">
        <v>5911.1869999999999</v>
      </c>
      <c r="R410" s="399"/>
      <c r="S410" s="399">
        <v>69.64</v>
      </c>
      <c r="T410" s="399">
        <v>144.41999999999999</v>
      </c>
      <c r="U410" s="399"/>
      <c r="V410" s="399">
        <v>1265348.6892200001</v>
      </c>
      <c r="W410" s="399">
        <v>1265348.6892200001</v>
      </c>
      <c r="X410" s="399">
        <v>1245132.4296800001</v>
      </c>
      <c r="Y410" s="399">
        <v>0</v>
      </c>
      <c r="Z410" s="399">
        <v>315768.80356785341</v>
      </c>
      <c r="AA410" s="399">
        <v>0</v>
      </c>
      <c r="AB410" s="399">
        <v>0</v>
      </c>
      <c r="AC410" s="399">
        <v>0</v>
      </c>
      <c r="AD410" s="399">
        <v>0</v>
      </c>
      <c r="AE410" s="399">
        <v>0</v>
      </c>
      <c r="AF410" s="399">
        <v>853704.40636082157</v>
      </c>
      <c r="AG410" s="399">
        <v>0</v>
      </c>
      <c r="AH410" s="399">
        <v>0</v>
      </c>
      <c r="AI410" s="399">
        <v>0</v>
      </c>
      <c r="AJ410" s="399">
        <v>0</v>
      </c>
      <c r="AK410" s="399">
        <v>0</v>
      </c>
      <c r="AL410" s="399">
        <v>56054.341940034821</v>
      </c>
      <c r="AM410" s="399"/>
      <c r="AN410" s="399">
        <v>2941.9103047268345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36877.545377460519</v>
      </c>
      <c r="BH410" s="399">
        <v>0</v>
      </c>
      <c r="BI410" s="399">
        <v>0</v>
      </c>
      <c r="BJ410" s="399">
        <v>0</v>
      </c>
      <c r="BK410" s="399">
        <v>0</v>
      </c>
      <c r="BL410" s="399">
        <v>0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>
        <v>890581.95173828211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1245133.0615999999</v>
      </c>
      <c r="CJ410" s="399">
        <v>-20215.657620000187</v>
      </c>
      <c r="CK410" s="399"/>
      <c r="CL410" s="399"/>
      <c r="CM410" s="399"/>
      <c r="CN410" s="399"/>
      <c r="CO410" s="399">
        <v>-54737.591619999985</v>
      </c>
      <c r="CP410" s="399">
        <v>34521.332080000022</v>
      </c>
      <c r="CQ410" s="399">
        <v>31</v>
      </c>
      <c r="CR410" s="399">
        <v>-20231.564107042504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0</v>
      </c>
      <c r="DA410" s="399">
        <v>0</v>
      </c>
      <c r="DB410" s="399">
        <v>0</v>
      </c>
      <c r="DC410" s="399">
        <v>34520.104907766334</v>
      </c>
      <c r="DD410" s="399">
        <v>0</v>
      </c>
      <c r="DE410" s="399">
        <v>0</v>
      </c>
      <c r="DF410" s="399">
        <v>0</v>
      </c>
      <c r="DG410" s="399">
        <v>1491.168050305947</v>
      </c>
      <c r="DH410" s="399">
        <v>0</v>
      </c>
      <c r="DI410" s="399">
        <v>-48511.913392830291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-7375.8859019123556</v>
      </c>
      <c r="DP410" s="399">
        <v>-355.03777037201507</v>
      </c>
      <c r="DQ410" s="399">
        <v>0</v>
      </c>
      <c r="DR410" s="399">
        <v>0</v>
      </c>
      <c r="DS410" s="399"/>
      <c r="DT410" s="399"/>
      <c r="DU410" s="399"/>
      <c r="DV410" s="399">
        <v>0</v>
      </c>
      <c r="DW410" s="399">
        <v>0</v>
      </c>
      <c r="DX410" s="399">
        <v>0</v>
      </c>
      <c r="DY410" s="399">
        <v>-54737.591619999963</v>
      </c>
      <c r="DZ410" s="399">
        <v>34521.332079999964</v>
      </c>
      <c r="EA410" s="399">
        <v>0</v>
      </c>
      <c r="EB410" s="399">
        <v>0</v>
      </c>
      <c r="EC410" s="399">
        <v>0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225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409</v>
      </c>
      <c r="B411" s="399" t="s">
        <v>2360</v>
      </c>
      <c r="C411" s="399" t="s">
        <v>2366</v>
      </c>
      <c r="D411" s="399" t="s">
        <v>534</v>
      </c>
      <c r="E411" s="399" t="s">
        <v>891</v>
      </c>
      <c r="F411" s="399" t="s">
        <v>1240</v>
      </c>
      <c r="G411" s="399" t="s">
        <v>1240</v>
      </c>
      <c r="H411" s="399" t="s">
        <v>1240</v>
      </c>
      <c r="I411" s="399" t="s">
        <v>2328</v>
      </c>
      <c r="J411" s="399" t="s">
        <v>2358</v>
      </c>
      <c r="K411" s="789">
        <v>44682</v>
      </c>
      <c r="L411" s="399">
        <v>0</v>
      </c>
      <c r="M411" s="399">
        <v>0</v>
      </c>
      <c r="N411" s="399">
        <v>5.22</v>
      </c>
      <c r="O411" s="399">
        <v>5.22</v>
      </c>
      <c r="P411" s="399">
        <v>5.22</v>
      </c>
      <c r="Q411" s="399">
        <v>5.22</v>
      </c>
      <c r="R411" s="399"/>
      <c r="S411" s="399">
        <v>69.64</v>
      </c>
      <c r="T411" s="399">
        <v>144.41999999999999</v>
      </c>
      <c r="U411" s="399"/>
      <c r="V411" s="399">
        <v>1117.3932</v>
      </c>
      <c r="W411" s="399">
        <v>1117.3932</v>
      </c>
      <c r="X411" s="399">
        <v>1099.5408</v>
      </c>
      <c r="Y411" s="399">
        <v>0</v>
      </c>
      <c r="Z411" s="399">
        <v>278.84638984085507</v>
      </c>
      <c r="AA411" s="399">
        <v>0</v>
      </c>
      <c r="AB411" s="399">
        <v>0</v>
      </c>
      <c r="AC411" s="399">
        <v>0</v>
      </c>
      <c r="AD411" s="399">
        <v>0</v>
      </c>
      <c r="AE411" s="399">
        <v>0</v>
      </c>
      <c r="AF411" s="399">
        <v>753.88191935113684</v>
      </c>
      <c r="AG411" s="399">
        <v>0</v>
      </c>
      <c r="AH411" s="399">
        <v>0</v>
      </c>
      <c r="AI411" s="399">
        <v>0</v>
      </c>
      <c r="AJ411" s="399">
        <v>0</v>
      </c>
      <c r="AK411" s="399">
        <v>0</v>
      </c>
      <c r="AL411" s="399">
        <v>49.499984508522864</v>
      </c>
      <c r="AM411" s="399"/>
      <c r="AN411" s="399">
        <v>2.5979167620097412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32.565504503637577</v>
      </c>
      <c r="BH411" s="399">
        <v>0</v>
      </c>
      <c r="BI411" s="399">
        <v>0</v>
      </c>
      <c r="BJ411" s="399">
        <v>0</v>
      </c>
      <c r="BK411" s="399">
        <v>0</v>
      </c>
      <c r="BL411" s="399">
        <v>0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>
        <v>786.44742385477446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1099.5408</v>
      </c>
      <c r="CJ411" s="399">
        <v>-17.882399999999961</v>
      </c>
      <c r="CK411" s="399"/>
      <c r="CL411" s="399"/>
      <c r="CM411" s="399"/>
      <c r="CN411" s="399"/>
      <c r="CO411" s="399">
        <v>-48.337199999999989</v>
      </c>
      <c r="CP411" s="399">
        <v>30.484800000000018</v>
      </c>
      <c r="CQ411" s="399">
        <v>31</v>
      </c>
      <c r="CR411" s="399">
        <v>-17.865915024979131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0</v>
      </c>
      <c r="DA411" s="399">
        <v>0</v>
      </c>
      <c r="DB411" s="399">
        <v>0</v>
      </c>
      <c r="DC411" s="399">
        <v>30.483716319334917</v>
      </c>
      <c r="DD411" s="399">
        <v>0</v>
      </c>
      <c r="DE411" s="399">
        <v>0</v>
      </c>
      <c r="DF411" s="399">
        <v>0</v>
      </c>
      <c r="DG411" s="399">
        <v>1.3168078124743872</v>
      </c>
      <c r="DH411" s="399">
        <v>0</v>
      </c>
      <c r="DI411" s="399">
        <v>-42.839481801298803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-6.5134336653505471</v>
      </c>
      <c r="DP411" s="399">
        <v>-0.31352369013903969</v>
      </c>
      <c r="DQ411" s="399">
        <v>0</v>
      </c>
      <c r="DR411" s="399">
        <v>0</v>
      </c>
      <c r="DS411" s="399"/>
      <c r="DT411" s="399"/>
      <c r="DU411" s="399"/>
      <c r="DV411" s="399">
        <v>0</v>
      </c>
      <c r="DW411" s="399">
        <v>0</v>
      </c>
      <c r="DX411" s="399">
        <v>0</v>
      </c>
      <c r="DY411" s="399">
        <v>-48.337199999999996</v>
      </c>
      <c r="DZ411" s="399">
        <v>30.484800000000064</v>
      </c>
      <c r="EA411" s="399">
        <v>0</v>
      </c>
      <c r="EB411" s="399">
        <v>0</v>
      </c>
      <c r="EC411" s="399">
        <v>0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225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410</v>
      </c>
      <c r="B412" s="399" t="s">
        <v>957</v>
      </c>
      <c r="C412" s="399" t="s">
        <v>2366</v>
      </c>
      <c r="D412" s="399" t="s">
        <v>534</v>
      </c>
      <c r="E412" s="399" t="s">
        <v>891</v>
      </c>
      <c r="F412" s="399" t="s">
        <v>1240</v>
      </c>
      <c r="G412" s="399" t="s">
        <v>1240</v>
      </c>
      <c r="H412" s="399" t="s">
        <v>1240</v>
      </c>
      <c r="I412" s="399" t="s">
        <v>1240</v>
      </c>
      <c r="J412" s="399" t="s">
        <v>2358</v>
      </c>
      <c r="K412" s="789">
        <v>44682</v>
      </c>
      <c r="L412" s="399">
        <v>21932</v>
      </c>
      <c r="M412" s="399">
        <v>21932</v>
      </c>
      <c r="N412" s="399">
        <v>0</v>
      </c>
      <c r="O412" s="399">
        <v>0</v>
      </c>
      <c r="P412" s="399">
        <v>0</v>
      </c>
      <c r="Q412" s="399">
        <v>0</v>
      </c>
      <c r="R412" s="399">
        <v>34.950000000000003</v>
      </c>
      <c r="S412" s="399"/>
      <c r="T412" s="399"/>
      <c r="U412" s="399">
        <v>766523.4</v>
      </c>
      <c r="V412" s="399"/>
      <c r="W412" s="399">
        <v>766523.4</v>
      </c>
      <c r="X412" s="399">
        <v>756215.36</v>
      </c>
      <c r="Y412" s="399">
        <v>0</v>
      </c>
      <c r="Z412" s="399">
        <v>0</v>
      </c>
      <c r="AA412" s="399">
        <v>0</v>
      </c>
      <c r="AB412" s="399">
        <v>0</v>
      </c>
      <c r="AC412" s="399">
        <v>0</v>
      </c>
      <c r="AD412" s="399">
        <v>277873.60424483626</v>
      </c>
      <c r="AE412" s="399">
        <v>488750.40889355628</v>
      </c>
      <c r="AF412" s="399"/>
      <c r="AG412" s="399"/>
      <c r="AH412" s="399"/>
      <c r="AI412" s="399">
        <v>0</v>
      </c>
      <c r="AJ412" s="399">
        <v>0</v>
      </c>
      <c r="AK412" s="399">
        <v>0</v>
      </c>
      <c r="AL412" s="399">
        <v>0</v>
      </c>
      <c r="AM412" s="399"/>
      <c r="AN412" s="399">
        <v>0</v>
      </c>
      <c r="AO412" s="399">
        <v>0</v>
      </c>
      <c r="AP412" s="399">
        <v>0</v>
      </c>
      <c r="AQ412" s="399">
        <v>0</v>
      </c>
      <c r="AR412" s="399">
        <v>0</v>
      </c>
      <c r="AS412" s="399"/>
      <c r="AT412" s="399"/>
      <c r="AU412" s="399">
        <v>0</v>
      </c>
      <c r="AV412" s="399">
        <v>0</v>
      </c>
      <c r="AW412" s="399">
        <v>0</v>
      </c>
      <c r="AX412" s="399"/>
      <c r="AY412" s="399"/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/>
      <c r="BG412" s="399">
        <v>0</v>
      </c>
      <c r="BH412" s="399">
        <v>0</v>
      </c>
      <c r="BI412" s="399">
        <v>153.6</v>
      </c>
      <c r="BJ412" s="399">
        <v>709.01</v>
      </c>
      <c r="BK412" s="399">
        <v>848382.14</v>
      </c>
      <c r="BL412" s="399">
        <v>70</v>
      </c>
      <c r="BM412" s="399"/>
      <c r="BN412" s="399"/>
      <c r="BO412" s="399"/>
      <c r="BP412" s="399"/>
      <c r="BQ412" s="399"/>
      <c r="BR412" s="399"/>
      <c r="BS412" s="399"/>
      <c r="BT412" s="399"/>
      <c r="BU412" s="399"/>
      <c r="BV412" s="399">
        <v>0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756215.36</v>
      </c>
      <c r="CJ412" s="399">
        <v>-10308.070000000065</v>
      </c>
      <c r="CK412" s="399"/>
      <c r="CL412" s="399"/>
      <c r="CM412" s="399"/>
      <c r="CN412" s="399"/>
      <c r="CO412" s="399">
        <v>-10308.04000000013</v>
      </c>
      <c r="CP412" s="399">
        <v>0</v>
      </c>
      <c r="CQ412" s="399">
        <v>31</v>
      </c>
      <c r="CR412" s="399">
        <v>11629.385916611995</v>
      </c>
      <c r="CS412" s="399">
        <v>0</v>
      </c>
      <c r="CT412" s="399">
        <v>0</v>
      </c>
      <c r="CU412" s="399">
        <v>0</v>
      </c>
      <c r="CV412" s="399">
        <v>0</v>
      </c>
      <c r="CW412" s="399"/>
      <c r="CX412" s="399"/>
      <c r="CY412" s="399"/>
      <c r="CZ412" s="399">
        <v>11629.385916611995</v>
      </c>
      <c r="DA412" s="399">
        <v>0</v>
      </c>
      <c r="DB412" s="399">
        <v>0</v>
      </c>
      <c r="DC412" s="399"/>
      <c r="DD412" s="399"/>
      <c r="DE412" s="399">
        <v>0</v>
      </c>
      <c r="DF412" s="399">
        <v>0</v>
      </c>
      <c r="DG412" s="399">
        <v>0</v>
      </c>
      <c r="DH412" s="399">
        <v>0</v>
      </c>
      <c r="DI412" s="399">
        <v>0</v>
      </c>
      <c r="DJ412" s="399"/>
      <c r="DK412" s="399">
        <v>0</v>
      </c>
      <c r="DL412" s="399">
        <v>0</v>
      </c>
      <c r="DM412" s="399"/>
      <c r="DN412" s="399">
        <v>0</v>
      </c>
      <c r="DO412" s="399">
        <v>0</v>
      </c>
      <c r="DP412" s="399">
        <v>0</v>
      </c>
      <c r="DQ412" s="399">
        <v>0</v>
      </c>
      <c r="DR412" s="399">
        <v>0</v>
      </c>
      <c r="DS412" s="399"/>
      <c r="DT412" s="399"/>
      <c r="DU412" s="399">
        <v>488750.40889355628</v>
      </c>
      <c r="DV412" s="399"/>
      <c r="DW412" s="399">
        <v>0</v>
      </c>
      <c r="DX412" s="399">
        <v>0</v>
      </c>
      <c r="DY412" s="399">
        <v>-10308.040000000037</v>
      </c>
      <c r="DZ412" s="399"/>
      <c r="EA412" s="399">
        <v>0</v>
      </c>
      <c r="EB412" s="399"/>
      <c r="EC412" s="399">
        <v>-22011.964826888463</v>
      </c>
      <c r="ED412" s="399"/>
      <c r="EE412" s="399">
        <v>0</v>
      </c>
      <c r="EF412" s="399">
        <v>0</v>
      </c>
      <c r="EG412" s="399"/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/>
      <c r="EN412" s="399"/>
      <c r="EO412" s="399">
        <v>0</v>
      </c>
      <c r="EP412" s="399">
        <v>0</v>
      </c>
      <c r="EQ412" s="399"/>
      <c r="ER412" s="399">
        <v>0</v>
      </c>
      <c r="ES412" s="399"/>
      <c r="ET412" s="399">
        <v>0</v>
      </c>
      <c r="EU412" s="399"/>
      <c r="EV412" s="399">
        <v>225</v>
      </c>
      <c r="EW412" s="399"/>
      <c r="EX412" s="399"/>
      <c r="EY412" s="399"/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411</v>
      </c>
      <c r="B413" s="399" t="s">
        <v>2360</v>
      </c>
      <c r="C413" s="399" t="s">
        <v>2366</v>
      </c>
      <c r="D413" s="399" t="s">
        <v>534</v>
      </c>
      <c r="E413" s="399" t="s">
        <v>891</v>
      </c>
      <c r="F413" s="399" t="s">
        <v>1240</v>
      </c>
      <c r="G413" s="399" t="s">
        <v>1240</v>
      </c>
      <c r="H413" s="399" t="s">
        <v>1240</v>
      </c>
      <c r="I413" s="399" t="s">
        <v>1240</v>
      </c>
      <c r="J413" s="399" t="s">
        <v>2358</v>
      </c>
      <c r="K413" s="789">
        <v>44682</v>
      </c>
      <c r="L413" s="399">
        <v>240</v>
      </c>
      <c r="M413" s="399">
        <v>240</v>
      </c>
      <c r="N413" s="399">
        <v>0</v>
      </c>
      <c r="O413" s="399">
        <v>0</v>
      </c>
      <c r="P413" s="399">
        <v>0</v>
      </c>
      <c r="Q413" s="399">
        <v>0</v>
      </c>
      <c r="R413" s="399">
        <v>34.950000000000003</v>
      </c>
      <c r="S413" s="399"/>
      <c r="T413" s="399"/>
      <c r="U413" s="399">
        <v>8388</v>
      </c>
      <c r="V413" s="399"/>
      <c r="W413" s="399">
        <v>8388</v>
      </c>
      <c r="X413" s="399">
        <v>8275.1999999999989</v>
      </c>
      <c r="Y413" s="399">
        <v>0</v>
      </c>
      <c r="Z413" s="399">
        <v>0</v>
      </c>
      <c r="AA413" s="399">
        <v>0</v>
      </c>
      <c r="AB413" s="399">
        <v>0</v>
      </c>
      <c r="AC413" s="399">
        <v>0</v>
      </c>
      <c r="AD413" s="399">
        <v>3040.7470827448797</v>
      </c>
      <c r="AE413" s="399">
        <v>5348.3539182223922</v>
      </c>
      <c r="AF413" s="399"/>
      <c r="AG413" s="399"/>
      <c r="AH413" s="399"/>
      <c r="AI413" s="399">
        <v>0</v>
      </c>
      <c r="AJ413" s="399">
        <v>0</v>
      </c>
      <c r="AK413" s="399">
        <v>0</v>
      </c>
      <c r="AL413" s="399">
        <v>0</v>
      </c>
      <c r="AM413" s="399"/>
      <c r="AN413" s="399">
        <v>0</v>
      </c>
      <c r="AO413" s="399">
        <v>0</v>
      </c>
      <c r="AP413" s="399">
        <v>0</v>
      </c>
      <c r="AQ413" s="399">
        <v>0</v>
      </c>
      <c r="AR413" s="399">
        <v>0</v>
      </c>
      <c r="AS413" s="399"/>
      <c r="AT413" s="399"/>
      <c r="AU413" s="399">
        <v>0</v>
      </c>
      <c r="AV413" s="399">
        <v>0</v>
      </c>
      <c r="AW413" s="399">
        <v>0</v>
      </c>
      <c r="AX413" s="399"/>
      <c r="AY413" s="399"/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/>
      <c r="BG413" s="399">
        <v>0</v>
      </c>
      <c r="BH413" s="399">
        <v>0</v>
      </c>
      <c r="BI413" s="399">
        <v>0</v>
      </c>
      <c r="BJ413" s="399">
        <v>0</v>
      </c>
      <c r="BK413" s="399">
        <v>3837.41</v>
      </c>
      <c r="BL413" s="399">
        <v>2</v>
      </c>
      <c r="BM413" s="399"/>
      <c r="BN413" s="399"/>
      <c r="BO413" s="399"/>
      <c r="BP413" s="399"/>
      <c r="BQ413" s="399"/>
      <c r="BR413" s="399"/>
      <c r="BS413" s="399"/>
      <c r="BT413" s="399"/>
      <c r="BU413" s="399"/>
      <c r="BV413" s="399">
        <v>0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8275.1999999999989</v>
      </c>
      <c r="CJ413" s="399">
        <v>-112.83000000000175</v>
      </c>
      <c r="CK413" s="399"/>
      <c r="CL413" s="399"/>
      <c r="CM413" s="399"/>
      <c r="CN413" s="399"/>
      <c r="CO413" s="399">
        <v>-112.80000000000143</v>
      </c>
      <c r="CP413" s="399">
        <v>0</v>
      </c>
      <c r="CQ413" s="399">
        <v>31</v>
      </c>
      <c r="CR413" s="399">
        <v>127.25937534136801</v>
      </c>
      <c r="CS413" s="399">
        <v>0</v>
      </c>
      <c r="CT413" s="399">
        <v>0</v>
      </c>
      <c r="CU413" s="399">
        <v>0</v>
      </c>
      <c r="CV413" s="399">
        <v>0</v>
      </c>
      <c r="CW413" s="399"/>
      <c r="CX413" s="399"/>
      <c r="CY413" s="399"/>
      <c r="CZ413" s="399">
        <v>127.25937534136801</v>
      </c>
      <c r="DA413" s="399">
        <v>0</v>
      </c>
      <c r="DB413" s="399">
        <v>0</v>
      </c>
      <c r="DC413" s="399"/>
      <c r="DD413" s="399"/>
      <c r="DE413" s="399">
        <v>0</v>
      </c>
      <c r="DF413" s="399">
        <v>0</v>
      </c>
      <c r="DG413" s="399">
        <v>0</v>
      </c>
      <c r="DH413" s="399">
        <v>0</v>
      </c>
      <c r="DI413" s="399">
        <v>0</v>
      </c>
      <c r="DJ413" s="399"/>
      <c r="DK413" s="399">
        <v>0</v>
      </c>
      <c r="DL413" s="399">
        <v>0</v>
      </c>
      <c r="DM413" s="399"/>
      <c r="DN413" s="399">
        <v>0</v>
      </c>
      <c r="DO413" s="399">
        <v>0</v>
      </c>
      <c r="DP413" s="399">
        <v>0</v>
      </c>
      <c r="DQ413" s="399">
        <v>0</v>
      </c>
      <c r="DR413" s="399">
        <v>0</v>
      </c>
      <c r="DS413" s="399"/>
      <c r="DT413" s="399"/>
      <c r="DU413" s="399">
        <v>5348.3539182223922</v>
      </c>
      <c r="DV413" s="399"/>
      <c r="DW413" s="399">
        <v>0</v>
      </c>
      <c r="DX413" s="399">
        <v>0</v>
      </c>
      <c r="DY413" s="399">
        <v>-112.80000000000109</v>
      </c>
      <c r="DZ413" s="399"/>
      <c r="EA413" s="399">
        <v>0</v>
      </c>
      <c r="EB413" s="399"/>
      <c r="EC413" s="399">
        <v>-240.87504826068016</v>
      </c>
      <c r="ED413" s="399"/>
      <c r="EE413" s="399">
        <v>0</v>
      </c>
      <c r="EF413" s="399">
        <v>0</v>
      </c>
      <c r="EG413" s="399"/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/>
      <c r="EN413" s="399"/>
      <c r="EO413" s="399">
        <v>0</v>
      </c>
      <c r="EP413" s="399">
        <v>0</v>
      </c>
      <c r="EQ413" s="399"/>
      <c r="ER413" s="399">
        <v>0</v>
      </c>
      <c r="ES413" s="399"/>
      <c r="ET413" s="399">
        <v>0</v>
      </c>
      <c r="EU413" s="399"/>
      <c r="EV413" s="399">
        <v>225</v>
      </c>
      <c r="EW413" s="399"/>
      <c r="EX413" s="399"/>
      <c r="EY413" s="399"/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412</v>
      </c>
      <c r="B414" s="399" t="s">
        <v>957</v>
      </c>
      <c r="C414" s="399" t="s">
        <v>2357</v>
      </c>
      <c r="D414" s="399" t="s">
        <v>1826</v>
      </c>
      <c r="E414" s="399" t="s">
        <v>919</v>
      </c>
      <c r="F414" s="399" t="s">
        <v>1240</v>
      </c>
      <c r="G414" s="399" t="s">
        <v>1240</v>
      </c>
      <c r="H414" s="399" t="s">
        <v>1240</v>
      </c>
      <c r="I414" s="399" t="s">
        <v>1240</v>
      </c>
      <c r="J414" s="399" t="s">
        <v>2358</v>
      </c>
      <c r="K414" s="789">
        <v>44682</v>
      </c>
      <c r="L414" s="399">
        <v>0</v>
      </c>
      <c r="M414" s="399">
        <v>0</v>
      </c>
      <c r="N414" s="399">
        <v>616.69600000000003</v>
      </c>
      <c r="O414" s="399">
        <v>616.69600000000003</v>
      </c>
      <c r="P414" s="399">
        <v>616.69600000000003</v>
      </c>
      <c r="Q414" s="399">
        <v>616.69600000000003</v>
      </c>
      <c r="R414" s="399"/>
      <c r="S414" s="399">
        <v>522.37</v>
      </c>
      <c r="T414" s="399">
        <v>144.41999999999999</v>
      </c>
      <c r="U414" s="399"/>
      <c r="V414" s="399">
        <v>411206.72583999997</v>
      </c>
      <c r="W414" s="399">
        <v>411206.72583999997</v>
      </c>
      <c r="X414" s="399">
        <v>401925.45104000007</v>
      </c>
      <c r="Y414" s="399">
        <v>0</v>
      </c>
      <c r="Z414" s="399">
        <v>37865.73594690975</v>
      </c>
      <c r="AA414" s="399">
        <v>0</v>
      </c>
      <c r="AB414" s="399">
        <v>0</v>
      </c>
      <c r="AC414" s="399">
        <v>0</v>
      </c>
      <c r="AD414" s="399">
        <v>62880.57723457642</v>
      </c>
      <c r="AE414" s="399">
        <v>204685.85395948068</v>
      </c>
      <c r="AF414" s="399">
        <v>89064.360945626191</v>
      </c>
      <c r="AG414" s="399">
        <v>0</v>
      </c>
      <c r="AH414" s="399">
        <v>0</v>
      </c>
      <c r="AI414" s="399">
        <v>0</v>
      </c>
      <c r="AJ414" s="399">
        <v>0</v>
      </c>
      <c r="AK414" s="399">
        <v>0</v>
      </c>
      <c r="AL414" s="399">
        <v>5847.977480166287</v>
      </c>
      <c r="AM414" s="399"/>
      <c r="AN414" s="399">
        <v>897.20337638143167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9964.7739664058172</v>
      </c>
      <c r="BH414" s="399">
        <v>0</v>
      </c>
      <c r="BI414" s="399">
        <v>184.18</v>
      </c>
      <c r="BJ414" s="399">
        <v>852.47</v>
      </c>
      <c r="BK414" s="399">
        <v>119430.67</v>
      </c>
      <c r="BL414" s="399">
        <v>1213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>
        <v>99029.134912032008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401928.05800000002</v>
      </c>
      <c r="CJ414" s="399">
        <v>-9278.6978399999789</v>
      </c>
      <c r="CK414" s="399"/>
      <c r="CL414" s="399"/>
      <c r="CM414" s="399"/>
      <c r="CN414" s="399"/>
      <c r="CO414" s="399">
        <v>-12882.779439999993</v>
      </c>
      <c r="CP414" s="399">
        <v>3601.5046400000024</v>
      </c>
      <c r="CQ414" s="399">
        <v>31</v>
      </c>
      <c r="CR414" s="399">
        <v>-59.189714582520537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2631.637147787631</v>
      </c>
      <c r="DA414" s="399">
        <v>0</v>
      </c>
      <c r="DB414" s="399">
        <v>0</v>
      </c>
      <c r="DC414" s="399">
        <v>3601.3766128866991</v>
      </c>
      <c r="DD414" s="399">
        <v>0</v>
      </c>
      <c r="DE414" s="399">
        <v>0</v>
      </c>
      <c r="DF414" s="399">
        <v>0</v>
      </c>
      <c r="DG414" s="399">
        <v>402.93225634012197</v>
      </c>
      <c r="DH414" s="399">
        <v>0</v>
      </c>
      <c r="DI414" s="399">
        <v>-5817.3552360359936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-769.50354170249375</v>
      </c>
      <c r="DP414" s="399">
        <v>-108.27695385848199</v>
      </c>
      <c r="DQ414" s="399">
        <v>0</v>
      </c>
      <c r="DR414" s="399">
        <v>0</v>
      </c>
      <c r="DS414" s="399"/>
      <c r="DT414" s="399"/>
      <c r="DU414" s="399"/>
      <c r="DV414" s="399">
        <v>204685.85395948068</v>
      </c>
      <c r="DW414" s="399">
        <v>0</v>
      </c>
      <c r="DX414" s="399">
        <v>0</v>
      </c>
      <c r="DY414" s="399">
        <v>-12882.779439999955</v>
      </c>
      <c r="DZ414" s="399">
        <v>3601.5046399999992</v>
      </c>
      <c r="EA414" s="399">
        <v>0</v>
      </c>
      <c r="EB414" s="399">
        <v>0</v>
      </c>
      <c r="EC414" s="399">
        <v>-9218.4839867809496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225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413</v>
      </c>
      <c r="B415" s="399" t="s">
        <v>2360</v>
      </c>
      <c r="C415" s="399" t="s">
        <v>2357</v>
      </c>
      <c r="D415" s="399" t="s">
        <v>1826</v>
      </c>
      <c r="E415" s="399" t="s">
        <v>919</v>
      </c>
      <c r="F415" s="399" t="s">
        <v>1240</v>
      </c>
      <c r="G415" s="399" t="s">
        <v>1240</v>
      </c>
      <c r="H415" s="399" t="s">
        <v>1240</v>
      </c>
      <c r="I415" s="399" t="s">
        <v>1240</v>
      </c>
      <c r="J415" s="399" t="s">
        <v>2358</v>
      </c>
      <c r="K415" s="789">
        <v>44682</v>
      </c>
      <c r="L415" s="399">
        <v>0</v>
      </c>
      <c r="M415" s="399">
        <v>0</v>
      </c>
      <c r="N415" s="399">
        <v>32.634</v>
      </c>
      <c r="O415" s="399">
        <v>32.634</v>
      </c>
      <c r="P415" s="399">
        <v>32.634</v>
      </c>
      <c r="Q415" s="399">
        <v>32.634</v>
      </c>
      <c r="R415" s="399"/>
      <c r="S415" s="399">
        <v>522.37</v>
      </c>
      <c r="T415" s="399">
        <v>144.41999999999999</v>
      </c>
      <c r="U415" s="399"/>
      <c r="V415" s="399">
        <v>21760.024860000001</v>
      </c>
      <c r="W415" s="399">
        <v>21760.024860000001</v>
      </c>
      <c r="X415" s="399">
        <v>21268.883159999998</v>
      </c>
      <c r="Y415" s="399">
        <v>0</v>
      </c>
      <c r="Z415" s="399">
        <v>2003.7594323482767</v>
      </c>
      <c r="AA415" s="399">
        <v>0</v>
      </c>
      <c r="AB415" s="399">
        <v>0</v>
      </c>
      <c r="AC415" s="399">
        <v>0</v>
      </c>
      <c r="AD415" s="399">
        <v>3327.4818670352438</v>
      </c>
      <c r="AE415" s="399">
        <v>10831.460165322449</v>
      </c>
      <c r="AF415" s="399">
        <v>4713.06179235728</v>
      </c>
      <c r="AG415" s="399">
        <v>0</v>
      </c>
      <c r="AH415" s="399">
        <v>0</v>
      </c>
      <c r="AI415" s="399">
        <v>0</v>
      </c>
      <c r="AJ415" s="399">
        <v>0</v>
      </c>
      <c r="AK415" s="399">
        <v>0</v>
      </c>
      <c r="AL415" s="399">
        <v>309.4602479791447</v>
      </c>
      <c r="AM415" s="399"/>
      <c r="AN415" s="399">
        <v>47.477744277296495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527.31075541220866</v>
      </c>
      <c r="BH415" s="399">
        <v>0</v>
      </c>
      <c r="BI415" s="399">
        <v>0.39</v>
      </c>
      <c r="BJ415" s="399">
        <v>1.81</v>
      </c>
      <c r="BK415" s="399">
        <v>13675.29</v>
      </c>
      <c r="BL415" s="399">
        <v>52</v>
      </c>
      <c r="BM415" s="399"/>
      <c r="BN415" s="399"/>
      <c r="BO415" s="399"/>
      <c r="BP415" s="399"/>
      <c r="BQ415" s="399"/>
      <c r="BR415" s="399"/>
      <c r="BS415" s="399"/>
      <c r="BT415" s="399"/>
      <c r="BU415" s="399"/>
      <c r="BV415" s="399">
        <v>5240.3725477694888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21266.2762</v>
      </c>
      <c r="CJ415" s="399">
        <v>-493.77865999999631</v>
      </c>
      <c r="CK415" s="399"/>
      <c r="CL415" s="399"/>
      <c r="CM415" s="399"/>
      <c r="CN415" s="399"/>
      <c r="CO415" s="399">
        <v>-681.72425999999962</v>
      </c>
      <c r="CP415" s="399">
        <v>190.58256000000011</v>
      </c>
      <c r="CQ415" s="399">
        <v>31</v>
      </c>
      <c r="CR415" s="399">
        <v>-3.1321707059651089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139.25961361984128</v>
      </c>
      <c r="DA415" s="399">
        <v>0</v>
      </c>
      <c r="DB415" s="399">
        <v>0</v>
      </c>
      <c r="DC415" s="399">
        <v>190.57578512742839</v>
      </c>
      <c r="DD415" s="399">
        <v>0</v>
      </c>
      <c r="DE415" s="399">
        <v>0</v>
      </c>
      <c r="DF415" s="399">
        <v>0</v>
      </c>
      <c r="DG415" s="399">
        <v>21.322160762196518</v>
      </c>
      <c r="DH415" s="399">
        <v>0</v>
      </c>
      <c r="DI415" s="399">
        <v>-307.83979590073363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-40.72019046648461</v>
      </c>
      <c r="DP415" s="399">
        <v>-5.7297438482132179</v>
      </c>
      <c r="DQ415" s="399">
        <v>0</v>
      </c>
      <c r="DR415" s="399">
        <v>0</v>
      </c>
      <c r="DS415" s="399"/>
      <c r="DT415" s="399"/>
      <c r="DU415" s="399"/>
      <c r="DV415" s="399">
        <v>10831.460165322449</v>
      </c>
      <c r="DW415" s="399">
        <v>0</v>
      </c>
      <c r="DX415" s="399">
        <v>0</v>
      </c>
      <c r="DY415" s="399">
        <v>-681.72426000000087</v>
      </c>
      <c r="DZ415" s="399">
        <v>190.58255999999983</v>
      </c>
      <c r="EA415" s="399">
        <v>0</v>
      </c>
      <c r="EB415" s="399">
        <v>0</v>
      </c>
      <c r="EC415" s="399">
        <v>-487.81896821871669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225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414</v>
      </c>
      <c r="B416" s="399" t="s">
        <v>957</v>
      </c>
      <c r="C416" s="399" t="s">
        <v>2366</v>
      </c>
      <c r="D416" s="399" t="s">
        <v>534</v>
      </c>
      <c r="E416" s="399" t="s">
        <v>919</v>
      </c>
      <c r="F416" s="399" t="s">
        <v>1240</v>
      </c>
      <c r="G416" s="399" t="s">
        <v>1240</v>
      </c>
      <c r="H416" s="399" t="s">
        <v>1240</v>
      </c>
      <c r="I416" s="399" t="s">
        <v>894</v>
      </c>
      <c r="J416" s="399" t="s">
        <v>2358</v>
      </c>
      <c r="K416" s="789">
        <v>44682</v>
      </c>
      <c r="L416" s="399">
        <v>0</v>
      </c>
      <c r="M416" s="399">
        <v>0</v>
      </c>
      <c r="N416" s="399">
        <v>6.6189999999999998</v>
      </c>
      <c r="O416" s="399">
        <v>6.6189999999999998</v>
      </c>
      <c r="P416" s="399">
        <v>6.6189999999999998</v>
      </c>
      <c r="Q416" s="399">
        <v>6.6189999999999998</v>
      </c>
      <c r="R416" s="399"/>
      <c r="S416" s="399">
        <v>2740.31</v>
      </c>
      <c r="T416" s="399">
        <v>144.41999999999999</v>
      </c>
      <c r="U416" s="399"/>
      <c r="V416" s="399">
        <v>19094.027870000002</v>
      </c>
      <c r="W416" s="399">
        <v>19094.027870000002</v>
      </c>
      <c r="X416" s="399">
        <v>18708.073980000001</v>
      </c>
      <c r="Y416" s="399">
        <v>0</v>
      </c>
      <c r="Z416" s="399">
        <v>353.57935907214937</v>
      </c>
      <c r="AA416" s="399">
        <v>0</v>
      </c>
      <c r="AB416" s="399">
        <v>0</v>
      </c>
      <c r="AC416" s="399">
        <v>0</v>
      </c>
      <c r="AD416" s="399">
        <v>4981.8751608842495</v>
      </c>
      <c r="AE416" s="399">
        <v>12695.29207932481</v>
      </c>
      <c r="AF416" s="399">
        <v>955.92805061018669</v>
      </c>
      <c r="AG416" s="399">
        <v>0</v>
      </c>
      <c r="AH416" s="399">
        <v>0</v>
      </c>
      <c r="AI416" s="399">
        <v>0</v>
      </c>
      <c r="AJ416" s="399">
        <v>0</v>
      </c>
      <c r="AK416" s="399">
        <v>0</v>
      </c>
      <c r="AL416" s="399">
        <v>62.766359667033115</v>
      </c>
      <c r="AM416" s="399"/>
      <c r="AN416" s="399">
        <v>3.2941783616364897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41.293309254708262</v>
      </c>
      <c r="BH416" s="399">
        <v>0</v>
      </c>
      <c r="BI416" s="399">
        <v>0</v>
      </c>
      <c r="BJ416" s="399">
        <v>0</v>
      </c>
      <c r="BK416" s="399">
        <v>0</v>
      </c>
      <c r="BL416" s="399">
        <v>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997.22135986489491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18710.900399999999</v>
      </c>
      <c r="CJ416" s="399">
        <v>-383.15746999999828</v>
      </c>
      <c r="CK416" s="399"/>
      <c r="CL416" s="399"/>
      <c r="CM416" s="399"/>
      <c r="CN416" s="399"/>
      <c r="CO416" s="399">
        <v>-424.60885000000059</v>
      </c>
      <c r="CP416" s="399">
        <v>38.654960000000024</v>
      </c>
      <c r="CQ416" s="399">
        <v>31</v>
      </c>
      <c r="CR416" s="399">
        <v>185.84409191992927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208.49820907516551</v>
      </c>
      <c r="DA416" s="399">
        <v>0</v>
      </c>
      <c r="DB416" s="399">
        <v>0</v>
      </c>
      <c r="DC416" s="399">
        <v>38.653585884612653</v>
      </c>
      <c r="DD416" s="399">
        <v>0</v>
      </c>
      <c r="DE416" s="399">
        <v>0</v>
      </c>
      <c r="DF416" s="399">
        <v>0</v>
      </c>
      <c r="DG416" s="399">
        <v>1.6697223966988446</v>
      </c>
      <c r="DH416" s="399">
        <v>0</v>
      </c>
      <c r="DI416" s="399">
        <v>-54.320791195938057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-8.2590837990335757</v>
      </c>
      <c r="DP416" s="399">
        <v>-0.39755044157668618</v>
      </c>
      <c r="DQ416" s="399">
        <v>0</v>
      </c>
      <c r="DR416" s="399">
        <v>0</v>
      </c>
      <c r="DS416" s="399"/>
      <c r="DT416" s="399"/>
      <c r="DU416" s="399"/>
      <c r="DV416" s="399">
        <v>12695.29207932481</v>
      </c>
      <c r="DW416" s="399">
        <v>0</v>
      </c>
      <c r="DX416" s="399">
        <v>0</v>
      </c>
      <c r="DY416" s="399">
        <v>-424.60885000000053</v>
      </c>
      <c r="DZ416" s="399">
        <v>38.654960000000074</v>
      </c>
      <c r="EA416" s="399">
        <v>0</v>
      </c>
      <c r="EB416" s="399">
        <v>0</v>
      </c>
      <c r="EC416" s="399">
        <v>-571.7607957604032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225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415</v>
      </c>
      <c r="B417" s="399" t="s">
        <v>957</v>
      </c>
      <c r="C417" s="399" t="s">
        <v>2366</v>
      </c>
      <c r="D417" s="399" t="s">
        <v>534</v>
      </c>
      <c r="E417" s="399" t="s">
        <v>919</v>
      </c>
      <c r="F417" s="399" t="s">
        <v>1240</v>
      </c>
      <c r="G417" s="399" t="s">
        <v>1240</v>
      </c>
      <c r="H417" s="399" t="s">
        <v>1240</v>
      </c>
      <c r="I417" s="399" t="s">
        <v>2328</v>
      </c>
      <c r="J417" s="399" t="s">
        <v>2358</v>
      </c>
      <c r="K417" s="789">
        <v>44682</v>
      </c>
      <c r="L417" s="399">
        <v>0</v>
      </c>
      <c r="M417" s="399">
        <v>0</v>
      </c>
      <c r="N417" s="399">
        <v>388.16300000000001</v>
      </c>
      <c r="O417" s="399">
        <v>388.16300000000001</v>
      </c>
      <c r="P417" s="399">
        <v>388.16300000000001</v>
      </c>
      <c r="Q417" s="399">
        <v>388.16300000000001</v>
      </c>
      <c r="R417" s="399"/>
      <c r="S417" s="399">
        <v>69.64</v>
      </c>
      <c r="T417" s="399">
        <v>144.41999999999999</v>
      </c>
      <c r="U417" s="399"/>
      <c r="V417" s="399">
        <v>83090.171780000004</v>
      </c>
      <c r="W417" s="399">
        <v>83090.171780000004</v>
      </c>
      <c r="X417" s="399">
        <v>81762.654320000001</v>
      </c>
      <c r="Y417" s="399">
        <v>0</v>
      </c>
      <c r="Z417" s="399">
        <v>20735.220540190774</v>
      </c>
      <c r="AA417" s="399">
        <v>0</v>
      </c>
      <c r="AB417" s="399">
        <v>0</v>
      </c>
      <c r="AC417" s="399">
        <v>0</v>
      </c>
      <c r="AD417" s="399">
        <v>0</v>
      </c>
      <c r="AE417" s="399">
        <v>0</v>
      </c>
      <c r="AF417" s="399">
        <v>56059.208325880332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3680.8548825252419</v>
      </c>
      <c r="AM417" s="399"/>
      <c r="AN417" s="399">
        <v>193.18298162681748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2421.594621579593</v>
      </c>
      <c r="BH417" s="399">
        <v>0</v>
      </c>
      <c r="BI417" s="399">
        <v>0</v>
      </c>
      <c r="BJ417" s="399">
        <v>0</v>
      </c>
      <c r="BK417" s="399">
        <v>0</v>
      </c>
      <c r="BL417" s="399">
        <v>0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>
        <v>58480.802947459924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81762.022400000002</v>
      </c>
      <c r="CJ417" s="399">
        <v>-1328.1793799999868</v>
      </c>
      <c r="CK417" s="399"/>
      <c r="CL417" s="399"/>
      <c r="CM417" s="399"/>
      <c r="CN417" s="399"/>
      <c r="CO417" s="399">
        <v>-3594.3893799999992</v>
      </c>
      <c r="CP417" s="399">
        <v>2266.8719200000014</v>
      </c>
      <c r="CQ417" s="399">
        <v>31</v>
      </c>
      <c r="CR417" s="399">
        <v>-1328.5224470959802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0</v>
      </c>
      <c r="DA417" s="399">
        <v>0</v>
      </c>
      <c r="DB417" s="399">
        <v>0</v>
      </c>
      <c r="DC417" s="399">
        <v>2266.7913367168585</v>
      </c>
      <c r="DD417" s="399">
        <v>0</v>
      </c>
      <c r="DE417" s="399">
        <v>0</v>
      </c>
      <c r="DF417" s="399">
        <v>0</v>
      </c>
      <c r="DG417" s="399">
        <v>97.918787531320959</v>
      </c>
      <c r="DH417" s="399">
        <v>0</v>
      </c>
      <c r="DI417" s="399">
        <v>-3185.5750525742442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-484.34366893552942</v>
      </c>
      <c r="DP417" s="399">
        <v>-23.313849834375475</v>
      </c>
      <c r="DQ417" s="399">
        <v>0</v>
      </c>
      <c r="DR417" s="399">
        <v>0</v>
      </c>
      <c r="DS417" s="399"/>
      <c r="DT417" s="399"/>
      <c r="DU417" s="399"/>
      <c r="DV417" s="399">
        <v>0</v>
      </c>
      <c r="DW417" s="399">
        <v>0</v>
      </c>
      <c r="DX417" s="399">
        <v>0</v>
      </c>
      <c r="DY417" s="399">
        <v>-3594.3893800000005</v>
      </c>
      <c r="DZ417" s="399">
        <v>2266.871920000005</v>
      </c>
      <c r="EA417" s="399">
        <v>0</v>
      </c>
      <c r="EB417" s="399">
        <v>0</v>
      </c>
      <c r="EC417" s="399">
        <v>0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225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416</v>
      </c>
      <c r="B418" s="399" t="s">
        <v>957</v>
      </c>
      <c r="C418" s="399" t="s">
        <v>2366</v>
      </c>
      <c r="D418" s="399" t="s">
        <v>534</v>
      </c>
      <c r="E418" s="399" t="s">
        <v>919</v>
      </c>
      <c r="F418" s="399" t="s">
        <v>1240</v>
      </c>
      <c r="G418" s="399" t="s">
        <v>1240</v>
      </c>
      <c r="H418" s="399" t="s">
        <v>1240</v>
      </c>
      <c r="I418" s="399" t="s">
        <v>1240</v>
      </c>
      <c r="J418" s="399" t="s">
        <v>2358</v>
      </c>
      <c r="K418" s="789">
        <v>44682</v>
      </c>
      <c r="L418" s="399">
        <v>1853</v>
      </c>
      <c r="M418" s="399">
        <v>1853</v>
      </c>
      <c r="N418" s="399">
        <v>0</v>
      </c>
      <c r="O418" s="399">
        <v>0</v>
      </c>
      <c r="P418" s="399">
        <v>0</v>
      </c>
      <c r="Q418" s="399">
        <v>0</v>
      </c>
      <c r="R418" s="399">
        <v>34.950000000000003</v>
      </c>
      <c r="S418" s="399"/>
      <c r="T418" s="399"/>
      <c r="U418" s="399">
        <v>64762.350000000006</v>
      </c>
      <c r="V418" s="399"/>
      <c r="W418" s="399">
        <v>64762.350000000006</v>
      </c>
      <c r="X418" s="399">
        <v>63891.439999999995</v>
      </c>
      <c r="Y418" s="399">
        <v>0</v>
      </c>
      <c r="Z418" s="399">
        <v>0</v>
      </c>
      <c r="AA418" s="399">
        <v>0</v>
      </c>
      <c r="AB418" s="399">
        <v>0</v>
      </c>
      <c r="AC418" s="399">
        <v>0</v>
      </c>
      <c r="AD418" s="399">
        <v>23477.101434692759</v>
      </c>
      <c r="AE418" s="399">
        <v>41293.749210275389</v>
      </c>
      <c r="AF418" s="399"/>
      <c r="AG418" s="399"/>
      <c r="AH418" s="399"/>
      <c r="AI418" s="399">
        <v>0</v>
      </c>
      <c r="AJ418" s="399">
        <v>0</v>
      </c>
      <c r="AK418" s="399">
        <v>0</v>
      </c>
      <c r="AL418" s="399">
        <v>0</v>
      </c>
      <c r="AM418" s="399"/>
      <c r="AN418" s="399">
        <v>0</v>
      </c>
      <c r="AO418" s="399">
        <v>0</v>
      </c>
      <c r="AP418" s="399">
        <v>0</v>
      </c>
      <c r="AQ418" s="399">
        <v>0</v>
      </c>
      <c r="AR418" s="399">
        <v>0</v>
      </c>
      <c r="AS418" s="399"/>
      <c r="AT418" s="399"/>
      <c r="AU418" s="399">
        <v>0</v>
      </c>
      <c r="AV418" s="399">
        <v>0</v>
      </c>
      <c r="AW418" s="399">
        <v>0</v>
      </c>
      <c r="AX418" s="399"/>
      <c r="AY418" s="399"/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/>
      <c r="BG418" s="399">
        <v>0</v>
      </c>
      <c r="BH418" s="399">
        <v>0</v>
      </c>
      <c r="BI418" s="399">
        <v>0</v>
      </c>
      <c r="BJ418" s="399">
        <v>0</v>
      </c>
      <c r="BK418" s="399">
        <v>59318.66</v>
      </c>
      <c r="BL418" s="399">
        <v>14</v>
      </c>
      <c r="BM418" s="399"/>
      <c r="BN418" s="399"/>
      <c r="BO418" s="399"/>
      <c r="BP418" s="399"/>
      <c r="BQ418" s="399"/>
      <c r="BR418" s="399"/>
      <c r="BS418" s="399"/>
      <c r="BT418" s="399"/>
      <c r="BU418" s="399"/>
      <c r="BV418" s="399">
        <v>0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63891.439999999995</v>
      </c>
      <c r="CJ418" s="399">
        <v>-870.94000000001688</v>
      </c>
      <c r="CK418" s="399"/>
      <c r="CL418" s="399"/>
      <c r="CM418" s="399"/>
      <c r="CN418" s="399"/>
      <c r="CO418" s="399">
        <v>-870.91000000001111</v>
      </c>
      <c r="CP418" s="399">
        <v>0</v>
      </c>
      <c r="CQ418" s="399">
        <v>31</v>
      </c>
      <c r="CR418" s="399">
        <v>982.54842711481251</v>
      </c>
      <c r="CS418" s="399">
        <v>0</v>
      </c>
      <c r="CT418" s="399">
        <v>0</v>
      </c>
      <c r="CU418" s="399">
        <v>0</v>
      </c>
      <c r="CV418" s="399">
        <v>0</v>
      </c>
      <c r="CW418" s="399"/>
      <c r="CX418" s="399"/>
      <c r="CY418" s="399"/>
      <c r="CZ418" s="399">
        <v>982.54842711481251</v>
      </c>
      <c r="DA418" s="399">
        <v>0</v>
      </c>
      <c r="DB418" s="399">
        <v>0</v>
      </c>
      <c r="DC418" s="399"/>
      <c r="DD418" s="399"/>
      <c r="DE418" s="399">
        <v>0</v>
      </c>
      <c r="DF418" s="399">
        <v>0</v>
      </c>
      <c r="DG418" s="399">
        <v>0</v>
      </c>
      <c r="DH418" s="399">
        <v>0</v>
      </c>
      <c r="DI418" s="399">
        <v>0</v>
      </c>
      <c r="DJ418" s="399"/>
      <c r="DK418" s="399">
        <v>0</v>
      </c>
      <c r="DL418" s="399">
        <v>0</v>
      </c>
      <c r="DM418" s="399"/>
      <c r="DN418" s="399">
        <v>0</v>
      </c>
      <c r="DO418" s="399">
        <v>0</v>
      </c>
      <c r="DP418" s="399">
        <v>0</v>
      </c>
      <c r="DQ418" s="399">
        <v>0</v>
      </c>
      <c r="DR418" s="399">
        <v>0</v>
      </c>
      <c r="DS418" s="399"/>
      <c r="DT418" s="399"/>
      <c r="DU418" s="399">
        <v>41293.749210275389</v>
      </c>
      <c r="DV418" s="399"/>
      <c r="DW418" s="399">
        <v>0</v>
      </c>
      <c r="DX418" s="399">
        <v>0</v>
      </c>
      <c r="DY418" s="399">
        <v>-870.91000000001077</v>
      </c>
      <c r="DZ418" s="399"/>
      <c r="EA418" s="399">
        <v>0</v>
      </c>
      <c r="EB418" s="399"/>
      <c r="EC418" s="399">
        <v>-1859.7561017793341</v>
      </c>
      <c r="ED418" s="399"/>
      <c r="EE418" s="399">
        <v>0</v>
      </c>
      <c r="EF418" s="399">
        <v>0</v>
      </c>
      <c r="EG418" s="399"/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/>
      <c r="EN418" s="399"/>
      <c r="EO418" s="399">
        <v>0</v>
      </c>
      <c r="EP418" s="399">
        <v>0</v>
      </c>
      <c r="EQ418" s="399"/>
      <c r="ER418" s="399">
        <v>0</v>
      </c>
      <c r="ES418" s="399"/>
      <c r="ET418" s="399">
        <v>0</v>
      </c>
      <c r="EU418" s="399"/>
      <c r="EV418" s="399">
        <v>225</v>
      </c>
      <c r="EW418" s="399"/>
      <c r="EX418" s="399"/>
      <c r="EY418" s="399"/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417</v>
      </c>
      <c r="B419" s="399" t="s">
        <v>957</v>
      </c>
      <c r="C419" s="399" t="s">
        <v>2367</v>
      </c>
      <c r="D419" s="399" t="s">
        <v>1826</v>
      </c>
      <c r="E419" s="399" t="s">
        <v>919</v>
      </c>
      <c r="F419" s="399" t="s">
        <v>1240</v>
      </c>
      <c r="G419" s="399" t="s">
        <v>1240</v>
      </c>
      <c r="H419" s="399" t="s">
        <v>1240</v>
      </c>
      <c r="I419" s="399" t="s">
        <v>894</v>
      </c>
      <c r="J419" s="399" t="s">
        <v>2358</v>
      </c>
      <c r="K419" s="789">
        <v>44682</v>
      </c>
      <c r="L419" s="399">
        <v>0</v>
      </c>
      <c r="M419" s="399">
        <v>0</v>
      </c>
      <c r="N419" s="399">
        <v>8.5000000000000006E-2</v>
      </c>
      <c r="O419" s="399">
        <v>8.5000000000000006E-2</v>
      </c>
      <c r="P419" s="399">
        <v>8.5000000000000006E-2</v>
      </c>
      <c r="Q419" s="399">
        <v>8.5000000000000006E-2</v>
      </c>
      <c r="R419" s="399"/>
      <c r="S419" s="399">
        <v>1585.55</v>
      </c>
      <c r="T419" s="399">
        <v>144.41999999999999</v>
      </c>
      <c r="U419" s="399"/>
      <c r="V419" s="399">
        <v>147.04745</v>
      </c>
      <c r="W419" s="399">
        <v>147.04745</v>
      </c>
      <c r="X419" s="399">
        <v>143.54545000000002</v>
      </c>
      <c r="Y419" s="399">
        <v>0</v>
      </c>
      <c r="Z419" s="399">
        <v>5.2190829119814772</v>
      </c>
      <c r="AA419" s="399">
        <v>0</v>
      </c>
      <c r="AB419" s="399">
        <v>0</v>
      </c>
      <c r="AC419" s="399">
        <v>0</v>
      </c>
      <c r="AD419" s="399">
        <v>29.917978252818912</v>
      </c>
      <c r="AE419" s="399">
        <v>97.331724793632006</v>
      </c>
      <c r="AF419" s="399">
        <v>12.275855008591311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0.80603423050276701</v>
      </c>
      <c r="AM419" s="399"/>
      <c r="AN419" s="399">
        <v>0.12366269116780665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1.3734575660365795</v>
      </c>
      <c r="BH419" s="399">
        <v>0</v>
      </c>
      <c r="BI419" s="399">
        <v>0</v>
      </c>
      <c r="BJ419" s="399">
        <v>0</v>
      </c>
      <c r="BK419" s="399">
        <v>0</v>
      </c>
      <c r="BL419" s="399">
        <v>0</v>
      </c>
      <c r="BM419" s="399"/>
      <c r="BN419" s="399"/>
      <c r="BO419" s="399"/>
      <c r="BP419" s="399"/>
      <c r="BQ419" s="399"/>
      <c r="BR419" s="399"/>
      <c r="BS419" s="399"/>
      <c r="BT419" s="399"/>
      <c r="BU419" s="399"/>
      <c r="BV419" s="399">
        <v>13.64931257462789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151.98930000000001</v>
      </c>
      <c r="CJ419" s="399">
        <v>4.9118500000000438</v>
      </c>
      <c r="CK419" s="399"/>
      <c r="CL419" s="399"/>
      <c r="CM419" s="399"/>
      <c r="CN419" s="399"/>
      <c r="CO419" s="399">
        <v>-3.9983999999999971</v>
      </c>
      <c r="CP419" s="399">
        <v>0.49640000000000034</v>
      </c>
      <c r="CQ419" s="399">
        <v>31</v>
      </c>
      <c r="CR419" s="399">
        <v>0.88122771271837763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1.2521078275585324</v>
      </c>
      <c r="DA419" s="399">
        <v>0</v>
      </c>
      <c r="DB419" s="399">
        <v>0</v>
      </c>
      <c r="DC419" s="399">
        <v>0.49638235385890184</v>
      </c>
      <c r="DD419" s="399">
        <v>0</v>
      </c>
      <c r="DE419" s="399">
        <v>0</v>
      </c>
      <c r="DF419" s="399">
        <v>0</v>
      </c>
      <c r="DG419" s="399">
        <v>5.5536669264776073E-2</v>
      </c>
      <c r="DH419" s="399">
        <v>0</v>
      </c>
      <c r="DI419" s="399">
        <v>-0.80181352735068767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-0.1060616593016851</v>
      </c>
      <c r="DP419" s="399">
        <v>-1.49239513114581E-2</v>
      </c>
      <c r="DQ419" s="399">
        <v>0</v>
      </c>
      <c r="DR419" s="399">
        <v>0</v>
      </c>
      <c r="DS419" s="399"/>
      <c r="DT419" s="399"/>
      <c r="DU419" s="399"/>
      <c r="DV419" s="399">
        <v>97.331724793632006</v>
      </c>
      <c r="DW419" s="399">
        <v>0</v>
      </c>
      <c r="DX419" s="399">
        <v>0</v>
      </c>
      <c r="DY419" s="399">
        <v>-3.9983999999999753</v>
      </c>
      <c r="DZ419" s="399">
        <v>0.49639999999999951</v>
      </c>
      <c r="EA419" s="399">
        <v>0</v>
      </c>
      <c r="EB419" s="399">
        <v>0</v>
      </c>
      <c r="EC419" s="399">
        <v>-4.383551325405989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225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418</v>
      </c>
      <c r="B420" s="399" t="s">
        <v>957</v>
      </c>
      <c r="C420" s="399" t="s">
        <v>2367</v>
      </c>
      <c r="D420" s="399" t="s">
        <v>1826</v>
      </c>
      <c r="E420" s="399" t="s">
        <v>919</v>
      </c>
      <c r="F420" s="399" t="s">
        <v>1240</v>
      </c>
      <c r="G420" s="399" t="s">
        <v>1240</v>
      </c>
      <c r="H420" s="399" t="s">
        <v>1240</v>
      </c>
      <c r="I420" s="399" t="s">
        <v>2328</v>
      </c>
      <c r="J420" s="399" t="s">
        <v>2358</v>
      </c>
      <c r="K420" s="789">
        <v>44682</v>
      </c>
      <c r="L420" s="399">
        <v>0</v>
      </c>
      <c r="M420" s="399">
        <v>0</v>
      </c>
      <c r="N420" s="399">
        <v>5.226</v>
      </c>
      <c r="O420" s="399">
        <v>5.226</v>
      </c>
      <c r="P420" s="399">
        <v>5.226</v>
      </c>
      <c r="Q420" s="399">
        <v>5.226</v>
      </c>
      <c r="R420" s="399"/>
      <c r="S420" s="399">
        <v>387.88</v>
      </c>
      <c r="T420" s="399">
        <v>144.41999999999999</v>
      </c>
      <c r="U420" s="399"/>
      <c r="V420" s="399">
        <v>2781.7997999999998</v>
      </c>
      <c r="W420" s="399">
        <v>2781.7997999999998</v>
      </c>
      <c r="X420" s="399">
        <v>2720.4988199999998</v>
      </c>
      <c r="Y420" s="399">
        <v>0</v>
      </c>
      <c r="Z420" s="399">
        <v>320.88149762370819</v>
      </c>
      <c r="AA420" s="399">
        <v>0</v>
      </c>
      <c r="AB420" s="399">
        <v>0</v>
      </c>
      <c r="AC420" s="399">
        <v>0</v>
      </c>
      <c r="AD420" s="399">
        <v>367.72746196713342</v>
      </c>
      <c r="AE420" s="399">
        <v>1196.8369024826131</v>
      </c>
      <c r="AF420" s="399">
        <v>754.74845029291976</v>
      </c>
      <c r="AG420" s="399">
        <v>0</v>
      </c>
      <c r="AH420" s="399">
        <v>0</v>
      </c>
      <c r="AI420" s="399">
        <v>0</v>
      </c>
      <c r="AJ420" s="399">
        <v>0</v>
      </c>
      <c r="AK420" s="399">
        <v>0</v>
      </c>
      <c r="AL420" s="399">
        <v>49.556881042440708</v>
      </c>
      <c r="AM420" s="399"/>
      <c r="AN420" s="399">
        <v>7.6030732240347945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84.443402824790169</v>
      </c>
      <c r="BH420" s="399">
        <v>0</v>
      </c>
      <c r="BI420" s="399">
        <v>0</v>
      </c>
      <c r="BJ420" s="399">
        <v>0</v>
      </c>
      <c r="BK420" s="399">
        <v>0</v>
      </c>
      <c r="BL420" s="399">
        <v>0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>
        <v>839.19185311770991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2722.5811000000003</v>
      </c>
      <c r="CJ420" s="399">
        <v>-59.248699999999644</v>
      </c>
      <c r="CK420" s="399"/>
      <c r="CL420" s="399"/>
      <c r="CM420" s="399"/>
      <c r="CN420" s="399"/>
      <c r="CO420" s="399">
        <v>-91.820819999999969</v>
      </c>
      <c r="CP420" s="399">
        <v>30.519840000000016</v>
      </c>
      <c r="CQ420" s="399">
        <v>31</v>
      </c>
      <c r="CR420" s="399">
        <v>-7.4126908090834149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15.389891310382893</v>
      </c>
      <c r="DA420" s="399">
        <v>0</v>
      </c>
      <c r="DB420" s="399">
        <v>0</v>
      </c>
      <c r="DC420" s="399">
        <v>30.518755073724947</v>
      </c>
      <c r="DD420" s="399">
        <v>0</v>
      </c>
      <c r="DE420" s="399">
        <v>0</v>
      </c>
      <c r="DF420" s="399">
        <v>0</v>
      </c>
      <c r="DG420" s="399">
        <v>3.4145251009143465</v>
      </c>
      <c r="DH420" s="399">
        <v>0</v>
      </c>
      <c r="DI420" s="399">
        <v>-49.297382281584646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-6.5209203707130143</v>
      </c>
      <c r="DP420" s="399">
        <v>-0.91755964180800031</v>
      </c>
      <c r="DQ420" s="399">
        <v>0</v>
      </c>
      <c r="DR420" s="399">
        <v>0</v>
      </c>
      <c r="DS420" s="399"/>
      <c r="DT420" s="399"/>
      <c r="DU420" s="399"/>
      <c r="DV420" s="399">
        <v>1196.8369024826131</v>
      </c>
      <c r="DW420" s="399">
        <v>0</v>
      </c>
      <c r="DX420" s="399">
        <v>0</v>
      </c>
      <c r="DY420" s="399">
        <v>-91.820819999999912</v>
      </c>
      <c r="DZ420" s="399">
        <v>30.519840000000045</v>
      </c>
      <c r="EA420" s="399">
        <v>0</v>
      </c>
      <c r="EB420" s="399">
        <v>0</v>
      </c>
      <c r="EC420" s="399">
        <v>-53.902219459236221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225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419</v>
      </c>
      <c r="B421" s="399" t="s">
        <v>957</v>
      </c>
      <c r="C421" s="399" t="s">
        <v>2367</v>
      </c>
      <c r="D421" s="399" t="s">
        <v>1826</v>
      </c>
      <c r="E421" s="399" t="s">
        <v>919</v>
      </c>
      <c r="F421" s="399" t="s">
        <v>1240</v>
      </c>
      <c r="G421" s="399" t="s">
        <v>1240</v>
      </c>
      <c r="H421" s="399" t="s">
        <v>1240</v>
      </c>
      <c r="I421" s="399" t="s">
        <v>1240</v>
      </c>
      <c r="J421" s="399" t="s">
        <v>2358</v>
      </c>
      <c r="K421" s="789">
        <v>44682</v>
      </c>
      <c r="L421" s="399">
        <v>0</v>
      </c>
      <c r="M421" s="399">
        <v>0</v>
      </c>
      <c r="N421" s="399">
        <v>0</v>
      </c>
      <c r="O421" s="399">
        <v>0</v>
      </c>
      <c r="P421" s="399">
        <v>0</v>
      </c>
      <c r="Q421" s="399">
        <v>0</v>
      </c>
      <c r="R421" s="399"/>
      <c r="S421" s="399"/>
      <c r="T421" s="399"/>
      <c r="U421" s="399"/>
      <c r="V421" s="399"/>
      <c r="W421" s="399"/>
      <c r="X421" s="399"/>
      <c r="Y421" s="399"/>
      <c r="Z421" s="399"/>
      <c r="AA421" s="399">
        <v>0</v>
      </c>
      <c r="AB421" s="399"/>
      <c r="AC421" s="399"/>
      <c r="AD421" s="399"/>
      <c r="AE421" s="399"/>
      <c r="AF421" s="399"/>
      <c r="AG421" s="399"/>
      <c r="AH421" s="399"/>
      <c r="AI421" s="399"/>
      <c r="AJ421" s="399"/>
      <c r="AK421" s="399"/>
      <c r="AL421" s="399"/>
      <c r="AM421" s="399"/>
      <c r="AN421" s="399"/>
      <c r="AO421" s="399"/>
      <c r="AP421" s="399"/>
      <c r="AQ421" s="399"/>
      <c r="AR421" s="399"/>
      <c r="AS421" s="399"/>
      <c r="AT421" s="399"/>
      <c r="AU421" s="399"/>
      <c r="AV421" s="399"/>
      <c r="AW421" s="399"/>
      <c r="AX421" s="399"/>
      <c r="AY421" s="399"/>
      <c r="AZ421" s="399">
        <v>0</v>
      </c>
      <c r="BA421" s="399"/>
      <c r="BB421" s="399"/>
      <c r="BC421" s="399"/>
      <c r="BD421" s="399"/>
      <c r="BE421" s="399"/>
      <c r="BF421" s="399"/>
      <c r="BG421" s="399"/>
      <c r="BH421" s="399"/>
      <c r="BI421" s="399">
        <v>0</v>
      </c>
      <c r="BJ421" s="399">
        <v>0</v>
      </c>
      <c r="BK421" s="399">
        <v>881.63</v>
      </c>
      <c r="BL421" s="399">
        <v>4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/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/>
      <c r="CJ421" s="399">
        <v>-0.03</v>
      </c>
      <c r="CK421" s="399"/>
      <c r="CL421" s="399"/>
      <c r="CM421" s="399"/>
      <c r="CN421" s="399"/>
      <c r="CO421" s="399">
        <v>0</v>
      </c>
      <c r="CP421" s="399">
        <v>0</v>
      </c>
      <c r="CQ421" s="399">
        <v>31</v>
      </c>
      <c r="CR421" s="399"/>
      <c r="CS421" s="399"/>
      <c r="CT421" s="399"/>
      <c r="CU421" s="399"/>
      <c r="CV421" s="399"/>
      <c r="CW421" s="399"/>
      <c r="CX421" s="399"/>
      <c r="CY421" s="399"/>
      <c r="CZ421" s="399"/>
      <c r="DA421" s="399"/>
      <c r="DB421" s="399"/>
      <c r="DC421" s="399"/>
      <c r="DD421" s="399"/>
      <c r="DE421" s="399"/>
      <c r="DF421" s="399"/>
      <c r="DG421" s="399"/>
      <c r="DH421" s="399"/>
      <c r="DI421" s="399"/>
      <c r="DJ421" s="399"/>
      <c r="DK421" s="399">
        <v>0</v>
      </c>
      <c r="DL421" s="399"/>
      <c r="DM421" s="399"/>
      <c r="DN421" s="399"/>
      <c r="DO421" s="399"/>
      <c r="DP421" s="399"/>
      <c r="DQ421" s="399"/>
      <c r="DR421" s="399"/>
      <c r="DS421" s="399"/>
      <c r="DT421" s="399"/>
      <c r="DU421" s="399"/>
      <c r="DV421" s="399"/>
      <c r="DW421" s="399"/>
      <c r="DX421" s="399"/>
      <c r="DY421" s="399"/>
      <c r="DZ421" s="399"/>
      <c r="EA421" s="399"/>
      <c r="EB421" s="399"/>
      <c r="EC421" s="399"/>
      <c r="ED421" s="399"/>
      <c r="EE421" s="399"/>
      <c r="EF421" s="399"/>
      <c r="EG421" s="399"/>
      <c r="EH421" s="399"/>
      <c r="EI421" s="399"/>
      <c r="EJ421" s="399"/>
      <c r="EK421" s="399"/>
      <c r="EL421" s="399"/>
      <c r="EM421" s="399"/>
      <c r="EN421" s="399"/>
      <c r="EO421" s="399"/>
      <c r="EP421" s="399"/>
      <c r="EQ421" s="399"/>
      <c r="ER421" s="399"/>
      <c r="ES421" s="399"/>
      <c r="ET421" s="399"/>
      <c r="EU421" s="399"/>
      <c r="EV421" s="399">
        <v>225</v>
      </c>
      <c r="EW421" s="399"/>
      <c r="EX421" s="399"/>
      <c r="EY421" s="399"/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420</v>
      </c>
      <c r="B422" s="399" t="s">
        <v>957</v>
      </c>
      <c r="C422" s="399" t="s">
        <v>2367</v>
      </c>
      <c r="D422" s="399" t="s">
        <v>1826</v>
      </c>
      <c r="E422" s="399" t="s">
        <v>919</v>
      </c>
      <c r="F422" s="399" t="s">
        <v>1240</v>
      </c>
      <c r="G422" s="399" t="s">
        <v>1240</v>
      </c>
      <c r="H422" s="399" t="s">
        <v>1240</v>
      </c>
      <c r="I422" s="399" t="s">
        <v>2368</v>
      </c>
      <c r="J422" s="399" t="s">
        <v>2358</v>
      </c>
      <c r="K422" s="789">
        <v>44682</v>
      </c>
      <c r="L422" s="399">
        <v>0</v>
      </c>
      <c r="M422" s="399">
        <v>0</v>
      </c>
      <c r="N422" s="399">
        <v>0.104</v>
      </c>
      <c r="O422" s="399">
        <v>0.104</v>
      </c>
      <c r="P422" s="399">
        <v>0.104</v>
      </c>
      <c r="Q422" s="399">
        <v>0.104</v>
      </c>
      <c r="R422" s="399"/>
      <c r="S422" s="399">
        <v>986.74</v>
      </c>
      <c r="T422" s="399">
        <v>144.41999999999999</v>
      </c>
      <c r="U422" s="399"/>
      <c r="V422" s="399">
        <v>117.64063999999999</v>
      </c>
      <c r="W422" s="399">
        <v>117.64063999999999</v>
      </c>
      <c r="X422" s="399">
        <v>114.88775999999999</v>
      </c>
      <c r="Y422" s="399">
        <v>0</v>
      </c>
      <c r="Z422" s="399">
        <v>6.3857014452479239</v>
      </c>
      <c r="AA422" s="399">
        <v>0</v>
      </c>
      <c r="AB422" s="399">
        <v>0</v>
      </c>
      <c r="AC422" s="399">
        <v>0</v>
      </c>
      <c r="AD422" s="399">
        <v>21.964364407863172</v>
      </c>
      <c r="AE422" s="399">
        <v>71.452949401947137</v>
      </c>
      <c r="AF422" s="399">
        <v>15.019869657570542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0.98620658790926785</v>
      </c>
      <c r="AM422" s="399"/>
      <c r="AN422" s="399">
        <v>0.15130493978178694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1.6804657278565207</v>
      </c>
      <c r="BH422" s="399">
        <v>0</v>
      </c>
      <c r="BI422" s="399">
        <v>0</v>
      </c>
      <c r="BJ422" s="399">
        <v>0</v>
      </c>
      <c r="BK422" s="399">
        <v>0</v>
      </c>
      <c r="BL422" s="399">
        <v>0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16.700335385427064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110.46899999999999</v>
      </c>
      <c r="CJ422" s="399">
        <v>-7.2016400000000118</v>
      </c>
      <c r="CK422" s="399"/>
      <c r="CL422" s="399"/>
      <c r="CM422" s="399"/>
      <c r="CN422" s="399"/>
      <c r="CO422" s="399">
        <v>-3.3602400000000059</v>
      </c>
      <c r="CP422" s="399">
        <v>0.60736000000000034</v>
      </c>
      <c r="CQ422" s="399">
        <v>31</v>
      </c>
      <c r="CR422" s="399">
        <v>0.46545560915384954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0.91923833789944354</v>
      </c>
      <c r="DA422" s="399">
        <v>0</v>
      </c>
      <c r="DB422" s="399">
        <v>0</v>
      </c>
      <c r="DC422" s="399">
        <v>0.60733840942736173</v>
      </c>
      <c r="DD422" s="399">
        <v>0</v>
      </c>
      <c r="DE422" s="399">
        <v>0</v>
      </c>
      <c r="DF422" s="399">
        <v>0</v>
      </c>
      <c r="DG422" s="399">
        <v>6.7950748276902395E-2</v>
      </c>
      <c r="DH422" s="399">
        <v>0</v>
      </c>
      <c r="DI422" s="399">
        <v>-0.98104243346437059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-0.12976955961617953</v>
      </c>
      <c r="DP422" s="399">
        <v>-1.825989336931344E-2</v>
      </c>
      <c r="DQ422" s="399">
        <v>0</v>
      </c>
      <c r="DR422" s="399">
        <v>0</v>
      </c>
      <c r="DS422" s="399"/>
      <c r="DT422" s="399"/>
      <c r="DU422" s="399"/>
      <c r="DV422" s="399">
        <v>71.452949401947137</v>
      </c>
      <c r="DW422" s="399">
        <v>0</v>
      </c>
      <c r="DX422" s="399">
        <v>0</v>
      </c>
      <c r="DY422" s="399">
        <v>-3.3602400000000046</v>
      </c>
      <c r="DZ422" s="399">
        <v>0.60736000000000168</v>
      </c>
      <c r="EA422" s="399">
        <v>0</v>
      </c>
      <c r="EB422" s="399">
        <v>0</v>
      </c>
      <c r="EC422" s="399">
        <v>-3.2180429527902135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225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421</v>
      </c>
      <c r="B423" s="399" t="s">
        <v>957</v>
      </c>
      <c r="C423" s="399" t="s">
        <v>2357</v>
      </c>
      <c r="D423" s="399" t="s">
        <v>2369</v>
      </c>
      <c r="E423" s="399" t="s">
        <v>895</v>
      </c>
      <c r="F423" s="399" t="s">
        <v>1240</v>
      </c>
      <c r="G423" s="399" t="s">
        <v>1240</v>
      </c>
      <c r="H423" s="399" t="s">
        <v>1240</v>
      </c>
      <c r="I423" s="399" t="s">
        <v>1240</v>
      </c>
      <c r="J423" s="399" t="s">
        <v>2358</v>
      </c>
      <c r="K423" s="789">
        <v>44682</v>
      </c>
      <c r="L423" s="399">
        <v>0</v>
      </c>
      <c r="M423" s="399">
        <v>0</v>
      </c>
      <c r="N423" s="399">
        <v>212.1</v>
      </c>
      <c r="O423" s="399">
        <v>212.1</v>
      </c>
      <c r="P423" s="399">
        <v>212.1</v>
      </c>
      <c r="Q423" s="399">
        <v>212.1</v>
      </c>
      <c r="R423" s="399"/>
      <c r="S423" s="399">
        <v>522.37</v>
      </c>
      <c r="T423" s="399">
        <v>144.41999999999999</v>
      </c>
      <c r="U423" s="399"/>
      <c r="V423" s="399">
        <v>141426.15899999999</v>
      </c>
      <c r="W423" s="399">
        <v>141426.15899999999</v>
      </c>
      <c r="X423" s="399">
        <v>138234.054</v>
      </c>
      <c r="Y423" s="399">
        <v>0</v>
      </c>
      <c r="Z423" s="399">
        <v>13023.146889779662</v>
      </c>
      <c r="AA423" s="399">
        <v>0</v>
      </c>
      <c r="AB423" s="399">
        <v>0</v>
      </c>
      <c r="AC423" s="399">
        <v>0</v>
      </c>
      <c r="AD423" s="399">
        <v>21626.49089900641</v>
      </c>
      <c r="AE423" s="399">
        <v>70397.521023009482</v>
      </c>
      <c r="AF423" s="399">
        <v>30631.868792026078</v>
      </c>
      <c r="AG423" s="399">
        <v>0</v>
      </c>
      <c r="AH423" s="399">
        <v>0</v>
      </c>
      <c r="AI423" s="399">
        <v>0</v>
      </c>
      <c r="AJ423" s="399">
        <v>0</v>
      </c>
      <c r="AK423" s="399">
        <v>0</v>
      </c>
      <c r="AL423" s="399">
        <v>2011.292473995728</v>
      </c>
      <c r="AM423" s="399"/>
      <c r="AN423" s="399">
        <v>308.57478584343284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3427.1805853689234</v>
      </c>
      <c r="BH423" s="399">
        <v>0</v>
      </c>
      <c r="BI423" s="399">
        <v>3.88</v>
      </c>
      <c r="BJ423" s="399">
        <v>18.13</v>
      </c>
      <c r="BK423" s="399">
        <v>21466.27</v>
      </c>
      <c r="BL423" s="399">
        <v>756</v>
      </c>
      <c r="BM423" s="399"/>
      <c r="BN423" s="399"/>
      <c r="BO423" s="399"/>
      <c r="BP423" s="399"/>
      <c r="BQ423" s="399"/>
      <c r="BR423" s="399">
        <v>16586.22</v>
      </c>
      <c r="BS423" s="399"/>
      <c r="BT423" s="399"/>
      <c r="BU423" s="399"/>
      <c r="BV423" s="399">
        <v>34059.049377395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121647.83399999999</v>
      </c>
      <c r="CJ423" s="399">
        <v>-2806.1129999999976</v>
      </c>
      <c r="CK423" s="399"/>
      <c r="CL423" s="399"/>
      <c r="CM423" s="399"/>
      <c r="CN423" s="399"/>
      <c r="CO423" s="399">
        <v>-4430.7689999999966</v>
      </c>
      <c r="CP423" s="399">
        <v>1238.6640000000007</v>
      </c>
      <c r="CQ423" s="399">
        <v>31</v>
      </c>
      <c r="CR423" s="399">
        <v>-20.35709403490182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905.09787487799258</v>
      </c>
      <c r="DA423" s="399">
        <v>0</v>
      </c>
      <c r="DB423" s="399">
        <v>0</v>
      </c>
      <c r="DC423" s="399">
        <v>1238.6199676879187</v>
      </c>
      <c r="DD423" s="399">
        <v>0</v>
      </c>
      <c r="DE423" s="399">
        <v>0</v>
      </c>
      <c r="DF423" s="399">
        <v>0</v>
      </c>
      <c r="DG423" s="399">
        <v>138.58032413010596</v>
      </c>
      <c r="DH423" s="399">
        <v>0</v>
      </c>
      <c r="DI423" s="399">
        <v>-2000.7605782480114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-264.65503456338138</v>
      </c>
      <c r="DP423" s="399">
        <v>-37.239647919532558</v>
      </c>
      <c r="DQ423" s="399">
        <v>0</v>
      </c>
      <c r="DR423" s="399">
        <v>0</v>
      </c>
      <c r="DS423" s="399"/>
      <c r="DT423" s="399"/>
      <c r="DU423" s="399"/>
      <c r="DV423" s="399">
        <v>70397.521023009482</v>
      </c>
      <c r="DW423" s="399">
        <v>0</v>
      </c>
      <c r="DX423" s="399">
        <v>0</v>
      </c>
      <c r="DY423" s="399">
        <v>-4430.7690000000002</v>
      </c>
      <c r="DZ423" s="399">
        <v>1238.6640000000007</v>
      </c>
      <c r="EA423" s="399">
        <v>0</v>
      </c>
      <c r="EB423" s="399">
        <v>0</v>
      </c>
      <c r="EC423" s="399">
        <v>-3170.5093816017034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0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225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422</v>
      </c>
      <c r="B424" s="399" t="s">
        <v>2359</v>
      </c>
      <c r="C424" s="399" t="s">
        <v>2357</v>
      </c>
      <c r="D424" s="399" t="s">
        <v>2369</v>
      </c>
      <c r="E424" s="399" t="s">
        <v>895</v>
      </c>
      <c r="F424" s="399" t="s">
        <v>1240</v>
      </c>
      <c r="G424" s="399" t="s">
        <v>1240</v>
      </c>
      <c r="H424" s="399" t="s">
        <v>1240</v>
      </c>
      <c r="I424" s="399" t="s">
        <v>1240</v>
      </c>
      <c r="J424" s="399" t="s">
        <v>2358</v>
      </c>
      <c r="K424" s="789">
        <v>44682</v>
      </c>
      <c r="L424" s="399">
        <v>0</v>
      </c>
      <c r="M424" s="399">
        <v>0</v>
      </c>
      <c r="N424" s="399">
        <v>-0.55500000000000005</v>
      </c>
      <c r="O424" s="399">
        <v>-0.55500000000000005</v>
      </c>
      <c r="P424" s="399">
        <v>-0.55500000000000005</v>
      </c>
      <c r="Q424" s="399">
        <v>-0.55500000000000005</v>
      </c>
      <c r="R424" s="399"/>
      <c r="S424" s="399">
        <v>522.37</v>
      </c>
      <c r="T424" s="399">
        <v>144.41999999999999</v>
      </c>
      <c r="U424" s="399"/>
      <c r="V424" s="399">
        <v>-370.06845000000004</v>
      </c>
      <c r="W424" s="399">
        <v>-370.06845000000004</v>
      </c>
      <c r="X424" s="399">
        <v>-361.71570000000003</v>
      </c>
      <c r="Y424" s="399">
        <v>0</v>
      </c>
      <c r="Z424" s="399">
        <v>-34.077541366467294</v>
      </c>
      <c r="AA424" s="399">
        <v>0</v>
      </c>
      <c r="AB424" s="399">
        <v>0</v>
      </c>
      <c r="AC424" s="399">
        <v>0</v>
      </c>
      <c r="AD424" s="399">
        <v>-56.589827670667418</v>
      </c>
      <c r="AE424" s="399">
        <v>-184.20850621296682</v>
      </c>
      <c r="AF424" s="399">
        <v>-80.154112114919727</v>
      </c>
      <c r="AG424" s="399">
        <v>0</v>
      </c>
      <c r="AH424" s="399">
        <v>0</v>
      </c>
      <c r="AI424" s="399">
        <v>0</v>
      </c>
      <c r="AJ424" s="399">
        <v>0</v>
      </c>
      <c r="AK424" s="399">
        <v>0</v>
      </c>
      <c r="AL424" s="399">
        <v>-5.2629293874004199</v>
      </c>
      <c r="AM424" s="399"/>
      <c r="AN424" s="399">
        <v>-0.80744463056626703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-8.9678699900035497</v>
      </c>
      <c r="BH424" s="399">
        <v>0</v>
      </c>
      <c r="BI424" s="399">
        <v>0</v>
      </c>
      <c r="BJ424" s="399">
        <v>0</v>
      </c>
      <c r="BK424" s="399">
        <v>-71.08</v>
      </c>
      <c r="BL424" s="399">
        <v>0</v>
      </c>
      <c r="BM424" s="399"/>
      <c r="BN424" s="399"/>
      <c r="BO424" s="399"/>
      <c r="BP424" s="399"/>
      <c r="BQ424" s="399"/>
      <c r="BR424" s="399">
        <v>-43.40100000000001</v>
      </c>
      <c r="BS424" s="399"/>
      <c r="BT424" s="399"/>
      <c r="BU424" s="399"/>
      <c r="BV424" s="399">
        <v>-89.121982104923276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-321.18240000000003</v>
      </c>
      <c r="CJ424" s="399">
        <v>4.4449500000000626</v>
      </c>
      <c r="CK424" s="399"/>
      <c r="CL424" s="399"/>
      <c r="CM424" s="399"/>
      <c r="CN424" s="399"/>
      <c r="CO424" s="399">
        <v>11.593949999999994</v>
      </c>
      <c r="CP424" s="399">
        <v>-3.2412000000000023</v>
      </c>
      <c r="CQ424" s="399">
        <v>31</v>
      </c>
      <c r="CR424" s="399">
        <v>5.3268209285079138E-2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-2.3683607758476413</v>
      </c>
      <c r="DA424" s="399">
        <v>0</v>
      </c>
      <c r="DB424" s="399">
        <v>0</v>
      </c>
      <c r="DC424" s="399">
        <v>-3.2410847810787118</v>
      </c>
      <c r="DD424" s="399">
        <v>0</v>
      </c>
      <c r="DE424" s="399">
        <v>0</v>
      </c>
      <c r="DF424" s="399">
        <v>0</v>
      </c>
      <c r="DG424" s="399">
        <v>-0.36262178167000769</v>
      </c>
      <c r="DH424" s="399">
        <v>0</v>
      </c>
      <c r="DI424" s="399">
        <v>5.2353706785839051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0.69252024602864992</v>
      </c>
      <c r="DP424" s="399">
        <v>9.7444623268932329E-2</v>
      </c>
      <c r="DQ424" s="399">
        <v>0</v>
      </c>
      <c r="DR424" s="399">
        <v>0</v>
      </c>
      <c r="DS424" s="399"/>
      <c r="DT424" s="399"/>
      <c r="DU424" s="399"/>
      <c r="DV424" s="399">
        <v>-184.20850621296682</v>
      </c>
      <c r="DW424" s="399">
        <v>0</v>
      </c>
      <c r="DX424" s="399">
        <v>0</v>
      </c>
      <c r="DY424" s="399">
        <v>11.593950000000007</v>
      </c>
      <c r="DZ424" s="399">
        <v>-3.2412000000000063</v>
      </c>
      <c r="EA424" s="399">
        <v>0</v>
      </c>
      <c r="EB424" s="399">
        <v>0</v>
      </c>
      <c r="EC424" s="399">
        <v>8.2962409561006325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225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423</v>
      </c>
      <c r="B425" s="399" t="s">
        <v>2360</v>
      </c>
      <c r="C425" s="399" t="s">
        <v>2357</v>
      </c>
      <c r="D425" s="399" t="s">
        <v>2369</v>
      </c>
      <c r="E425" s="399" t="s">
        <v>895</v>
      </c>
      <c r="F425" s="399" t="s">
        <v>1240</v>
      </c>
      <c r="G425" s="399" t="s">
        <v>1240</v>
      </c>
      <c r="H425" s="399" t="s">
        <v>1240</v>
      </c>
      <c r="I425" s="399" t="s">
        <v>1240</v>
      </c>
      <c r="J425" s="399" t="s">
        <v>2358</v>
      </c>
      <c r="K425" s="789">
        <v>44682</v>
      </c>
      <c r="L425" s="399">
        <v>0</v>
      </c>
      <c r="M425" s="399">
        <v>0</v>
      </c>
      <c r="N425" s="399">
        <v>3.8839999999999999</v>
      </c>
      <c r="O425" s="399">
        <v>3.8839999999999999</v>
      </c>
      <c r="P425" s="399">
        <v>3.8839999999999999</v>
      </c>
      <c r="Q425" s="399">
        <v>3.8839999999999999</v>
      </c>
      <c r="R425" s="399"/>
      <c r="S425" s="399">
        <v>522.37</v>
      </c>
      <c r="T425" s="399">
        <v>144.41999999999999</v>
      </c>
      <c r="U425" s="399"/>
      <c r="V425" s="399">
        <v>2589.8123599999999</v>
      </c>
      <c r="W425" s="399">
        <v>2589.8123599999999</v>
      </c>
      <c r="X425" s="399">
        <v>2531.3581599999998</v>
      </c>
      <c r="Y425" s="399">
        <v>0</v>
      </c>
      <c r="Z425" s="399">
        <v>238.48138858983594</v>
      </c>
      <c r="AA425" s="399">
        <v>0</v>
      </c>
      <c r="AB425" s="399">
        <v>0</v>
      </c>
      <c r="AC425" s="399">
        <v>0</v>
      </c>
      <c r="AD425" s="399">
        <v>396.02683004121121</v>
      </c>
      <c r="AE425" s="399">
        <v>1289.1276362723659</v>
      </c>
      <c r="AF425" s="399">
        <v>560.93436298080758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36.831022956149965</v>
      </c>
      <c r="AM425" s="399"/>
      <c r="AN425" s="399">
        <v>5.6506575587736592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62.758931605718523</v>
      </c>
      <c r="BH425" s="399">
        <v>0</v>
      </c>
      <c r="BI425" s="399">
        <v>0</v>
      </c>
      <c r="BJ425" s="399">
        <v>0</v>
      </c>
      <c r="BK425" s="399">
        <v>1098.95</v>
      </c>
      <c r="BL425" s="399">
        <v>12</v>
      </c>
      <c r="BM425" s="399"/>
      <c r="BN425" s="399"/>
      <c r="BO425" s="399"/>
      <c r="BP425" s="399"/>
      <c r="BQ425" s="399"/>
      <c r="BR425" s="399">
        <v>303.72880000000004</v>
      </c>
      <c r="BS425" s="399"/>
      <c r="BT425" s="399"/>
      <c r="BU425" s="399"/>
      <c r="BV425" s="399">
        <v>623.69329458652612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2225.3352</v>
      </c>
      <c r="CJ425" s="399">
        <v>-53.70948000000044</v>
      </c>
      <c r="CK425" s="399"/>
      <c r="CL425" s="399"/>
      <c r="CM425" s="399"/>
      <c r="CN425" s="399"/>
      <c r="CO425" s="399">
        <v>-81.136759999999938</v>
      </c>
      <c r="CP425" s="399">
        <v>22.682560000000013</v>
      </c>
      <c r="CQ425" s="399">
        <v>31</v>
      </c>
      <c r="CR425" s="399">
        <v>-0.37278148624068308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16.574258114220243</v>
      </c>
      <c r="DA425" s="399">
        <v>0</v>
      </c>
      <c r="DB425" s="399">
        <v>0</v>
      </c>
      <c r="DC425" s="399">
        <v>22.681753675152663</v>
      </c>
      <c r="DD425" s="399">
        <v>0</v>
      </c>
      <c r="DE425" s="399">
        <v>0</v>
      </c>
      <c r="DF425" s="399">
        <v>0</v>
      </c>
      <c r="DG425" s="399">
        <v>2.5376990991104762</v>
      </c>
      <c r="DH425" s="399">
        <v>0</v>
      </c>
      <c r="DI425" s="399">
        <v>-36.63816164976555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-4.846393937973474</v>
      </c>
      <c r="DP425" s="399">
        <v>-0.68193678698474436</v>
      </c>
      <c r="DQ425" s="399">
        <v>0</v>
      </c>
      <c r="DR425" s="399">
        <v>0</v>
      </c>
      <c r="DS425" s="399"/>
      <c r="DT425" s="399"/>
      <c r="DU425" s="399"/>
      <c r="DV425" s="399">
        <v>1289.1276362723659</v>
      </c>
      <c r="DW425" s="399">
        <v>0</v>
      </c>
      <c r="DX425" s="399">
        <v>0</v>
      </c>
      <c r="DY425" s="399">
        <v>-81.136760000000095</v>
      </c>
      <c r="DZ425" s="399">
        <v>22.68256000000008</v>
      </c>
      <c r="EA425" s="399">
        <v>0</v>
      </c>
      <c r="EB425" s="399">
        <v>0</v>
      </c>
      <c r="EC425" s="399">
        <v>-58.058738510801504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225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424</v>
      </c>
      <c r="B426" s="399" t="s">
        <v>957</v>
      </c>
      <c r="C426" s="399" t="s">
        <v>2366</v>
      </c>
      <c r="D426" s="399" t="s">
        <v>534</v>
      </c>
      <c r="E426" s="399" t="s">
        <v>895</v>
      </c>
      <c r="F426" s="399" t="s">
        <v>1240</v>
      </c>
      <c r="G426" s="399" t="s">
        <v>1240</v>
      </c>
      <c r="H426" s="399" t="s">
        <v>1240</v>
      </c>
      <c r="I426" s="399" t="s">
        <v>2328</v>
      </c>
      <c r="J426" s="399" t="s">
        <v>2358</v>
      </c>
      <c r="K426" s="789">
        <v>44682</v>
      </c>
      <c r="L426" s="399">
        <v>0</v>
      </c>
      <c r="M426" s="399">
        <v>0</v>
      </c>
      <c r="N426" s="399">
        <v>34.738999999999997</v>
      </c>
      <c r="O426" s="399">
        <v>33.349439999999994</v>
      </c>
      <c r="P426" s="399">
        <v>34.738999999999997</v>
      </c>
      <c r="Q426" s="399">
        <v>33.349439999999994</v>
      </c>
      <c r="R426" s="399"/>
      <c r="S426" s="399">
        <v>69.64</v>
      </c>
      <c r="T426" s="399">
        <v>144.41999999999999</v>
      </c>
      <c r="U426" s="399"/>
      <c r="V426" s="399">
        <v>7436.2303399999983</v>
      </c>
      <c r="W426" s="399">
        <v>7436.2303399999983</v>
      </c>
      <c r="X426" s="399">
        <v>7317.4229599999999</v>
      </c>
      <c r="Y426" s="399">
        <v>0</v>
      </c>
      <c r="Z426" s="399">
        <v>1855.7173825060277</v>
      </c>
      <c r="AA426" s="399">
        <v>0</v>
      </c>
      <c r="AB426" s="399">
        <v>0</v>
      </c>
      <c r="AC426" s="399">
        <v>0</v>
      </c>
      <c r="AD426" s="399">
        <v>0</v>
      </c>
      <c r="AE426" s="399">
        <v>0</v>
      </c>
      <c r="AF426" s="399">
        <v>5017.0697310994519</v>
      </c>
      <c r="AG426" s="399">
        <v>0</v>
      </c>
      <c r="AH426" s="399">
        <v>0</v>
      </c>
      <c r="AI426" s="399">
        <v>0</v>
      </c>
      <c r="AJ426" s="399">
        <v>0</v>
      </c>
      <c r="AK426" s="399">
        <v>0</v>
      </c>
      <c r="AL426" s="399">
        <v>329.42144862865433</v>
      </c>
      <c r="AM426" s="399"/>
      <c r="AN426" s="399">
        <v>17.28908628265448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216.72280861146854</v>
      </c>
      <c r="BH426" s="399">
        <v>0</v>
      </c>
      <c r="BI426" s="399">
        <v>0</v>
      </c>
      <c r="BJ426" s="399">
        <v>0</v>
      </c>
      <c r="BK426" s="399">
        <v>0</v>
      </c>
      <c r="BL426" s="399">
        <v>0</v>
      </c>
      <c r="BM426" s="399"/>
      <c r="BN426" s="399"/>
      <c r="BO426" s="399"/>
      <c r="BP426" s="399"/>
      <c r="BQ426" s="399"/>
      <c r="BR426" s="399">
        <v>292.69691840000064</v>
      </c>
      <c r="BS426" s="399"/>
      <c r="BT426" s="399"/>
      <c r="BU426" s="399"/>
      <c r="BV426" s="399">
        <v>5233.7925397109202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7024.844000000001</v>
      </c>
      <c r="CJ426" s="399">
        <v>-113.96712639999896</v>
      </c>
      <c r="CK426" s="399"/>
      <c r="CL426" s="399"/>
      <c r="CM426" s="399"/>
      <c r="CN426" s="399"/>
      <c r="CO426" s="399">
        <v>-321.68313999999992</v>
      </c>
      <c r="CP426" s="399">
        <v>202.8757600000001</v>
      </c>
      <c r="CQ426" s="399">
        <v>31</v>
      </c>
      <c r="CR426" s="399">
        <v>-118.89732223232568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0</v>
      </c>
      <c r="DA426" s="399">
        <v>0</v>
      </c>
      <c r="DB426" s="399">
        <v>0</v>
      </c>
      <c r="DC426" s="399">
        <v>202.86854812593447</v>
      </c>
      <c r="DD426" s="399">
        <v>0</v>
      </c>
      <c r="DE426" s="399">
        <v>0</v>
      </c>
      <c r="DF426" s="399">
        <v>0</v>
      </c>
      <c r="DG426" s="399">
        <v>8.7633307658137483</v>
      </c>
      <c r="DH426" s="399">
        <v>0</v>
      </c>
      <c r="DI426" s="399">
        <v>-285.09593070791561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-43.346776264485129</v>
      </c>
      <c r="DP426" s="399">
        <v>-2.086494151674346</v>
      </c>
      <c r="DQ426" s="399">
        <v>0</v>
      </c>
      <c r="DR426" s="399">
        <v>0</v>
      </c>
      <c r="DS426" s="399"/>
      <c r="DT426" s="399"/>
      <c r="DU426" s="399"/>
      <c r="DV426" s="399">
        <v>0</v>
      </c>
      <c r="DW426" s="399">
        <v>0</v>
      </c>
      <c r="DX426" s="399">
        <v>0</v>
      </c>
      <c r="DY426" s="399">
        <v>-321.68314000000009</v>
      </c>
      <c r="DZ426" s="399">
        <v>202.87576000000081</v>
      </c>
      <c r="EA426" s="399">
        <v>0</v>
      </c>
      <c r="EB426" s="399">
        <v>0</v>
      </c>
      <c r="EC426" s="399">
        <v>0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225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425</v>
      </c>
      <c r="B427" s="399" t="s">
        <v>957</v>
      </c>
      <c r="C427" s="399" t="s">
        <v>2366</v>
      </c>
      <c r="D427" s="399" t="s">
        <v>534</v>
      </c>
      <c r="E427" s="399" t="s">
        <v>895</v>
      </c>
      <c r="F427" s="399" t="s">
        <v>1240</v>
      </c>
      <c r="G427" s="399" t="s">
        <v>1240</v>
      </c>
      <c r="H427" s="399" t="s">
        <v>1240</v>
      </c>
      <c r="I427" s="399" t="s">
        <v>1240</v>
      </c>
      <c r="J427" s="399" t="s">
        <v>2358</v>
      </c>
      <c r="K427" s="789">
        <v>44682</v>
      </c>
      <c r="L427" s="399">
        <v>170</v>
      </c>
      <c r="M427" s="399">
        <v>163.19999999999999</v>
      </c>
      <c r="N427" s="399">
        <v>0</v>
      </c>
      <c r="O427" s="399">
        <v>0</v>
      </c>
      <c r="P427" s="399">
        <v>0</v>
      </c>
      <c r="Q427" s="399">
        <v>0</v>
      </c>
      <c r="R427" s="399">
        <v>34.950000000000003</v>
      </c>
      <c r="S427" s="399"/>
      <c r="T427" s="399"/>
      <c r="U427" s="399">
        <v>5941.5000000000009</v>
      </c>
      <c r="V427" s="399"/>
      <c r="W427" s="399">
        <v>5941.5000000000009</v>
      </c>
      <c r="X427" s="399">
        <v>5861.5999999999995</v>
      </c>
      <c r="Y427" s="399">
        <v>0</v>
      </c>
      <c r="Z427" s="399">
        <v>0</v>
      </c>
      <c r="AA427" s="399">
        <v>0</v>
      </c>
      <c r="AB427" s="399">
        <v>0</v>
      </c>
      <c r="AC427" s="399">
        <v>0</v>
      </c>
      <c r="AD427" s="399">
        <v>2153.8625169442898</v>
      </c>
      <c r="AE427" s="399">
        <v>3788.4173587408613</v>
      </c>
      <c r="AF427" s="399"/>
      <c r="AG427" s="399"/>
      <c r="AH427" s="399"/>
      <c r="AI427" s="399">
        <v>0</v>
      </c>
      <c r="AJ427" s="399">
        <v>0</v>
      </c>
      <c r="AK427" s="399">
        <v>0</v>
      </c>
      <c r="AL427" s="399">
        <v>0</v>
      </c>
      <c r="AM427" s="399"/>
      <c r="AN427" s="399">
        <v>0</v>
      </c>
      <c r="AO427" s="399">
        <v>0</v>
      </c>
      <c r="AP427" s="399">
        <v>0</v>
      </c>
      <c r="AQ427" s="399">
        <v>0</v>
      </c>
      <c r="AR427" s="399">
        <v>0</v>
      </c>
      <c r="AS427" s="399"/>
      <c r="AT427" s="399"/>
      <c r="AU427" s="399">
        <v>0</v>
      </c>
      <c r="AV427" s="399">
        <v>0</v>
      </c>
      <c r="AW427" s="399">
        <v>0</v>
      </c>
      <c r="AX427" s="399"/>
      <c r="AY427" s="399"/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/>
      <c r="BG427" s="399">
        <v>0</v>
      </c>
      <c r="BH427" s="399">
        <v>0</v>
      </c>
      <c r="BI427" s="399">
        <v>0</v>
      </c>
      <c r="BJ427" s="399">
        <v>0</v>
      </c>
      <c r="BK427" s="399">
        <v>4674.6000000000004</v>
      </c>
      <c r="BL427" s="399">
        <v>1</v>
      </c>
      <c r="BM427" s="399"/>
      <c r="BN427" s="399"/>
      <c r="BO427" s="399"/>
      <c r="BP427" s="399"/>
      <c r="BQ427" s="399"/>
      <c r="BR427" s="399">
        <v>234.46400000000037</v>
      </c>
      <c r="BS427" s="399"/>
      <c r="BT427" s="399"/>
      <c r="BU427" s="399"/>
      <c r="BV427" s="399">
        <v>0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5627.1359999999995</v>
      </c>
      <c r="CJ427" s="399">
        <v>-76.734000000001288</v>
      </c>
      <c r="CK427" s="399"/>
      <c r="CL427" s="399"/>
      <c r="CM427" s="399"/>
      <c r="CN427" s="399"/>
      <c r="CO427" s="399">
        <v>-79.900000000001015</v>
      </c>
      <c r="CP427" s="399">
        <v>0</v>
      </c>
      <c r="CQ427" s="399">
        <v>31</v>
      </c>
      <c r="CR427" s="399">
        <v>90.142057533469142</v>
      </c>
      <c r="CS427" s="399">
        <v>0</v>
      </c>
      <c r="CT427" s="399">
        <v>0</v>
      </c>
      <c r="CU427" s="399">
        <v>0</v>
      </c>
      <c r="CV427" s="399">
        <v>0</v>
      </c>
      <c r="CW427" s="399"/>
      <c r="CX427" s="399"/>
      <c r="CY427" s="399"/>
      <c r="CZ427" s="399">
        <v>90.142057533469142</v>
      </c>
      <c r="DA427" s="399">
        <v>0</v>
      </c>
      <c r="DB427" s="399">
        <v>0</v>
      </c>
      <c r="DC427" s="399"/>
      <c r="DD427" s="399"/>
      <c r="DE427" s="399">
        <v>0</v>
      </c>
      <c r="DF427" s="399">
        <v>0</v>
      </c>
      <c r="DG427" s="399">
        <v>0</v>
      </c>
      <c r="DH427" s="399">
        <v>0</v>
      </c>
      <c r="DI427" s="399">
        <v>0</v>
      </c>
      <c r="DJ427" s="399"/>
      <c r="DK427" s="399">
        <v>0</v>
      </c>
      <c r="DL427" s="399">
        <v>0</v>
      </c>
      <c r="DM427" s="399"/>
      <c r="DN427" s="399">
        <v>0</v>
      </c>
      <c r="DO427" s="399">
        <v>0</v>
      </c>
      <c r="DP427" s="399">
        <v>0</v>
      </c>
      <c r="DQ427" s="399">
        <v>0</v>
      </c>
      <c r="DR427" s="399">
        <v>0</v>
      </c>
      <c r="DS427" s="399"/>
      <c r="DT427" s="399"/>
      <c r="DU427" s="399">
        <v>3788.4173587408613</v>
      </c>
      <c r="DV427" s="399"/>
      <c r="DW427" s="399">
        <v>0</v>
      </c>
      <c r="DX427" s="399">
        <v>0</v>
      </c>
      <c r="DY427" s="399">
        <v>-79.900000000001455</v>
      </c>
      <c r="DZ427" s="399"/>
      <c r="EA427" s="399">
        <v>0</v>
      </c>
      <c r="EB427" s="399"/>
      <c r="EC427" s="399">
        <v>-170.619825851315</v>
      </c>
      <c r="ED427" s="399"/>
      <c r="EE427" s="399">
        <v>0</v>
      </c>
      <c r="EF427" s="399">
        <v>0</v>
      </c>
      <c r="EG427" s="399"/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/>
      <c r="EN427" s="399"/>
      <c r="EO427" s="399">
        <v>0</v>
      </c>
      <c r="EP427" s="399">
        <v>0</v>
      </c>
      <c r="EQ427" s="399"/>
      <c r="ER427" s="399">
        <v>0</v>
      </c>
      <c r="ES427" s="399"/>
      <c r="ET427" s="399">
        <v>0</v>
      </c>
      <c r="EU427" s="399"/>
      <c r="EV427" s="399">
        <v>225</v>
      </c>
      <c r="EW427" s="399"/>
      <c r="EX427" s="399"/>
      <c r="EY427" s="399"/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426</v>
      </c>
      <c r="B428" s="399" t="s">
        <v>957</v>
      </c>
      <c r="C428" s="399" t="s">
        <v>2357</v>
      </c>
      <c r="D428" s="399" t="s">
        <v>1826</v>
      </c>
      <c r="E428" s="399" t="s">
        <v>2370</v>
      </c>
      <c r="F428" s="399" t="s">
        <v>1240</v>
      </c>
      <c r="G428" s="399" t="s">
        <v>1240</v>
      </c>
      <c r="H428" s="399" t="s">
        <v>1240</v>
      </c>
      <c r="I428" s="399" t="s">
        <v>1240</v>
      </c>
      <c r="J428" s="399" t="s">
        <v>2358</v>
      </c>
      <c r="K428" s="789">
        <v>44682</v>
      </c>
      <c r="L428" s="399">
        <v>0</v>
      </c>
      <c r="M428" s="399">
        <v>0</v>
      </c>
      <c r="N428" s="399">
        <v>69.819000000000003</v>
      </c>
      <c r="O428" s="399">
        <v>69.819000000000003</v>
      </c>
      <c r="P428" s="399">
        <v>69.819000000000003</v>
      </c>
      <c r="Q428" s="399">
        <v>69.819000000000003</v>
      </c>
      <c r="R428" s="399"/>
      <c r="S428" s="399">
        <v>522.37</v>
      </c>
      <c r="T428" s="399">
        <v>144.41999999999999</v>
      </c>
      <c r="U428" s="399"/>
      <c r="V428" s="399">
        <v>46554.611010000008</v>
      </c>
      <c r="W428" s="399">
        <v>46554.611010000008</v>
      </c>
      <c r="X428" s="399">
        <v>45503.835059999998</v>
      </c>
      <c r="Y428" s="399">
        <v>0</v>
      </c>
      <c r="Z428" s="399">
        <v>4286.9547039015852</v>
      </c>
      <c r="AA428" s="399">
        <v>0</v>
      </c>
      <c r="AB428" s="399">
        <v>0</v>
      </c>
      <c r="AC428" s="399">
        <v>0</v>
      </c>
      <c r="AD428" s="399">
        <v>7119.0003209699607</v>
      </c>
      <c r="AE428" s="399">
        <v>23173.430081591225</v>
      </c>
      <c r="AF428" s="399">
        <v>10083.387304056901</v>
      </c>
      <c r="AG428" s="399">
        <v>0</v>
      </c>
      <c r="AH428" s="399">
        <v>0</v>
      </c>
      <c r="AI428" s="399">
        <v>0</v>
      </c>
      <c r="AJ428" s="399">
        <v>0</v>
      </c>
      <c r="AK428" s="399">
        <v>0</v>
      </c>
      <c r="AL428" s="399">
        <v>662.0765169349728</v>
      </c>
      <c r="AM428" s="399"/>
      <c r="AN428" s="399">
        <v>101.57653452523638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1128.1580447424465</v>
      </c>
      <c r="BH428" s="399">
        <v>0</v>
      </c>
      <c r="BI428" s="399">
        <v>273.39999999999998</v>
      </c>
      <c r="BJ428" s="399">
        <v>1264.9000000000001</v>
      </c>
      <c r="BK428" s="399">
        <v>11102.68</v>
      </c>
      <c r="BL428" s="399">
        <v>128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11211.545348799347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45504.486799999999</v>
      </c>
      <c r="CJ428" s="399">
        <v>-1050.1542100000152</v>
      </c>
      <c r="CK428" s="399"/>
      <c r="CL428" s="399"/>
      <c r="CM428" s="399"/>
      <c r="CN428" s="399"/>
      <c r="CO428" s="399">
        <v>-1458.5189099999991</v>
      </c>
      <c r="CP428" s="399">
        <v>407.74296000000027</v>
      </c>
      <c r="CQ428" s="399">
        <v>31</v>
      </c>
      <c r="CR428" s="399">
        <v>-6.7011407280697313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297.93978560163305</v>
      </c>
      <c r="DA428" s="399">
        <v>0</v>
      </c>
      <c r="DB428" s="399">
        <v>0</v>
      </c>
      <c r="DC428" s="399">
        <v>407.72846545970242</v>
      </c>
      <c r="DD428" s="399">
        <v>0</v>
      </c>
      <c r="DE428" s="399">
        <v>0</v>
      </c>
      <c r="DF428" s="399">
        <v>0</v>
      </c>
      <c r="DG428" s="399">
        <v>45.617820134086969</v>
      </c>
      <c r="DH428" s="399">
        <v>0</v>
      </c>
      <c r="DI428" s="399">
        <v>-658.60963136585497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-87.11904695040414</v>
      </c>
      <c r="DP428" s="399">
        <v>-12.258533607231684</v>
      </c>
      <c r="DQ428" s="399">
        <v>0</v>
      </c>
      <c r="DR428" s="399">
        <v>0</v>
      </c>
      <c r="DS428" s="399"/>
      <c r="DT428" s="399"/>
      <c r="DU428" s="399"/>
      <c r="DV428" s="399">
        <v>23173.430081591225</v>
      </c>
      <c r="DW428" s="399">
        <v>0</v>
      </c>
      <c r="DX428" s="399">
        <v>0</v>
      </c>
      <c r="DY428" s="399">
        <v>-1458.5189100000061</v>
      </c>
      <c r="DZ428" s="399">
        <v>407.7429600000014</v>
      </c>
      <c r="EA428" s="399">
        <v>0</v>
      </c>
      <c r="EB428" s="399">
        <v>0</v>
      </c>
      <c r="EC428" s="399">
        <v>-1043.6671122774569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225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427</v>
      </c>
      <c r="B429" s="399" t="s">
        <v>2360</v>
      </c>
      <c r="C429" s="399" t="s">
        <v>2357</v>
      </c>
      <c r="D429" s="399" t="s">
        <v>1826</v>
      </c>
      <c r="E429" s="399" t="s">
        <v>2370</v>
      </c>
      <c r="F429" s="399" t="s">
        <v>1240</v>
      </c>
      <c r="G429" s="399" t="s">
        <v>1240</v>
      </c>
      <c r="H429" s="399" t="s">
        <v>1240</v>
      </c>
      <c r="I429" s="399" t="s">
        <v>1240</v>
      </c>
      <c r="J429" s="399" t="s">
        <v>2358</v>
      </c>
      <c r="K429" s="789">
        <v>44682</v>
      </c>
      <c r="L429" s="399">
        <v>0</v>
      </c>
      <c r="M429" s="399">
        <v>0</v>
      </c>
      <c r="N429" s="399">
        <v>1.79</v>
      </c>
      <c r="O429" s="399">
        <v>1.79</v>
      </c>
      <c r="P429" s="399">
        <v>1.79</v>
      </c>
      <c r="Q429" s="399">
        <v>1.79</v>
      </c>
      <c r="R429" s="399"/>
      <c r="S429" s="399">
        <v>522.37</v>
      </c>
      <c r="T429" s="399">
        <v>144.41999999999999</v>
      </c>
      <c r="U429" s="399"/>
      <c r="V429" s="399">
        <v>1193.5541000000001</v>
      </c>
      <c r="W429" s="399">
        <v>1193.5541000000001</v>
      </c>
      <c r="X429" s="399">
        <v>1166.6146000000001</v>
      </c>
      <c r="Y429" s="399">
        <v>0</v>
      </c>
      <c r="Z429" s="399">
        <v>109.90774602878639</v>
      </c>
      <c r="AA429" s="399">
        <v>0</v>
      </c>
      <c r="AB429" s="399">
        <v>0</v>
      </c>
      <c r="AC429" s="399">
        <v>0</v>
      </c>
      <c r="AD429" s="399">
        <v>182.514939694585</v>
      </c>
      <c r="AE429" s="399">
        <v>594.1139209391182</v>
      </c>
      <c r="AF429" s="399">
        <v>258.51506429856994</v>
      </c>
      <c r="AG429" s="399">
        <v>0</v>
      </c>
      <c r="AH429" s="399">
        <v>0</v>
      </c>
      <c r="AI429" s="399">
        <v>0</v>
      </c>
      <c r="AJ429" s="399">
        <v>0</v>
      </c>
      <c r="AK429" s="399">
        <v>0</v>
      </c>
      <c r="AL429" s="399">
        <v>16.974132618822974</v>
      </c>
      <c r="AM429" s="399"/>
      <c r="AN429" s="399">
        <v>2.6041907904749872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28.923400508299732</v>
      </c>
      <c r="BH429" s="399">
        <v>0</v>
      </c>
      <c r="BI429" s="399">
        <v>5.14</v>
      </c>
      <c r="BJ429" s="399">
        <v>23.73</v>
      </c>
      <c r="BK429" s="399">
        <v>364.13</v>
      </c>
      <c r="BL429" s="399">
        <v>2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287.43846480686966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1166.6146000000001</v>
      </c>
      <c r="CJ429" s="399">
        <v>-26.969499999999925</v>
      </c>
      <c r="CK429" s="399"/>
      <c r="CL429" s="399"/>
      <c r="CM429" s="399"/>
      <c r="CN429" s="399"/>
      <c r="CO429" s="399">
        <v>-37.393099999999976</v>
      </c>
      <c r="CP429" s="399">
        <v>10.453600000000007</v>
      </c>
      <c r="CQ429" s="399">
        <v>31</v>
      </c>
      <c r="CR429" s="399">
        <v>-0.17180197228901761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7.6384969166977896</v>
      </c>
      <c r="DA429" s="399">
        <v>0</v>
      </c>
      <c r="DB429" s="399">
        <v>0</v>
      </c>
      <c r="DC429" s="399">
        <v>10.45322839302861</v>
      </c>
      <c r="DD429" s="399">
        <v>0</v>
      </c>
      <c r="DE429" s="399">
        <v>0</v>
      </c>
      <c r="DF429" s="399">
        <v>0</v>
      </c>
      <c r="DG429" s="399">
        <v>1.169536917458224</v>
      </c>
      <c r="DH429" s="399">
        <v>0</v>
      </c>
      <c r="DI429" s="399">
        <v>-16.885249575973305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-2.2335337664707797</v>
      </c>
      <c r="DP429" s="399">
        <v>-0.31428085702952968</v>
      </c>
      <c r="DQ429" s="399">
        <v>0</v>
      </c>
      <c r="DR429" s="399">
        <v>0</v>
      </c>
      <c r="DS429" s="399"/>
      <c r="DT429" s="399"/>
      <c r="DU429" s="399"/>
      <c r="DV429" s="399">
        <v>594.1139209391182</v>
      </c>
      <c r="DW429" s="399">
        <v>0</v>
      </c>
      <c r="DX429" s="399">
        <v>0</v>
      </c>
      <c r="DY429" s="399">
        <v>-37.393100000000004</v>
      </c>
      <c r="DZ429" s="399">
        <v>10.453599999999994</v>
      </c>
      <c r="EA429" s="399">
        <v>0</v>
      </c>
      <c r="EB429" s="399">
        <v>0</v>
      </c>
      <c r="EC429" s="399">
        <v>-26.757245606162428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0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225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428</v>
      </c>
      <c r="B430" s="399" t="s">
        <v>957</v>
      </c>
      <c r="C430" s="399" t="s">
        <v>2366</v>
      </c>
      <c r="D430" s="399" t="s">
        <v>534</v>
      </c>
      <c r="E430" s="399" t="s">
        <v>2370</v>
      </c>
      <c r="F430" s="399" t="s">
        <v>1240</v>
      </c>
      <c r="G430" s="399" t="s">
        <v>1240</v>
      </c>
      <c r="H430" s="399" t="s">
        <v>1240</v>
      </c>
      <c r="I430" s="399" t="s">
        <v>894</v>
      </c>
      <c r="J430" s="399" t="s">
        <v>2358</v>
      </c>
      <c r="K430" s="789">
        <v>44682</v>
      </c>
      <c r="L430" s="399">
        <v>0</v>
      </c>
      <c r="M430" s="399">
        <v>0</v>
      </c>
      <c r="N430" s="399">
        <v>8.6999999999999994E-2</v>
      </c>
      <c r="O430" s="399">
        <v>8.6999999999999994E-2</v>
      </c>
      <c r="P430" s="399">
        <v>8.6999999999999994E-2</v>
      </c>
      <c r="Q430" s="399">
        <v>8.6999999999999994E-2</v>
      </c>
      <c r="R430" s="399"/>
      <c r="S430" s="399">
        <v>2740.31</v>
      </c>
      <c r="T430" s="399">
        <v>144.41999999999999</v>
      </c>
      <c r="U430" s="399"/>
      <c r="V430" s="399">
        <v>250.97150999999997</v>
      </c>
      <c r="W430" s="399">
        <v>250.97150999999997</v>
      </c>
      <c r="X430" s="399">
        <v>245.89853999999997</v>
      </c>
      <c r="Y430" s="399">
        <v>0</v>
      </c>
      <c r="Z430" s="399">
        <v>4.6474398306809181</v>
      </c>
      <c r="AA430" s="399">
        <v>0</v>
      </c>
      <c r="AB430" s="399">
        <v>0</v>
      </c>
      <c r="AC430" s="399">
        <v>0</v>
      </c>
      <c r="AD430" s="399">
        <v>65.481664752519961</v>
      </c>
      <c r="AE430" s="399">
        <v>166.86665824161634</v>
      </c>
      <c r="AF430" s="399">
        <v>12.564698655852281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0.82499974180871438</v>
      </c>
      <c r="AM430" s="399"/>
      <c r="AN430" s="399">
        <v>4.3298612700162352E-2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0.54275840839395961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13.10745706424624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254.37779999999998</v>
      </c>
      <c r="CJ430" s="399">
        <v>3.37629000000004</v>
      </c>
      <c r="CK430" s="399"/>
      <c r="CL430" s="399"/>
      <c r="CM430" s="399"/>
      <c r="CN430" s="399"/>
      <c r="CO430" s="399">
        <v>-5.5810500000000074</v>
      </c>
      <c r="CP430" s="399">
        <v>0.50808000000000031</v>
      </c>
      <c r="CQ430" s="399">
        <v>31</v>
      </c>
      <c r="CR430" s="399">
        <v>2.4427309256736436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2.7404961760899624</v>
      </c>
      <c r="DA430" s="399">
        <v>0</v>
      </c>
      <c r="DB430" s="399">
        <v>0</v>
      </c>
      <c r="DC430" s="399">
        <v>0.50806193865558136</v>
      </c>
      <c r="DD430" s="399">
        <v>0</v>
      </c>
      <c r="DE430" s="399">
        <v>0</v>
      </c>
      <c r="DF430" s="399">
        <v>0</v>
      </c>
      <c r="DG430" s="399">
        <v>2.1946796874573127E-2</v>
      </c>
      <c r="DH430" s="399">
        <v>0</v>
      </c>
      <c r="DI430" s="399">
        <v>-0.71399136335498037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-0.10855722775584242</v>
      </c>
      <c r="DP430" s="399">
        <v>-5.225394835650661E-3</v>
      </c>
      <c r="DQ430" s="399">
        <v>0</v>
      </c>
      <c r="DR430" s="399">
        <v>0</v>
      </c>
      <c r="DS430" s="399"/>
      <c r="DT430" s="399"/>
      <c r="DU430" s="399"/>
      <c r="DV430" s="399">
        <v>166.86665824161634</v>
      </c>
      <c r="DW430" s="399">
        <v>0</v>
      </c>
      <c r="DX430" s="399">
        <v>0</v>
      </c>
      <c r="DY430" s="399">
        <v>-5.5810500000000047</v>
      </c>
      <c r="DZ430" s="399">
        <v>0.50808000000000142</v>
      </c>
      <c r="EA430" s="399">
        <v>0</v>
      </c>
      <c r="EB430" s="399">
        <v>0</v>
      </c>
      <c r="EC430" s="399">
        <v>-7.5152121515569092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225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429</v>
      </c>
      <c r="B431" s="399" t="s">
        <v>957</v>
      </c>
      <c r="C431" s="399" t="s">
        <v>2366</v>
      </c>
      <c r="D431" s="399" t="s">
        <v>534</v>
      </c>
      <c r="E431" s="399" t="s">
        <v>2370</v>
      </c>
      <c r="F431" s="399" t="s">
        <v>1240</v>
      </c>
      <c r="G431" s="399" t="s">
        <v>1240</v>
      </c>
      <c r="H431" s="399" t="s">
        <v>1240</v>
      </c>
      <c r="I431" s="399" t="s">
        <v>2328</v>
      </c>
      <c r="J431" s="399" t="s">
        <v>2358</v>
      </c>
      <c r="K431" s="789">
        <v>44682</v>
      </c>
      <c r="L431" s="399">
        <v>0</v>
      </c>
      <c r="M431" s="399">
        <v>0</v>
      </c>
      <c r="N431" s="399">
        <v>1.706</v>
      </c>
      <c r="O431" s="399">
        <v>1.706</v>
      </c>
      <c r="P431" s="399">
        <v>1.706</v>
      </c>
      <c r="Q431" s="399">
        <v>1.706</v>
      </c>
      <c r="R431" s="399"/>
      <c r="S431" s="399">
        <v>69.64</v>
      </c>
      <c r="T431" s="399">
        <v>144.41999999999999</v>
      </c>
      <c r="U431" s="399"/>
      <c r="V431" s="399">
        <v>365.18635999999998</v>
      </c>
      <c r="W431" s="399">
        <v>365.18635999999998</v>
      </c>
      <c r="X431" s="399">
        <v>359.35183999999998</v>
      </c>
      <c r="Y431" s="399">
        <v>0</v>
      </c>
      <c r="Z431" s="399">
        <v>91.132555760248806</v>
      </c>
      <c r="AA431" s="399">
        <v>0</v>
      </c>
      <c r="AB431" s="399">
        <v>0</v>
      </c>
      <c r="AC431" s="399">
        <v>0</v>
      </c>
      <c r="AD431" s="399">
        <v>0</v>
      </c>
      <c r="AE431" s="399">
        <v>0</v>
      </c>
      <c r="AF431" s="399">
        <v>246.38363111360908</v>
      </c>
      <c r="AG431" s="399">
        <v>0</v>
      </c>
      <c r="AH431" s="399">
        <v>0</v>
      </c>
      <c r="AI431" s="399">
        <v>0</v>
      </c>
      <c r="AJ431" s="399">
        <v>0</v>
      </c>
      <c r="AK431" s="399">
        <v>0</v>
      </c>
      <c r="AL431" s="399">
        <v>16.177581143973182</v>
      </c>
      <c r="AM431" s="399"/>
      <c r="AN431" s="399">
        <v>0.84905095708594225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10.643055686437876</v>
      </c>
      <c r="BH431" s="399">
        <v>0</v>
      </c>
      <c r="BI431" s="399">
        <v>0</v>
      </c>
      <c r="BJ431" s="399">
        <v>0</v>
      </c>
      <c r="BK431" s="399">
        <v>0</v>
      </c>
      <c r="BL431" s="399">
        <v>0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257.02668680004695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360.19439999999997</v>
      </c>
      <c r="CJ431" s="399">
        <v>-5.0219599999999787</v>
      </c>
      <c r="CK431" s="399"/>
      <c r="CL431" s="399"/>
      <c r="CM431" s="399"/>
      <c r="CN431" s="399"/>
      <c r="CO431" s="399">
        <v>-15.797559999999995</v>
      </c>
      <c r="CP431" s="399">
        <v>9.9630400000000048</v>
      </c>
      <c r="CQ431" s="399">
        <v>31</v>
      </c>
      <c r="CR431" s="399">
        <v>-5.8389369794280128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0</v>
      </c>
      <c r="DA431" s="399">
        <v>0</v>
      </c>
      <c r="DB431" s="399">
        <v>0</v>
      </c>
      <c r="DC431" s="399">
        <v>9.9626858315681091</v>
      </c>
      <c r="DD431" s="399">
        <v>0</v>
      </c>
      <c r="DE431" s="399">
        <v>0</v>
      </c>
      <c r="DF431" s="399">
        <v>0</v>
      </c>
      <c r="DG431" s="399">
        <v>0.43035902836806628</v>
      </c>
      <c r="DH431" s="399">
        <v>0</v>
      </c>
      <c r="DI431" s="399">
        <v>-14.000796159581569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-2.1287198913961749</v>
      </c>
      <c r="DP431" s="399">
        <v>-0.10246578838643705</v>
      </c>
      <c r="DQ431" s="399">
        <v>0</v>
      </c>
      <c r="DR431" s="399">
        <v>0</v>
      </c>
      <c r="DS431" s="399"/>
      <c r="DT431" s="399"/>
      <c r="DU431" s="399"/>
      <c r="DV431" s="399">
        <v>0</v>
      </c>
      <c r="DW431" s="399">
        <v>0</v>
      </c>
      <c r="DX431" s="399">
        <v>0</v>
      </c>
      <c r="DY431" s="399">
        <v>-15.797560000000004</v>
      </c>
      <c r="DZ431" s="399">
        <v>9.9630400000000066</v>
      </c>
      <c r="EA431" s="399">
        <v>0</v>
      </c>
      <c r="EB431" s="399">
        <v>0</v>
      </c>
      <c r="EC431" s="399">
        <v>0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225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430</v>
      </c>
      <c r="B432" s="399" t="s">
        <v>957</v>
      </c>
      <c r="C432" s="399" t="s">
        <v>2366</v>
      </c>
      <c r="D432" s="399" t="s">
        <v>534</v>
      </c>
      <c r="E432" s="399" t="s">
        <v>2370</v>
      </c>
      <c r="F432" s="399" t="s">
        <v>1240</v>
      </c>
      <c r="G432" s="399" t="s">
        <v>1240</v>
      </c>
      <c r="H432" s="399" t="s">
        <v>1240</v>
      </c>
      <c r="I432" s="399" t="s">
        <v>1240</v>
      </c>
      <c r="J432" s="399" t="s">
        <v>2358</v>
      </c>
      <c r="K432" s="789">
        <v>44682</v>
      </c>
      <c r="L432" s="399">
        <v>75</v>
      </c>
      <c r="M432" s="399">
        <v>75</v>
      </c>
      <c r="N432" s="399">
        <v>0</v>
      </c>
      <c r="O432" s="399">
        <v>0</v>
      </c>
      <c r="P432" s="399">
        <v>0</v>
      </c>
      <c r="Q432" s="399">
        <v>0</v>
      </c>
      <c r="R432" s="399">
        <v>34.950000000000003</v>
      </c>
      <c r="S432" s="399"/>
      <c r="T432" s="399"/>
      <c r="U432" s="399">
        <v>2621.25</v>
      </c>
      <c r="V432" s="399"/>
      <c r="W432" s="399">
        <v>2621.25</v>
      </c>
      <c r="X432" s="399">
        <v>2585.9999999999995</v>
      </c>
      <c r="Y432" s="399">
        <v>0</v>
      </c>
      <c r="Z432" s="399">
        <v>0</v>
      </c>
      <c r="AA432" s="399">
        <v>0</v>
      </c>
      <c r="AB432" s="399">
        <v>0</v>
      </c>
      <c r="AC432" s="399">
        <v>0</v>
      </c>
      <c r="AD432" s="399">
        <v>950.23346335777501</v>
      </c>
      <c r="AE432" s="399">
        <v>1671.3605994444974</v>
      </c>
      <c r="AF432" s="399"/>
      <c r="AG432" s="399"/>
      <c r="AH432" s="399"/>
      <c r="AI432" s="399">
        <v>0</v>
      </c>
      <c r="AJ432" s="399">
        <v>0</v>
      </c>
      <c r="AK432" s="399">
        <v>0</v>
      </c>
      <c r="AL432" s="399">
        <v>0</v>
      </c>
      <c r="AM432" s="399"/>
      <c r="AN432" s="399">
        <v>0</v>
      </c>
      <c r="AO432" s="399">
        <v>0</v>
      </c>
      <c r="AP432" s="399">
        <v>0</v>
      </c>
      <c r="AQ432" s="399">
        <v>0</v>
      </c>
      <c r="AR432" s="399">
        <v>0</v>
      </c>
      <c r="AS432" s="399"/>
      <c r="AT432" s="399"/>
      <c r="AU432" s="399">
        <v>0</v>
      </c>
      <c r="AV432" s="399">
        <v>0</v>
      </c>
      <c r="AW432" s="399">
        <v>0</v>
      </c>
      <c r="AX432" s="399"/>
      <c r="AY432" s="399"/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/>
      <c r="BG432" s="399">
        <v>0</v>
      </c>
      <c r="BH432" s="399">
        <v>0</v>
      </c>
      <c r="BI432" s="399">
        <v>20.87</v>
      </c>
      <c r="BJ432" s="399">
        <v>96.32</v>
      </c>
      <c r="BK432" s="399">
        <v>604.95000000000005</v>
      </c>
      <c r="BL432" s="399">
        <v>1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0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2585.9999999999995</v>
      </c>
      <c r="CJ432" s="399">
        <v>-35.28000000000111</v>
      </c>
      <c r="CK432" s="399"/>
      <c r="CL432" s="399"/>
      <c r="CM432" s="399"/>
      <c r="CN432" s="399"/>
      <c r="CO432" s="399">
        <v>-35.250000000000448</v>
      </c>
      <c r="CP432" s="399">
        <v>0</v>
      </c>
      <c r="CQ432" s="399">
        <v>31</v>
      </c>
      <c r="CR432" s="399">
        <v>39.768554794177476</v>
      </c>
      <c r="CS432" s="399">
        <v>0</v>
      </c>
      <c r="CT432" s="399">
        <v>0</v>
      </c>
      <c r="CU432" s="399">
        <v>0</v>
      </c>
      <c r="CV432" s="399">
        <v>0</v>
      </c>
      <c r="CW432" s="399"/>
      <c r="CX432" s="399"/>
      <c r="CY432" s="399"/>
      <c r="CZ432" s="399">
        <v>39.768554794177476</v>
      </c>
      <c r="DA432" s="399">
        <v>0</v>
      </c>
      <c r="DB432" s="399">
        <v>0</v>
      </c>
      <c r="DC432" s="399"/>
      <c r="DD432" s="399"/>
      <c r="DE432" s="399">
        <v>0</v>
      </c>
      <c r="DF432" s="399">
        <v>0</v>
      </c>
      <c r="DG432" s="399">
        <v>0</v>
      </c>
      <c r="DH432" s="399">
        <v>0</v>
      </c>
      <c r="DI432" s="399">
        <v>0</v>
      </c>
      <c r="DJ432" s="399"/>
      <c r="DK432" s="399">
        <v>0</v>
      </c>
      <c r="DL432" s="399">
        <v>0</v>
      </c>
      <c r="DM432" s="399"/>
      <c r="DN432" s="399">
        <v>0</v>
      </c>
      <c r="DO432" s="399">
        <v>0</v>
      </c>
      <c r="DP432" s="399">
        <v>0</v>
      </c>
      <c r="DQ432" s="399">
        <v>0</v>
      </c>
      <c r="DR432" s="399">
        <v>0</v>
      </c>
      <c r="DS432" s="399"/>
      <c r="DT432" s="399"/>
      <c r="DU432" s="399">
        <v>1671.3605994444974</v>
      </c>
      <c r="DV432" s="399"/>
      <c r="DW432" s="399">
        <v>0</v>
      </c>
      <c r="DX432" s="399">
        <v>0</v>
      </c>
      <c r="DY432" s="399">
        <v>-35.250000000000455</v>
      </c>
      <c r="DZ432" s="399"/>
      <c r="EA432" s="399">
        <v>0</v>
      </c>
      <c r="EB432" s="399"/>
      <c r="EC432" s="399">
        <v>-75.273452581462379</v>
      </c>
      <c r="ED432" s="399"/>
      <c r="EE432" s="399">
        <v>0</v>
      </c>
      <c r="EF432" s="399">
        <v>0</v>
      </c>
      <c r="EG432" s="399"/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/>
      <c r="EN432" s="399"/>
      <c r="EO432" s="399">
        <v>0</v>
      </c>
      <c r="EP432" s="399">
        <v>0</v>
      </c>
      <c r="EQ432" s="399"/>
      <c r="ER432" s="399">
        <v>0</v>
      </c>
      <c r="ES432" s="399"/>
      <c r="ET432" s="399">
        <v>0</v>
      </c>
      <c r="EU432" s="399"/>
      <c r="EV432" s="399">
        <v>225</v>
      </c>
      <c r="EW432" s="399"/>
      <c r="EX432" s="399"/>
      <c r="EY432" s="399"/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431</v>
      </c>
      <c r="B433" s="399" t="s">
        <v>957</v>
      </c>
      <c r="C433" s="399" t="s">
        <v>2357</v>
      </c>
      <c r="D433" s="399" t="s">
        <v>2371</v>
      </c>
      <c r="E433" s="399" t="s">
        <v>2372</v>
      </c>
      <c r="F433" s="399" t="s">
        <v>2373</v>
      </c>
      <c r="G433" s="399" t="s">
        <v>1240</v>
      </c>
      <c r="H433" s="399" t="s">
        <v>1240</v>
      </c>
      <c r="I433" s="399" t="s">
        <v>1240</v>
      </c>
      <c r="J433" s="399" t="s">
        <v>2358</v>
      </c>
      <c r="K433" s="789">
        <v>44682</v>
      </c>
      <c r="L433" s="399">
        <v>0</v>
      </c>
      <c r="M433" s="399">
        <v>0</v>
      </c>
      <c r="N433" s="399">
        <v>479.12</v>
      </c>
      <c r="O433" s="399">
        <v>479.12</v>
      </c>
      <c r="P433" s="399">
        <v>479.12</v>
      </c>
      <c r="Q433" s="399">
        <v>479.12</v>
      </c>
      <c r="R433" s="399"/>
      <c r="S433" s="399">
        <v>287.3</v>
      </c>
      <c r="T433" s="399">
        <v>79.430000000000007</v>
      </c>
      <c r="U433" s="399"/>
      <c r="V433" s="399">
        <v>175707.6776</v>
      </c>
      <c r="W433" s="399">
        <v>175707.6776</v>
      </c>
      <c r="X433" s="399">
        <v>171745.35519999999</v>
      </c>
      <c r="Y433" s="399">
        <v>0</v>
      </c>
      <c r="Z433" s="399">
        <v>16180.139442749534</v>
      </c>
      <c r="AA433" s="399">
        <v>0</v>
      </c>
      <c r="AB433" s="399">
        <v>0</v>
      </c>
      <c r="AC433" s="399">
        <v>0</v>
      </c>
      <c r="AD433" s="399">
        <v>26869.054105339808</v>
      </c>
      <c r="AE433" s="399">
        <v>87462.862564353389</v>
      </c>
      <c r="AF433" s="399">
        <v>38057.461275811242</v>
      </c>
      <c r="AG433" s="399">
        <v>0</v>
      </c>
      <c r="AH433" s="399">
        <v>0</v>
      </c>
      <c r="AI433" s="399">
        <v>0</v>
      </c>
      <c r="AJ433" s="399">
        <v>0</v>
      </c>
      <c r="AK433" s="399">
        <v>0</v>
      </c>
      <c r="AL433" s="399">
        <v>2498.8578386490249</v>
      </c>
      <c r="AM433" s="399"/>
      <c r="AN433" s="399">
        <v>383.37762030324518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4257.9769879023052</v>
      </c>
      <c r="BH433" s="399">
        <v>0</v>
      </c>
      <c r="BI433" s="399">
        <v>1071.56</v>
      </c>
      <c r="BJ433" s="399">
        <v>4945.79</v>
      </c>
      <c r="BK433" s="399">
        <v>54953.31</v>
      </c>
      <c r="BL433" s="399">
        <v>6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42315.43826371355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171745.35519999999</v>
      </c>
      <c r="CJ433" s="399">
        <v>-3962.3524000000325</v>
      </c>
      <c r="CK433" s="399"/>
      <c r="CL433" s="399"/>
      <c r="CM433" s="399"/>
      <c r="CN433" s="399"/>
      <c r="CO433" s="399">
        <v>-5500.297600000009</v>
      </c>
      <c r="CP433" s="399">
        <v>1537.9751999999971</v>
      </c>
      <c r="CQ433" s="399">
        <v>31</v>
      </c>
      <c r="CR433" s="399">
        <v>-25.291937726375181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1124.5062310057656</v>
      </c>
      <c r="DA433" s="399">
        <v>0</v>
      </c>
      <c r="DB433" s="399">
        <v>0</v>
      </c>
      <c r="DC433" s="399">
        <v>1538.8787336407768</v>
      </c>
      <c r="DD433" s="399">
        <v>0</v>
      </c>
      <c r="DE433" s="399">
        <v>0</v>
      </c>
      <c r="DF433" s="399">
        <v>0</v>
      </c>
      <c r="DG433" s="399">
        <v>172.17412868207884</v>
      </c>
      <c r="DH433" s="399">
        <v>0</v>
      </c>
      <c r="DI433" s="399">
        <v>-2485.7728643922619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-328.8111083828544</v>
      </c>
      <c r="DP433" s="399">
        <v>-46.267058279886101</v>
      </c>
      <c r="DQ433" s="399">
        <v>0</v>
      </c>
      <c r="DR433" s="399">
        <v>0</v>
      </c>
      <c r="DS433" s="399"/>
      <c r="DT433" s="399"/>
      <c r="DU433" s="399"/>
      <c r="DV433" s="399">
        <v>87462.862564353389</v>
      </c>
      <c r="DW433" s="399">
        <v>0</v>
      </c>
      <c r="DX433" s="399">
        <v>0</v>
      </c>
      <c r="DY433" s="399">
        <v>-5500.2976000000199</v>
      </c>
      <c r="DZ433" s="399">
        <v>1537.9752000000008</v>
      </c>
      <c r="EA433" s="399">
        <v>0</v>
      </c>
      <c r="EB433" s="399">
        <v>0</v>
      </c>
      <c r="EC433" s="399">
        <v>-3939.0851023202704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0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225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432</v>
      </c>
      <c r="B434" s="399" t="s">
        <v>957</v>
      </c>
      <c r="C434" s="399" t="s">
        <v>2357</v>
      </c>
      <c r="D434" s="399" t="s">
        <v>1826</v>
      </c>
      <c r="E434" s="399" t="s">
        <v>922</v>
      </c>
      <c r="F434" s="399" t="s">
        <v>2374</v>
      </c>
      <c r="G434" s="399" t="s">
        <v>1240</v>
      </c>
      <c r="H434" s="399" t="s">
        <v>1240</v>
      </c>
      <c r="I434" s="399" t="s">
        <v>1240</v>
      </c>
      <c r="J434" s="399" t="s">
        <v>2358</v>
      </c>
      <c r="K434" s="789">
        <v>44682</v>
      </c>
      <c r="L434" s="399">
        <v>0</v>
      </c>
      <c r="M434" s="399">
        <v>0</v>
      </c>
      <c r="N434" s="399">
        <v>19.794</v>
      </c>
      <c r="O434" s="399">
        <v>18.606359999999999</v>
      </c>
      <c r="P434" s="399">
        <v>19.794</v>
      </c>
      <c r="Q434" s="399">
        <v>18.606359999999999</v>
      </c>
      <c r="R434" s="399"/>
      <c r="S434" s="399">
        <v>522.37</v>
      </c>
      <c r="T434" s="399">
        <v>144.41999999999999</v>
      </c>
      <c r="U434" s="399"/>
      <c r="V434" s="399">
        <v>13198.44126</v>
      </c>
      <c r="W434" s="399">
        <v>13198.44126</v>
      </c>
      <c r="X434" s="399">
        <v>12900.541560000001</v>
      </c>
      <c r="Y434" s="399">
        <v>0</v>
      </c>
      <c r="Z434" s="399">
        <v>1215.3709077618983</v>
      </c>
      <c r="AA434" s="399">
        <v>0</v>
      </c>
      <c r="AB434" s="399">
        <v>0</v>
      </c>
      <c r="AC434" s="399">
        <v>0</v>
      </c>
      <c r="AD434" s="399">
        <v>2018.2685566003438</v>
      </c>
      <c r="AE434" s="399">
        <v>6569.7714810440812</v>
      </c>
      <c r="AF434" s="399">
        <v>2858.6855769418398</v>
      </c>
      <c r="AG434" s="399">
        <v>0</v>
      </c>
      <c r="AH434" s="399">
        <v>0</v>
      </c>
      <c r="AI434" s="399">
        <v>0</v>
      </c>
      <c r="AJ434" s="399">
        <v>0</v>
      </c>
      <c r="AK434" s="399">
        <v>0</v>
      </c>
      <c r="AL434" s="399">
        <v>187.70166539496199</v>
      </c>
      <c r="AM434" s="399"/>
      <c r="AN434" s="399">
        <v>28.797403635006646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319.83787131915358</v>
      </c>
      <c r="BH434" s="399">
        <v>0</v>
      </c>
      <c r="BI434" s="399">
        <v>72.91</v>
      </c>
      <c r="BJ434" s="399">
        <v>337.07</v>
      </c>
      <c r="BK434" s="399">
        <v>3984.08</v>
      </c>
      <c r="BL434" s="399">
        <v>35</v>
      </c>
      <c r="BM434" s="399"/>
      <c r="BN434" s="399"/>
      <c r="BO434" s="399"/>
      <c r="BP434" s="399"/>
      <c r="BQ434" s="399">
        <v>774.03249360000109</v>
      </c>
      <c r="BR434" s="399"/>
      <c r="BS434" s="399"/>
      <c r="BT434" s="399"/>
      <c r="BU434" s="399"/>
      <c r="BV434" s="399">
        <v>3178.5234482609935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12128.881399999998</v>
      </c>
      <c r="CJ434" s="399">
        <v>-277.68338440000116</v>
      </c>
      <c r="CK434" s="399"/>
      <c r="CL434" s="399"/>
      <c r="CM434" s="399"/>
      <c r="CN434" s="399"/>
      <c r="CO434" s="399">
        <v>-413.49665999999974</v>
      </c>
      <c r="CP434" s="399">
        <v>115.59696000000007</v>
      </c>
      <c r="CQ434" s="399">
        <v>31</v>
      </c>
      <c r="CR434" s="399">
        <v>-1.8998034857486346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84.467267021852422</v>
      </c>
      <c r="DA434" s="399">
        <v>0</v>
      </c>
      <c r="DB434" s="399">
        <v>0</v>
      </c>
      <c r="DC434" s="399">
        <v>115.59285073274214</v>
      </c>
      <c r="DD434" s="399">
        <v>0</v>
      </c>
      <c r="DE434" s="399">
        <v>0</v>
      </c>
      <c r="DF434" s="399">
        <v>0</v>
      </c>
      <c r="DG434" s="399">
        <v>12.932856840317356</v>
      </c>
      <c r="DH434" s="399">
        <v>0</v>
      </c>
      <c r="DI434" s="399">
        <v>-186.71878776917083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-24.698640990794757</v>
      </c>
      <c r="DP434" s="399">
        <v>-3.4753493206941393</v>
      </c>
      <c r="DQ434" s="399">
        <v>0</v>
      </c>
      <c r="DR434" s="399">
        <v>0</v>
      </c>
      <c r="DS434" s="399"/>
      <c r="DT434" s="399"/>
      <c r="DU434" s="399"/>
      <c r="DV434" s="399">
        <v>6569.7714810440812</v>
      </c>
      <c r="DW434" s="399">
        <v>0</v>
      </c>
      <c r="DX434" s="399">
        <v>0</v>
      </c>
      <c r="DY434" s="399">
        <v>-413.49665999999888</v>
      </c>
      <c r="DZ434" s="399">
        <v>115.59695999999985</v>
      </c>
      <c r="EA434" s="399">
        <v>0</v>
      </c>
      <c r="EB434" s="399">
        <v>0</v>
      </c>
      <c r="EC434" s="399">
        <v>-295.88431258568653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225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433</v>
      </c>
      <c r="B435" s="399" t="s">
        <v>957</v>
      </c>
      <c r="C435" s="399" t="s">
        <v>2366</v>
      </c>
      <c r="D435" s="399" t="s">
        <v>534</v>
      </c>
      <c r="E435" s="399" t="s">
        <v>922</v>
      </c>
      <c r="F435" s="399" t="s">
        <v>2374</v>
      </c>
      <c r="G435" s="399" t="s">
        <v>1240</v>
      </c>
      <c r="H435" s="399" t="s">
        <v>1240</v>
      </c>
      <c r="I435" s="399" t="s">
        <v>894</v>
      </c>
      <c r="J435" s="399" t="s">
        <v>2358</v>
      </c>
      <c r="K435" s="789">
        <v>44682</v>
      </c>
      <c r="L435" s="399">
        <v>0</v>
      </c>
      <c r="M435" s="399">
        <v>0</v>
      </c>
      <c r="N435" s="399">
        <v>0.6</v>
      </c>
      <c r="O435" s="399">
        <v>0.56399999999999995</v>
      </c>
      <c r="P435" s="399">
        <v>0.6</v>
      </c>
      <c r="Q435" s="399">
        <v>0.56399999999999995</v>
      </c>
      <c r="R435" s="399"/>
      <c r="S435" s="399">
        <v>2740.31</v>
      </c>
      <c r="T435" s="399">
        <v>144.41999999999999</v>
      </c>
      <c r="U435" s="399"/>
      <c r="V435" s="399">
        <v>1730.838</v>
      </c>
      <c r="W435" s="399">
        <v>1730.838</v>
      </c>
      <c r="X435" s="399">
        <v>1695.8519999999999</v>
      </c>
      <c r="Y435" s="399">
        <v>0</v>
      </c>
      <c r="Z435" s="399">
        <v>32.051309177109779</v>
      </c>
      <c r="AA435" s="399">
        <v>0</v>
      </c>
      <c r="AB435" s="399">
        <v>0</v>
      </c>
      <c r="AC435" s="399">
        <v>0</v>
      </c>
      <c r="AD435" s="399">
        <v>451.59768794841358</v>
      </c>
      <c r="AE435" s="399">
        <v>1150.8045395973541</v>
      </c>
      <c r="AF435" s="399">
        <v>86.653094178291596</v>
      </c>
      <c r="AG435" s="399">
        <v>0</v>
      </c>
      <c r="AH435" s="399">
        <v>0</v>
      </c>
      <c r="AI435" s="399">
        <v>0</v>
      </c>
      <c r="AJ435" s="399">
        <v>0</v>
      </c>
      <c r="AK435" s="399">
        <v>0</v>
      </c>
      <c r="AL435" s="399">
        <v>5.6896533917842378</v>
      </c>
      <c r="AM435" s="399"/>
      <c r="AN435" s="399">
        <v>0.29861112207008517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3.7431614371997215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>
        <v>101.75112000000009</v>
      </c>
      <c r="BR435" s="399"/>
      <c r="BS435" s="399"/>
      <c r="BT435" s="399"/>
      <c r="BU435" s="399"/>
      <c r="BV435" s="399">
        <v>90.396255615491313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1582.7952</v>
      </c>
      <c r="CJ435" s="399">
        <v>-44.222519999999804</v>
      </c>
      <c r="CK435" s="399"/>
      <c r="CL435" s="399"/>
      <c r="CM435" s="399"/>
      <c r="CN435" s="399"/>
      <c r="CO435" s="399">
        <v>-38.490000000000052</v>
      </c>
      <c r="CP435" s="399">
        <v>3.5040000000000018</v>
      </c>
      <c r="CQ435" s="399">
        <v>31</v>
      </c>
      <c r="CR435" s="399">
        <v>16.846420177059713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18.899973628206567</v>
      </c>
      <c r="DA435" s="399">
        <v>0</v>
      </c>
      <c r="DB435" s="399">
        <v>0</v>
      </c>
      <c r="DC435" s="399">
        <v>3.5038754390040054</v>
      </c>
      <c r="DD435" s="399">
        <v>0</v>
      </c>
      <c r="DE435" s="399">
        <v>0</v>
      </c>
      <c r="DF435" s="399">
        <v>0</v>
      </c>
      <c r="DG435" s="399">
        <v>0.15135721982464245</v>
      </c>
      <c r="DH435" s="399">
        <v>0</v>
      </c>
      <c r="DI435" s="399">
        <v>-4.9240783679653788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-0.74867053624718949</v>
      </c>
      <c r="DP435" s="399">
        <v>-3.6037205763107982E-2</v>
      </c>
      <c r="DQ435" s="399">
        <v>0</v>
      </c>
      <c r="DR435" s="399">
        <v>0</v>
      </c>
      <c r="DS435" s="399"/>
      <c r="DT435" s="399"/>
      <c r="DU435" s="399"/>
      <c r="DV435" s="399">
        <v>1150.8045395973541</v>
      </c>
      <c r="DW435" s="399">
        <v>0</v>
      </c>
      <c r="DX435" s="399">
        <v>0</v>
      </c>
      <c r="DY435" s="399">
        <v>-38.490000000000009</v>
      </c>
      <c r="DZ435" s="399">
        <v>3.5040000000000049</v>
      </c>
      <c r="EA435" s="399">
        <v>0</v>
      </c>
      <c r="EB435" s="399">
        <v>0</v>
      </c>
      <c r="EC435" s="399">
        <v>-51.829049321082039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225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434</v>
      </c>
      <c r="B436" s="399" t="s">
        <v>957</v>
      </c>
      <c r="C436" s="399" t="s">
        <v>2366</v>
      </c>
      <c r="D436" s="399" t="s">
        <v>534</v>
      </c>
      <c r="E436" s="399" t="s">
        <v>922</v>
      </c>
      <c r="F436" s="399" t="s">
        <v>2374</v>
      </c>
      <c r="G436" s="399" t="s">
        <v>1240</v>
      </c>
      <c r="H436" s="399" t="s">
        <v>1240</v>
      </c>
      <c r="I436" s="399" t="s">
        <v>2328</v>
      </c>
      <c r="J436" s="399" t="s">
        <v>2358</v>
      </c>
      <c r="K436" s="789">
        <v>44682</v>
      </c>
      <c r="L436" s="399">
        <v>0</v>
      </c>
      <c r="M436" s="399">
        <v>0</v>
      </c>
      <c r="N436" s="399">
        <v>4.9539999999999997</v>
      </c>
      <c r="O436" s="399">
        <v>4.6567600000000002</v>
      </c>
      <c r="P436" s="399">
        <v>4.9539999999999997</v>
      </c>
      <c r="Q436" s="399">
        <v>4.6567600000000002</v>
      </c>
      <c r="R436" s="399"/>
      <c r="S436" s="399">
        <v>69.64</v>
      </c>
      <c r="T436" s="399">
        <v>144.41999999999999</v>
      </c>
      <c r="U436" s="399"/>
      <c r="V436" s="399">
        <v>1060.4532399999998</v>
      </c>
      <c r="W436" s="399">
        <v>1060.4532399999998</v>
      </c>
      <c r="X436" s="399">
        <v>1043.5105599999999</v>
      </c>
      <c r="Y436" s="399">
        <v>0</v>
      </c>
      <c r="Z436" s="399">
        <v>264.63697610566976</v>
      </c>
      <c r="AA436" s="399">
        <v>0</v>
      </c>
      <c r="AB436" s="399">
        <v>0</v>
      </c>
      <c r="AC436" s="399">
        <v>0</v>
      </c>
      <c r="AD436" s="399">
        <v>0</v>
      </c>
      <c r="AE436" s="399">
        <v>0</v>
      </c>
      <c r="AF436" s="399">
        <v>715.46571426542755</v>
      </c>
      <c r="AG436" s="399">
        <v>0</v>
      </c>
      <c r="AH436" s="399">
        <v>0</v>
      </c>
      <c r="AI436" s="399">
        <v>0</v>
      </c>
      <c r="AJ436" s="399">
        <v>0</v>
      </c>
      <c r="AK436" s="399">
        <v>0</v>
      </c>
      <c r="AL436" s="399">
        <v>46.97757150483185</v>
      </c>
      <c r="AM436" s="399"/>
      <c r="AN436" s="399">
        <v>2.4655324978920032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30.906036266479035</v>
      </c>
      <c r="BH436" s="399">
        <v>0</v>
      </c>
      <c r="BI436" s="399">
        <v>0</v>
      </c>
      <c r="BJ436" s="399">
        <v>0</v>
      </c>
      <c r="BK436" s="399">
        <v>0</v>
      </c>
      <c r="BL436" s="399">
        <v>0</v>
      </c>
      <c r="BM436" s="399"/>
      <c r="BN436" s="399"/>
      <c r="BO436" s="399"/>
      <c r="BP436" s="399"/>
      <c r="BQ436" s="399">
        <v>62.610633599999893</v>
      </c>
      <c r="BR436" s="399"/>
      <c r="BS436" s="399"/>
      <c r="BT436" s="399"/>
      <c r="BU436" s="399"/>
      <c r="BV436" s="399">
        <v>746.37175053190663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981.58240000000001</v>
      </c>
      <c r="CJ436" s="399">
        <v>-15.273645600000009</v>
      </c>
      <c r="CK436" s="399"/>
      <c r="CL436" s="399"/>
      <c r="CM436" s="399"/>
      <c r="CN436" s="399"/>
      <c r="CO436" s="399">
        <v>-45.874039999999987</v>
      </c>
      <c r="CP436" s="399">
        <v>28.931360000000016</v>
      </c>
      <c r="CQ436" s="399">
        <v>31</v>
      </c>
      <c r="CR436" s="399">
        <v>-16.955506328303954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0</v>
      </c>
      <c r="DA436" s="399">
        <v>0</v>
      </c>
      <c r="DB436" s="399">
        <v>0</v>
      </c>
      <c r="DC436" s="399">
        <v>28.930331541376518</v>
      </c>
      <c r="DD436" s="399">
        <v>0</v>
      </c>
      <c r="DE436" s="399">
        <v>0</v>
      </c>
      <c r="DF436" s="399">
        <v>0</v>
      </c>
      <c r="DG436" s="399">
        <v>1.2497061116854624</v>
      </c>
      <c r="DH436" s="399">
        <v>0</v>
      </c>
      <c r="DI436" s="399">
        <v>-40.656473724834171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-6.1815230609476188</v>
      </c>
      <c r="DP436" s="399">
        <v>-0.29754719558406162</v>
      </c>
      <c r="DQ436" s="399">
        <v>0</v>
      </c>
      <c r="DR436" s="399">
        <v>0</v>
      </c>
      <c r="DS436" s="399"/>
      <c r="DT436" s="399"/>
      <c r="DU436" s="399"/>
      <c r="DV436" s="399">
        <v>0</v>
      </c>
      <c r="DW436" s="399">
        <v>0</v>
      </c>
      <c r="DX436" s="399">
        <v>0</v>
      </c>
      <c r="DY436" s="399">
        <v>-45.874039999999979</v>
      </c>
      <c r="DZ436" s="399">
        <v>28.931360000000041</v>
      </c>
      <c r="EA436" s="399">
        <v>0</v>
      </c>
      <c r="EB436" s="399">
        <v>0</v>
      </c>
      <c r="EC436" s="399">
        <v>0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0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225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435</v>
      </c>
      <c r="B437" s="399" t="s">
        <v>957</v>
      </c>
      <c r="C437" s="399" t="s">
        <v>2366</v>
      </c>
      <c r="D437" s="399" t="s">
        <v>534</v>
      </c>
      <c r="E437" s="399" t="s">
        <v>922</v>
      </c>
      <c r="F437" s="399" t="s">
        <v>2374</v>
      </c>
      <c r="G437" s="399" t="s">
        <v>1240</v>
      </c>
      <c r="H437" s="399" t="s">
        <v>1240</v>
      </c>
      <c r="I437" s="399" t="s">
        <v>1240</v>
      </c>
      <c r="J437" s="399" t="s">
        <v>2358</v>
      </c>
      <c r="K437" s="789">
        <v>44682</v>
      </c>
      <c r="L437" s="399">
        <v>78</v>
      </c>
      <c r="M437" s="399">
        <v>73.319999999999993</v>
      </c>
      <c r="N437" s="399">
        <v>0</v>
      </c>
      <c r="O437" s="399">
        <v>0</v>
      </c>
      <c r="P437" s="399">
        <v>0</v>
      </c>
      <c r="Q437" s="399">
        <v>0</v>
      </c>
      <c r="R437" s="399">
        <v>34.950000000000003</v>
      </c>
      <c r="S437" s="399"/>
      <c r="T437" s="399"/>
      <c r="U437" s="399">
        <v>2726.1000000000004</v>
      </c>
      <c r="V437" s="399"/>
      <c r="W437" s="399">
        <v>2726.1000000000004</v>
      </c>
      <c r="X437" s="399">
        <v>2689.4399999999996</v>
      </c>
      <c r="Y437" s="399">
        <v>0</v>
      </c>
      <c r="Z437" s="399">
        <v>0</v>
      </c>
      <c r="AA437" s="399">
        <v>0</v>
      </c>
      <c r="AB437" s="399">
        <v>0</v>
      </c>
      <c r="AC437" s="399">
        <v>0</v>
      </c>
      <c r="AD437" s="399">
        <v>988.24280189208594</v>
      </c>
      <c r="AE437" s="399">
        <v>1738.2150234222775</v>
      </c>
      <c r="AF437" s="399"/>
      <c r="AG437" s="399"/>
      <c r="AH437" s="399"/>
      <c r="AI437" s="399">
        <v>0</v>
      </c>
      <c r="AJ437" s="399">
        <v>0</v>
      </c>
      <c r="AK437" s="399">
        <v>0</v>
      </c>
      <c r="AL437" s="399">
        <v>0</v>
      </c>
      <c r="AM437" s="399"/>
      <c r="AN437" s="399">
        <v>0</v>
      </c>
      <c r="AO437" s="399">
        <v>0</v>
      </c>
      <c r="AP437" s="399">
        <v>0</v>
      </c>
      <c r="AQ437" s="399">
        <v>0</v>
      </c>
      <c r="AR437" s="399">
        <v>0</v>
      </c>
      <c r="AS437" s="399"/>
      <c r="AT437" s="399"/>
      <c r="AU437" s="399">
        <v>0</v>
      </c>
      <c r="AV437" s="399">
        <v>0</v>
      </c>
      <c r="AW437" s="399">
        <v>0</v>
      </c>
      <c r="AX437" s="399"/>
      <c r="AY437" s="399"/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/>
      <c r="BG437" s="399">
        <v>0</v>
      </c>
      <c r="BH437" s="399">
        <v>0</v>
      </c>
      <c r="BI437" s="399">
        <v>34.71</v>
      </c>
      <c r="BJ437" s="399">
        <v>160.21</v>
      </c>
      <c r="BK437" s="399">
        <v>1164.8599999999999</v>
      </c>
      <c r="BL437" s="399">
        <v>1</v>
      </c>
      <c r="BM437" s="399"/>
      <c r="BN437" s="399"/>
      <c r="BO437" s="399"/>
      <c r="BP437" s="399"/>
      <c r="BQ437" s="399">
        <v>161.36640000000023</v>
      </c>
      <c r="BR437" s="399"/>
      <c r="BS437" s="399"/>
      <c r="BT437" s="399"/>
      <c r="BU437" s="399"/>
      <c r="BV437" s="399">
        <v>0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2528.0735999999997</v>
      </c>
      <c r="CJ437" s="399">
        <v>-34.490400000001046</v>
      </c>
      <c r="CK437" s="399"/>
      <c r="CL437" s="399"/>
      <c r="CM437" s="399"/>
      <c r="CN437" s="399"/>
      <c r="CO437" s="399">
        <v>-36.660000000000466</v>
      </c>
      <c r="CP437" s="399">
        <v>0</v>
      </c>
      <c r="CQ437" s="399">
        <v>31</v>
      </c>
      <c r="CR437" s="399">
        <v>41.359296985944638</v>
      </c>
      <c r="CS437" s="399">
        <v>0</v>
      </c>
      <c r="CT437" s="399">
        <v>0</v>
      </c>
      <c r="CU437" s="399">
        <v>0</v>
      </c>
      <c r="CV437" s="399">
        <v>0</v>
      </c>
      <c r="CW437" s="399"/>
      <c r="CX437" s="399"/>
      <c r="CY437" s="399"/>
      <c r="CZ437" s="399">
        <v>41.359296985944638</v>
      </c>
      <c r="DA437" s="399">
        <v>0</v>
      </c>
      <c r="DB437" s="399">
        <v>0</v>
      </c>
      <c r="DC437" s="399"/>
      <c r="DD437" s="399"/>
      <c r="DE437" s="399">
        <v>0</v>
      </c>
      <c r="DF437" s="399">
        <v>0</v>
      </c>
      <c r="DG437" s="399">
        <v>0</v>
      </c>
      <c r="DH437" s="399">
        <v>0</v>
      </c>
      <c r="DI437" s="399">
        <v>0</v>
      </c>
      <c r="DJ437" s="399"/>
      <c r="DK437" s="399">
        <v>0</v>
      </c>
      <c r="DL437" s="399">
        <v>0</v>
      </c>
      <c r="DM437" s="399"/>
      <c r="DN437" s="399">
        <v>0</v>
      </c>
      <c r="DO437" s="399">
        <v>0</v>
      </c>
      <c r="DP437" s="399">
        <v>0</v>
      </c>
      <c r="DQ437" s="399">
        <v>0</v>
      </c>
      <c r="DR437" s="399">
        <v>0</v>
      </c>
      <c r="DS437" s="399"/>
      <c r="DT437" s="399"/>
      <c r="DU437" s="399">
        <v>1738.2150234222775</v>
      </c>
      <c r="DV437" s="399"/>
      <c r="DW437" s="399">
        <v>0</v>
      </c>
      <c r="DX437" s="399">
        <v>0</v>
      </c>
      <c r="DY437" s="399">
        <v>-36.660000000000764</v>
      </c>
      <c r="DZ437" s="399"/>
      <c r="EA437" s="399">
        <v>0</v>
      </c>
      <c r="EB437" s="399"/>
      <c r="EC437" s="399">
        <v>-78.284390684721075</v>
      </c>
      <c r="ED437" s="399"/>
      <c r="EE437" s="399">
        <v>0</v>
      </c>
      <c r="EF437" s="399">
        <v>0</v>
      </c>
      <c r="EG437" s="399"/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/>
      <c r="EN437" s="399"/>
      <c r="EO437" s="399">
        <v>0</v>
      </c>
      <c r="EP437" s="399">
        <v>0</v>
      </c>
      <c r="EQ437" s="399"/>
      <c r="ER437" s="399">
        <v>0</v>
      </c>
      <c r="ES437" s="399"/>
      <c r="ET437" s="399">
        <v>0</v>
      </c>
      <c r="EU437" s="399"/>
      <c r="EV437" s="399">
        <v>225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436</v>
      </c>
      <c r="B438" s="399" t="s">
        <v>957</v>
      </c>
      <c r="C438" s="399" t="s">
        <v>2357</v>
      </c>
      <c r="D438" s="399" t="s">
        <v>1826</v>
      </c>
      <c r="E438" s="399" t="s">
        <v>2375</v>
      </c>
      <c r="F438" s="399" t="s">
        <v>1240</v>
      </c>
      <c r="G438" s="399" t="s">
        <v>1240</v>
      </c>
      <c r="H438" s="399" t="s">
        <v>1240</v>
      </c>
      <c r="I438" s="399" t="s">
        <v>1240</v>
      </c>
      <c r="J438" s="399" t="s">
        <v>2358</v>
      </c>
      <c r="K438" s="789">
        <v>44682</v>
      </c>
      <c r="L438" s="399">
        <v>0</v>
      </c>
      <c r="M438" s="399">
        <v>0</v>
      </c>
      <c r="N438" s="399">
        <v>4.9660000000000002</v>
      </c>
      <c r="O438" s="399">
        <v>4.9660000000000002</v>
      </c>
      <c r="P438" s="399">
        <v>4.9660000000000002</v>
      </c>
      <c r="Q438" s="399">
        <v>4.9660000000000002</v>
      </c>
      <c r="R438" s="399"/>
      <c r="S438" s="399">
        <v>522.37</v>
      </c>
      <c r="T438" s="399">
        <v>144.41999999999999</v>
      </c>
      <c r="U438" s="399"/>
      <c r="V438" s="399">
        <v>3311.2791400000001</v>
      </c>
      <c r="W438" s="399">
        <v>3311.2791400000001</v>
      </c>
      <c r="X438" s="399">
        <v>3236.5408400000001</v>
      </c>
      <c r="Y438" s="399">
        <v>0</v>
      </c>
      <c r="Z438" s="399">
        <v>304.91724401058843</v>
      </c>
      <c r="AA438" s="399">
        <v>0</v>
      </c>
      <c r="AB438" s="399">
        <v>0</v>
      </c>
      <c r="AC438" s="399">
        <v>0</v>
      </c>
      <c r="AD438" s="399">
        <v>506.35150308564749</v>
      </c>
      <c r="AE438" s="399">
        <v>1648.2512465830509</v>
      </c>
      <c r="AF438" s="399">
        <v>717.19877614899349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47.091364572667544</v>
      </c>
      <c r="AM438" s="399"/>
      <c r="AN438" s="399">
        <v>7.224810874580327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80.242238505148876</v>
      </c>
      <c r="BH438" s="399">
        <v>0</v>
      </c>
      <c r="BI438" s="399">
        <v>0</v>
      </c>
      <c r="BJ438" s="399">
        <v>0</v>
      </c>
      <c r="BK438" s="399">
        <v>0</v>
      </c>
      <c r="BL438" s="399">
        <v>4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797.44101465414235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3239.1477999999997</v>
      </c>
      <c r="CJ438" s="399">
        <v>-72.161340000001019</v>
      </c>
      <c r="CK438" s="399"/>
      <c r="CL438" s="399"/>
      <c r="CM438" s="399"/>
      <c r="CN438" s="399"/>
      <c r="CO438" s="399">
        <v>-103.73973999999994</v>
      </c>
      <c r="CP438" s="399">
        <v>29.001440000000017</v>
      </c>
      <c r="CQ438" s="399">
        <v>31</v>
      </c>
      <c r="CR438" s="399">
        <v>-0.47663049965740356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21.191494797944927</v>
      </c>
      <c r="DA438" s="399">
        <v>0</v>
      </c>
      <c r="DB438" s="399">
        <v>0</v>
      </c>
      <c r="DC438" s="399">
        <v>29.000409050156463</v>
      </c>
      <c r="DD438" s="399">
        <v>0</v>
      </c>
      <c r="DE438" s="399">
        <v>0</v>
      </c>
      <c r="DF438" s="399">
        <v>0</v>
      </c>
      <c r="DG438" s="399">
        <v>3.2446482302220829</v>
      </c>
      <c r="DH438" s="399">
        <v>0</v>
      </c>
      <c r="DI438" s="399">
        <v>-46.84477619792375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-6.1964964716725746</v>
      </c>
      <c r="DP438" s="399">
        <v>-0.87190990838471638</v>
      </c>
      <c r="DQ438" s="399">
        <v>0</v>
      </c>
      <c r="DR438" s="399">
        <v>0</v>
      </c>
      <c r="DS438" s="399"/>
      <c r="DT438" s="399"/>
      <c r="DU438" s="399"/>
      <c r="DV438" s="399">
        <v>1648.2512465830509</v>
      </c>
      <c r="DW438" s="399">
        <v>0</v>
      </c>
      <c r="DX438" s="399">
        <v>0</v>
      </c>
      <c r="DY438" s="399">
        <v>-103.73973999999998</v>
      </c>
      <c r="DZ438" s="399">
        <v>29.001440000000002</v>
      </c>
      <c r="EA438" s="399">
        <v>0</v>
      </c>
      <c r="EB438" s="399">
        <v>0</v>
      </c>
      <c r="EC438" s="399">
        <v>-74.232671329722052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225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437</v>
      </c>
      <c r="B439" s="399" t="s">
        <v>957</v>
      </c>
      <c r="C439" s="399" t="s">
        <v>2357</v>
      </c>
      <c r="D439" s="399" t="s">
        <v>2369</v>
      </c>
      <c r="E439" s="399" t="s">
        <v>895</v>
      </c>
      <c r="F439" s="399" t="s">
        <v>2376</v>
      </c>
      <c r="G439" s="399" t="s">
        <v>2377</v>
      </c>
      <c r="H439" s="399" t="s">
        <v>1240</v>
      </c>
      <c r="I439" s="399" t="s">
        <v>1240</v>
      </c>
      <c r="J439" s="399" t="s">
        <v>2358</v>
      </c>
      <c r="K439" s="789">
        <v>44682</v>
      </c>
      <c r="L439" s="399">
        <v>0</v>
      </c>
      <c r="M439" s="399">
        <v>0</v>
      </c>
      <c r="N439" s="399">
        <v>0</v>
      </c>
      <c r="O439" s="399">
        <v>0</v>
      </c>
      <c r="P439" s="399">
        <v>0</v>
      </c>
      <c r="Q439" s="399">
        <v>0</v>
      </c>
      <c r="R439" s="399"/>
      <c r="S439" s="399"/>
      <c r="T439" s="399"/>
      <c r="U439" s="399"/>
      <c r="V439" s="399"/>
      <c r="W439" s="399"/>
      <c r="X439" s="399"/>
      <c r="Y439" s="399"/>
      <c r="Z439" s="399"/>
      <c r="AA439" s="399">
        <v>0</v>
      </c>
      <c r="AB439" s="399"/>
      <c r="AC439" s="399"/>
      <c r="AD439" s="399"/>
      <c r="AE439" s="399"/>
      <c r="AF439" s="399"/>
      <c r="AG439" s="399"/>
      <c r="AH439" s="399"/>
      <c r="AI439" s="399"/>
      <c r="AJ439" s="399"/>
      <c r="AK439" s="399"/>
      <c r="AL439" s="399"/>
      <c r="AM439" s="399"/>
      <c r="AN439" s="399"/>
      <c r="AO439" s="399"/>
      <c r="AP439" s="399"/>
      <c r="AQ439" s="399"/>
      <c r="AR439" s="399"/>
      <c r="AS439" s="399"/>
      <c r="AT439" s="399"/>
      <c r="AU439" s="399"/>
      <c r="AV439" s="399"/>
      <c r="AW439" s="399"/>
      <c r="AX439" s="399"/>
      <c r="AY439" s="399"/>
      <c r="AZ439" s="399">
        <v>0</v>
      </c>
      <c r="BA439" s="399"/>
      <c r="BB439" s="399"/>
      <c r="BC439" s="399"/>
      <c r="BD439" s="399"/>
      <c r="BE439" s="399"/>
      <c r="BF439" s="399"/>
      <c r="BG439" s="399"/>
      <c r="BH439" s="399"/>
      <c r="BI439" s="399">
        <v>0</v>
      </c>
      <c r="BJ439" s="399">
        <v>0</v>
      </c>
      <c r="BK439" s="399">
        <v>320.26</v>
      </c>
      <c r="BL439" s="399">
        <v>2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/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/>
      <c r="CJ439" s="399">
        <v>-0.03</v>
      </c>
      <c r="CK439" s="399"/>
      <c r="CL439" s="399"/>
      <c r="CM439" s="399"/>
      <c r="CN439" s="399"/>
      <c r="CO439" s="399">
        <v>0</v>
      </c>
      <c r="CP439" s="399">
        <v>0</v>
      </c>
      <c r="CQ439" s="399">
        <v>31</v>
      </c>
      <c r="CR439" s="399"/>
      <c r="CS439" s="399"/>
      <c r="CT439" s="399"/>
      <c r="CU439" s="399"/>
      <c r="CV439" s="399"/>
      <c r="CW439" s="399"/>
      <c r="CX439" s="399"/>
      <c r="CY439" s="399"/>
      <c r="CZ439" s="399"/>
      <c r="DA439" s="399"/>
      <c r="DB439" s="399"/>
      <c r="DC439" s="399"/>
      <c r="DD439" s="399"/>
      <c r="DE439" s="399"/>
      <c r="DF439" s="399"/>
      <c r="DG439" s="399"/>
      <c r="DH439" s="399"/>
      <c r="DI439" s="399"/>
      <c r="DJ439" s="399"/>
      <c r="DK439" s="399">
        <v>0</v>
      </c>
      <c r="DL439" s="399"/>
      <c r="DM439" s="399"/>
      <c r="DN439" s="399"/>
      <c r="DO439" s="399"/>
      <c r="DP439" s="399"/>
      <c r="DQ439" s="399"/>
      <c r="DR439" s="399"/>
      <c r="DS439" s="399"/>
      <c r="DT439" s="399"/>
      <c r="DU439" s="399"/>
      <c r="DV439" s="399"/>
      <c r="DW439" s="399"/>
      <c r="DX439" s="399"/>
      <c r="DY439" s="399"/>
      <c r="DZ439" s="399"/>
      <c r="EA439" s="399"/>
      <c r="EB439" s="399"/>
      <c r="EC439" s="399"/>
      <c r="ED439" s="399"/>
      <c r="EE439" s="399"/>
      <c r="EF439" s="399"/>
      <c r="EG439" s="399"/>
      <c r="EH439" s="399"/>
      <c r="EI439" s="399"/>
      <c r="EJ439" s="399"/>
      <c r="EK439" s="399"/>
      <c r="EL439" s="399"/>
      <c r="EM439" s="399"/>
      <c r="EN439" s="399"/>
      <c r="EO439" s="399"/>
      <c r="EP439" s="399"/>
      <c r="EQ439" s="399"/>
      <c r="ER439" s="399"/>
      <c r="ES439" s="399"/>
      <c r="ET439" s="399"/>
      <c r="EU439" s="399"/>
      <c r="EV439" s="399">
        <v>225</v>
      </c>
      <c r="EW439" s="399"/>
      <c r="EX439" s="399"/>
      <c r="EY439" s="399"/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438</v>
      </c>
      <c r="B440" s="399" t="s">
        <v>957</v>
      </c>
      <c r="C440" s="399" t="s">
        <v>2357</v>
      </c>
      <c r="D440" s="399" t="s">
        <v>2369</v>
      </c>
      <c r="E440" s="399" t="s">
        <v>895</v>
      </c>
      <c r="F440" s="399" t="s">
        <v>2376</v>
      </c>
      <c r="G440" s="399" t="s">
        <v>2377</v>
      </c>
      <c r="H440" s="399" t="s">
        <v>1240</v>
      </c>
      <c r="I440" s="399" t="s">
        <v>1240</v>
      </c>
      <c r="J440" s="399" t="s">
        <v>2358</v>
      </c>
      <c r="K440" s="789">
        <v>44682</v>
      </c>
      <c r="L440" s="399">
        <v>0</v>
      </c>
      <c r="M440" s="399">
        <v>0</v>
      </c>
      <c r="N440" s="399">
        <v>1.6259999999999999</v>
      </c>
      <c r="O440" s="399">
        <v>1.6259999999999999</v>
      </c>
      <c r="P440" s="399">
        <v>1.6259999999999999</v>
      </c>
      <c r="Q440" s="399">
        <v>1.6259999999999999</v>
      </c>
      <c r="R440" s="399"/>
      <c r="S440" s="399">
        <v>522.37</v>
      </c>
      <c r="T440" s="399">
        <v>144.41999999999999</v>
      </c>
      <c r="U440" s="399"/>
      <c r="V440" s="399">
        <v>1084.2005399999998</v>
      </c>
      <c r="W440" s="399">
        <v>1084.2005399999998</v>
      </c>
      <c r="X440" s="399">
        <v>1059.7292399999999</v>
      </c>
      <c r="Y440" s="399">
        <v>0</v>
      </c>
      <c r="Z440" s="399">
        <v>99.837986057433895</v>
      </c>
      <c r="AA440" s="399">
        <v>0</v>
      </c>
      <c r="AB440" s="399">
        <v>0</v>
      </c>
      <c r="AC440" s="399">
        <v>0</v>
      </c>
      <c r="AD440" s="399">
        <v>165.79290052703641</v>
      </c>
      <c r="AE440" s="399">
        <v>539.6811371212325</v>
      </c>
      <c r="AF440" s="399">
        <v>234.82988522317021</v>
      </c>
      <c r="AG440" s="399">
        <v>0</v>
      </c>
      <c r="AH440" s="399">
        <v>0</v>
      </c>
      <c r="AI440" s="399">
        <v>0</v>
      </c>
      <c r="AJ440" s="399">
        <v>0</v>
      </c>
      <c r="AK440" s="399">
        <v>0</v>
      </c>
      <c r="AL440" s="399">
        <v>15.418960691735283</v>
      </c>
      <c r="AM440" s="399"/>
      <c r="AN440" s="399">
        <v>2.3655945392806306</v>
      </c>
      <c r="AO440" s="399">
        <v>0</v>
      </c>
      <c r="AP440" s="399">
        <v>0</v>
      </c>
      <c r="AQ440" s="399">
        <v>0</v>
      </c>
      <c r="AR440" s="399">
        <v>0</v>
      </c>
      <c r="AS440" s="399">
        <v>0</v>
      </c>
      <c r="AT440" s="399">
        <v>0</v>
      </c>
      <c r="AU440" s="399">
        <v>0</v>
      </c>
      <c r="AV440" s="399">
        <v>0</v>
      </c>
      <c r="AW440" s="399">
        <v>0</v>
      </c>
      <c r="AX440" s="399">
        <v>0</v>
      </c>
      <c r="AY440" s="399">
        <v>0</v>
      </c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>
        <v>0</v>
      </c>
      <c r="BG440" s="399">
        <v>26.273435322064447</v>
      </c>
      <c r="BH440" s="399">
        <v>0</v>
      </c>
      <c r="BI440" s="399">
        <v>0</v>
      </c>
      <c r="BJ440" s="399">
        <v>0</v>
      </c>
      <c r="BK440" s="399">
        <v>0</v>
      </c>
      <c r="BL440" s="399">
        <v>0</v>
      </c>
      <c r="BM440" s="399"/>
      <c r="BN440" s="399"/>
      <c r="BO440" s="399"/>
      <c r="BP440" s="399"/>
      <c r="BQ440" s="399"/>
      <c r="BR440" s="399">
        <v>127.15320000000003</v>
      </c>
      <c r="BS440" s="399"/>
      <c r="BT440" s="399"/>
      <c r="BU440" s="399"/>
      <c r="BV440" s="399">
        <v>261.10332054523468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934.87019999999995</v>
      </c>
      <c r="CJ440" s="399">
        <v>-19.247819999999933</v>
      </c>
      <c r="CK440" s="399"/>
      <c r="CL440" s="399"/>
      <c r="CM440" s="399"/>
      <c r="CN440" s="399"/>
      <c r="CO440" s="399">
        <v>-33.967139999999972</v>
      </c>
      <c r="CP440" s="399">
        <v>9.4958400000000047</v>
      </c>
      <c r="CQ440" s="399">
        <v>31</v>
      </c>
      <c r="CR440" s="399">
        <v>-0.15606145639219449</v>
      </c>
      <c r="CS440" s="399">
        <v>0</v>
      </c>
      <c r="CT440" s="399">
        <v>0</v>
      </c>
      <c r="CU440" s="399">
        <v>0</v>
      </c>
      <c r="CV440" s="399">
        <v>0</v>
      </c>
      <c r="CW440" s="399">
        <v>0</v>
      </c>
      <c r="CX440" s="399">
        <v>0</v>
      </c>
      <c r="CY440" s="399">
        <v>0</v>
      </c>
      <c r="CZ440" s="399">
        <v>6.9386569757266159</v>
      </c>
      <c r="DA440" s="399">
        <v>0</v>
      </c>
      <c r="DB440" s="399">
        <v>0</v>
      </c>
      <c r="DC440" s="399">
        <v>9.4955024397008572</v>
      </c>
      <c r="DD440" s="399">
        <v>0</v>
      </c>
      <c r="DE440" s="399">
        <v>0</v>
      </c>
      <c r="DF440" s="399">
        <v>0</v>
      </c>
      <c r="DG440" s="399">
        <v>1.0623838144061857</v>
      </c>
      <c r="DH440" s="399">
        <v>0</v>
      </c>
      <c r="DI440" s="399">
        <v>-15.338221123202572</v>
      </c>
      <c r="DJ440" s="399"/>
      <c r="DK440" s="399">
        <v>0</v>
      </c>
      <c r="DL440" s="399">
        <v>0</v>
      </c>
      <c r="DM440" s="399">
        <v>0</v>
      </c>
      <c r="DN440" s="399">
        <v>0</v>
      </c>
      <c r="DO440" s="399">
        <v>-2.0288971532298827</v>
      </c>
      <c r="DP440" s="399">
        <v>-0.28548640979330431</v>
      </c>
      <c r="DQ440" s="399">
        <v>0</v>
      </c>
      <c r="DR440" s="399">
        <v>0</v>
      </c>
      <c r="DS440" s="399"/>
      <c r="DT440" s="399"/>
      <c r="DU440" s="399"/>
      <c r="DV440" s="399">
        <v>539.6811371212325</v>
      </c>
      <c r="DW440" s="399">
        <v>0</v>
      </c>
      <c r="DX440" s="399">
        <v>0</v>
      </c>
      <c r="DY440" s="399">
        <v>-33.967139999999972</v>
      </c>
      <c r="DZ440" s="399">
        <v>9.495839999999987</v>
      </c>
      <c r="EA440" s="399">
        <v>0</v>
      </c>
      <c r="EB440" s="399">
        <v>0</v>
      </c>
      <c r="EC440" s="399">
        <v>-24.305743774089478</v>
      </c>
      <c r="ED440" s="399">
        <v>0</v>
      </c>
      <c r="EE440" s="399">
        <v>0</v>
      </c>
      <c r="EF440" s="399">
        <v>0</v>
      </c>
      <c r="EG440" s="399">
        <v>0</v>
      </c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>
        <v>0</v>
      </c>
      <c r="EN440" s="399">
        <v>0</v>
      </c>
      <c r="EO440" s="399">
        <v>0</v>
      </c>
      <c r="EP440" s="399">
        <v>0</v>
      </c>
      <c r="EQ440" s="399">
        <v>0</v>
      </c>
      <c r="ER440" s="399">
        <v>0</v>
      </c>
      <c r="ES440" s="399">
        <v>0</v>
      </c>
      <c r="ET440" s="399">
        <v>0</v>
      </c>
      <c r="EU440" s="399">
        <v>0</v>
      </c>
      <c r="EV440" s="399">
        <v>225</v>
      </c>
      <c r="EW440" s="399">
        <v>0</v>
      </c>
      <c r="EX440" s="399">
        <v>0</v>
      </c>
      <c r="EY440" s="399">
        <v>0</v>
      </c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439</v>
      </c>
      <c r="B441" s="399" t="s">
        <v>957</v>
      </c>
      <c r="C441" s="399" t="s">
        <v>2357</v>
      </c>
      <c r="D441" s="399" t="s">
        <v>2369</v>
      </c>
      <c r="E441" s="399" t="s">
        <v>895</v>
      </c>
      <c r="F441" s="399" t="s">
        <v>2376</v>
      </c>
      <c r="G441" s="399" t="s">
        <v>2378</v>
      </c>
      <c r="H441" s="399" t="s">
        <v>1240</v>
      </c>
      <c r="I441" s="399" t="s">
        <v>1240</v>
      </c>
      <c r="J441" s="399" t="s">
        <v>2358</v>
      </c>
      <c r="K441" s="789">
        <v>44682</v>
      </c>
      <c r="L441" s="399">
        <v>0</v>
      </c>
      <c r="M441" s="399">
        <v>0</v>
      </c>
      <c r="N441" s="399">
        <v>0.38</v>
      </c>
      <c r="O441" s="399">
        <v>0.152</v>
      </c>
      <c r="P441" s="399">
        <v>0.38</v>
      </c>
      <c r="Q441" s="399">
        <v>0.152</v>
      </c>
      <c r="R441" s="399"/>
      <c r="S441" s="399">
        <v>522.37</v>
      </c>
      <c r="T441" s="399">
        <v>144.41999999999999</v>
      </c>
      <c r="U441" s="399"/>
      <c r="V441" s="399">
        <v>253.3802</v>
      </c>
      <c r="W441" s="399">
        <v>253.3802</v>
      </c>
      <c r="X441" s="399">
        <v>247.66120000000001</v>
      </c>
      <c r="Y441" s="399">
        <v>0</v>
      </c>
      <c r="Z441" s="399">
        <v>23.332370665328956</v>
      </c>
      <c r="AA441" s="399">
        <v>0</v>
      </c>
      <c r="AB441" s="399">
        <v>0</v>
      </c>
      <c r="AC441" s="399">
        <v>0</v>
      </c>
      <c r="AD441" s="399">
        <v>38.746188315051562</v>
      </c>
      <c r="AE441" s="399">
        <v>126.12474299266196</v>
      </c>
      <c r="AF441" s="399">
        <v>54.880292979584674</v>
      </c>
      <c r="AG441" s="399">
        <v>0</v>
      </c>
      <c r="AH441" s="399">
        <v>0</v>
      </c>
      <c r="AI441" s="399">
        <v>0</v>
      </c>
      <c r="AJ441" s="399">
        <v>0</v>
      </c>
      <c r="AK441" s="399">
        <v>0</v>
      </c>
      <c r="AL441" s="399">
        <v>3.6034471481300172</v>
      </c>
      <c r="AM441" s="399"/>
      <c r="AN441" s="399">
        <v>0.55284497227960616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6.1401632363988261</v>
      </c>
      <c r="BH441" s="399">
        <v>0</v>
      </c>
      <c r="BI441" s="399">
        <v>0</v>
      </c>
      <c r="BJ441" s="399">
        <v>0</v>
      </c>
      <c r="BK441" s="399">
        <v>0</v>
      </c>
      <c r="BL441" s="399">
        <v>0</v>
      </c>
      <c r="BM441" s="399"/>
      <c r="BN441" s="399"/>
      <c r="BO441" s="399"/>
      <c r="BP441" s="399"/>
      <c r="BQ441" s="399"/>
      <c r="BR441" s="399"/>
      <c r="BS441" s="399">
        <v>160.48312000000001</v>
      </c>
      <c r="BT441" s="399"/>
      <c r="BU441" s="399"/>
      <c r="BV441" s="399">
        <v>61.020456215983501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86.031000000000006</v>
      </c>
      <c r="CJ441" s="399">
        <v>-3.1880400000000009</v>
      </c>
      <c r="CK441" s="399"/>
      <c r="CL441" s="399"/>
      <c r="CM441" s="399"/>
      <c r="CN441" s="399"/>
      <c r="CO441" s="399">
        <v>-7.9381999999999948</v>
      </c>
      <c r="CP441" s="399">
        <v>2.2192000000000012</v>
      </c>
      <c r="CQ441" s="399">
        <v>31</v>
      </c>
      <c r="CR441" s="399">
        <v>-3.6471927078068234E-2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1.621580351030822</v>
      </c>
      <c r="DA441" s="399">
        <v>0</v>
      </c>
      <c r="DB441" s="399">
        <v>0</v>
      </c>
      <c r="DC441" s="399">
        <v>2.219121111369212</v>
      </c>
      <c r="DD441" s="399">
        <v>0</v>
      </c>
      <c r="DE441" s="399">
        <v>0</v>
      </c>
      <c r="DF441" s="399">
        <v>0</v>
      </c>
      <c r="DG441" s="399">
        <v>0.24828158024252822</v>
      </c>
      <c r="DH441" s="399">
        <v>0</v>
      </c>
      <c r="DI441" s="399">
        <v>-3.5845781222736619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-0.47415800628988647</v>
      </c>
      <c r="DP441" s="399">
        <v>-6.6718841157106801E-2</v>
      </c>
      <c r="DQ441" s="399">
        <v>0</v>
      </c>
      <c r="DR441" s="399">
        <v>0</v>
      </c>
      <c r="DS441" s="399"/>
      <c r="DT441" s="399"/>
      <c r="DU441" s="399"/>
      <c r="DV441" s="399">
        <v>126.12474299266196</v>
      </c>
      <c r="DW441" s="399">
        <v>0</v>
      </c>
      <c r="DX441" s="399">
        <v>0</v>
      </c>
      <c r="DY441" s="399">
        <v>-7.9381999999999948</v>
      </c>
      <c r="DZ441" s="399">
        <v>2.2192000000000007</v>
      </c>
      <c r="EA441" s="399">
        <v>0</v>
      </c>
      <c r="EB441" s="399">
        <v>0</v>
      </c>
      <c r="EC441" s="399">
        <v>-5.680309123095924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225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440</v>
      </c>
      <c r="B442" s="399" t="s">
        <v>957</v>
      </c>
      <c r="C442" s="399" t="s">
        <v>2357</v>
      </c>
      <c r="D442" s="399" t="s">
        <v>1823</v>
      </c>
      <c r="E442" s="399" t="s">
        <v>890</v>
      </c>
      <c r="F442" s="399" t="s">
        <v>890</v>
      </c>
      <c r="G442" s="399" t="s">
        <v>1240</v>
      </c>
      <c r="H442" s="399" t="s">
        <v>1240</v>
      </c>
      <c r="I442" s="399" t="s">
        <v>1240</v>
      </c>
      <c r="J442" s="399" t="s">
        <v>2358</v>
      </c>
      <c r="K442" s="789">
        <v>44713</v>
      </c>
      <c r="L442" s="399">
        <v>0</v>
      </c>
      <c r="M442" s="399">
        <v>0</v>
      </c>
      <c r="N442" s="399">
        <v>2484.355</v>
      </c>
      <c r="O442" s="399">
        <v>2484.355</v>
      </c>
      <c r="P442" s="399">
        <v>2484.355</v>
      </c>
      <c r="Q442" s="399">
        <v>2484.355</v>
      </c>
      <c r="R442" s="399"/>
      <c r="S442" s="399">
        <v>522.37</v>
      </c>
      <c r="T442" s="399">
        <v>144.41999999999999</v>
      </c>
      <c r="U442" s="399"/>
      <c r="V442" s="399">
        <v>1656543.07045</v>
      </c>
      <c r="W442" s="399">
        <v>1656543.07045</v>
      </c>
      <c r="X442" s="399">
        <v>1619153.5277</v>
      </c>
      <c r="Y442" s="399">
        <v>0</v>
      </c>
      <c r="Z442" s="399">
        <v>152541.82032700873</v>
      </c>
      <c r="AA442" s="399">
        <v>0</v>
      </c>
      <c r="AB442" s="399">
        <v>0</v>
      </c>
      <c r="AC442" s="399">
        <v>0</v>
      </c>
      <c r="AD442" s="399">
        <v>253313.91229326295</v>
      </c>
      <c r="AE442" s="399">
        <v>824575.35757245973</v>
      </c>
      <c r="AF442" s="399">
        <v>358795.079645516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23558.531420243551</v>
      </c>
      <c r="AM442" s="399"/>
      <c r="AN442" s="399">
        <v>3614.3767660728972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40143.01378200949</v>
      </c>
      <c r="BH442" s="399">
        <v>0</v>
      </c>
      <c r="BI442" s="399">
        <v>485</v>
      </c>
      <c r="BJ442" s="399">
        <v>2256.89</v>
      </c>
      <c r="BK442" s="399">
        <v>305075.37</v>
      </c>
      <c r="BL442" s="399">
        <v>12065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398938.09342752548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1619156.7864000001</v>
      </c>
      <c r="CJ442" s="399">
        <v>-37386.314049999928</v>
      </c>
      <c r="CK442" s="399"/>
      <c r="CL442" s="399"/>
      <c r="CM442" s="399"/>
      <c r="CN442" s="399"/>
      <c r="CO442" s="399">
        <v>-51898.175949999968</v>
      </c>
      <c r="CP442" s="399">
        <v>14508.633200000009</v>
      </c>
      <c r="CQ442" s="399">
        <v>30</v>
      </c>
      <c r="CR442" s="399">
        <v>-238.44530104252044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10601.529613118852</v>
      </c>
      <c r="DA442" s="399">
        <v>0</v>
      </c>
      <c r="DB442" s="399">
        <v>0</v>
      </c>
      <c r="DC442" s="399">
        <v>14508.117443778028</v>
      </c>
      <c r="DD442" s="399">
        <v>0</v>
      </c>
      <c r="DE442" s="399">
        <v>0</v>
      </c>
      <c r="DF442" s="399">
        <v>0</v>
      </c>
      <c r="DG442" s="399">
        <v>1623.2094349563849</v>
      </c>
      <c r="DH442" s="399">
        <v>0</v>
      </c>
      <c r="DI442" s="399">
        <v>-23435.169949897856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-3099.9389834639769</v>
      </c>
      <c r="DP442" s="399">
        <v>-436.1928595338527</v>
      </c>
      <c r="DQ442" s="399">
        <v>0</v>
      </c>
      <c r="DR442" s="399">
        <v>0</v>
      </c>
      <c r="DS442" s="399"/>
      <c r="DT442" s="399"/>
      <c r="DU442" s="399"/>
      <c r="DV442" s="399">
        <v>824575.35757245973</v>
      </c>
      <c r="DW442" s="399">
        <v>0</v>
      </c>
      <c r="DX442" s="399">
        <v>0</v>
      </c>
      <c r="DY442" s="399">
        <v>-51898.175950000063</v>
      </c>
      <c r="DZ442" s="399">
        <v>14508.63320000004</v>
      </c>
      <c r="EA442" s="399">
        <v>0</v>
      </c>
      <c r="EB442" s="399">
        <v>0</v>
      </c>
      <c r="EC442" s="399">
        <v>-37136.590451339376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225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441</v>
      </c>
      <c r="B443" s="399" t="s">
        <v>2359</v>
      </c>
      <c r="C443" s="399" t="s">
        <v>2357</v>
      </c>
      <c r="D443" s="399" t="s">
        <v>1823</v>
      </c>
      <c r="E443" s="399" t="s">
        <v>890</v>
      </c>
      <c r="F443" s="399" t="s">
        <v>890</v>
      </c>
      <c r="G443" s="399" t="s">
        <v>1240</v>
      </c>
      <c r="H443" s="399" t="s">
        <v>1240</v>
      </c>
      <c r="I443" s="399" t="s">
        <v>1240</v>
      </c>
      <c r="J443" s="399" t="s">
        <v>2358</v>
      </c>
      <c r="K443" s="789">
        <v>44713</v>
      </c>
      <c r="L443" s="399">
        <v>0</v>
      </c>
      <c r="M443" s="399">
        <v>0</v>
      </c>
      <c r="N443" s="399">
        <v>-1.319</v>
      </c>
      <c r="O443" s="399">
        <v>-1.319</v>
      </c>
      <c r="P443" s="399">
        <v>-1.319</v>
      </c>
      <c r="Q443" s="399">
        <v>-1.319</v>
      </c>
      <c r="R443" s="399"/>
      <c r="S443" s="399">
        <v>522.37</v>
      </c>
      <c r="T443" s="399">
        <v>144.41999999999999</v>
      </c>
      <c r="U443" s="399"/>
      <c r="V443" s="399">
        <v>-879.49600999999996</v>
      </c>
      <c r="W443" s="399">
        <v>-879.49600999999996</v>
      </c>
      <c r="X443" s="399">
        <v>-859.64506000000006</v>
      </c>
      <c r="Y443" s="399">
        <v>0</v>
      </c>
      <c r="Z443" s="399">
        <v>-80.987886598865501</v>
      </c>
      <c r="AA443" s="399">
        <v>0</v>
      </c>
      <c r="AB443" s="399">
        <v>0</v>
      </c>
      <c r="AC443" s="399">
        <v>0</v>
      </c>
      <c r="AD443" s="399">
        <v>-134.49005891461317</v>
      </c>
      <c r="AE443" s="399">
        <v>-437.78562107189771</v>
      </c>
      <c r="AF443" s="399">
        <v>-190.49238536861102</v>
      </c>
      <c r="AG443" s="399">
        <v>0</v>
      </c>
      <c r="AH443" s="399">
        <v>0</v>
      </c>
      <c r="AI443" s="399">
        <v>0</v>
      </c>
      <c r="AJ443" s="399">
        <v>0</v>
      </c>
      <c r="AK443" s="399">
        <v>0</v>
      </c>
      <c r="AL443" s="399">
        <v>-12.507754706272349</v>
      </c>
      <c r="AM443" s="399"/>
      <c r="AN443" s="399">
        <v>-1.9189539958863171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-21.31282976002645</v>
      </c>
      <c r="BH443" s="399">
        <v>0</v>
      </c>
      <c r="BI443" s="399">
        <v>0</v>
      </c>
      <c r="BJ443" s="399">
        <v>0</v>
      </c>
      <c r="BK443" s="399">
        <v>-202.79</v>
      </c>
      <c r="BL443" s="399">
        <v>0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-211.80521512863749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-860.29680000000008</v>
      </c>
      <c r="CJ443" s="399">
        <v>19.169209999999907</v>
      </c>
      <c r="CK443" s="399"/>
      <c r="CL443" s="399"/>
      <c r="CM443" s="399"/>
      <c r="CN443" s="399"/>
      <c r="CO443" s="399">
        <v>27.553909999999981</v>
      </c>
      <c r="CP443" s="399">
        <v>-7.7029600000000045</v>
      </c>
      <c r="CQ443" s="399">
        <v>30</v>
      </c>
      <c r="CR443" s="399">
        <v>0.12659597846322868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-5.6285907447622492</v>
      </c>
      <c r="DA443" s="399">
        <v>0</v>
      </c>
      <c r="DB443" s="399">
        <v>0</v>
      </c>
      <c r="DC443" s="399">
        <v>-7.7026861734104841</v>
      </c>
      <c r="DD443" s="399">
        <v>0</v>
      </c>
      <c r="DE443" s="399">
        <v>0</v>
      </c>
      <c r="DF443" s="399">
        <v>0</v>
      </c>
      <c r="DG443" s="399">
        <v>-0.86179843247340671</v>
      </c>
      <c r="DH443" s="399">
        <v>0</v>
      </c>
      <c r="DI443" s="399">
        <v>12.442259324418316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1.6458273955167382</v>
      </c>
      <c r="DP443" s="399">
        <v>0.23158460917427326</v>
      </c>
      <c r="DQ443" s="399">
        <v>0</v>
      </c>
      <c r="DR443" s="399">
        <v>0</v>
      </c>
      <c r="DS443" s="399"/>
      <c r="DT443" s="399"/>
      <c r="DU443" s="399"/>
      <c r="DV443" s="399">
        <v>-437.78562107189771</v>
      </c>
      <c r="DW443" s="399">
        <v>0</v>
      </c>
      <c r="DX443" s="399">
        <v>0</v>
      </c>
      <c r="DY443" s="399">
        <v>27.553909999999973</v>
      </c>
      <c r="DZ443" s="399">
        <v>-7.7029600000000187</v>
      </c>
      <c r="EA443" s="399">
        <v>0</v>
      </c>
      <c r="EB443" s="399">
        <v>0</v>
      </c>
      <c r="EC443" s="399">
        <v>19.71665192990406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225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442</v>
      </c>
      <c r="B444" s="399" t="s">
        <v>2360</v>
      </c>
      <c r="C444" s="399" t="s">
        <v>2357</v>
      </c>
      <c r="D444" s="399" t="s">
        <v>1823</v>
      </c>
      <c r="E444" s="399" t="s">
        <v>890</v>
      </c>
      <c r="F444" s="399" t="s">
        <v>890</v>
      </c>
      <c r="G444" s="399" t="s">
        <v>1240</v>
      </c>
      <c r="H444" s="399" t="s">
        <v>1240</v>
      </c>
      <c r="I444" s="399" t="s">
        <v>1240</v>
      </c>
      <c r="J444" s="399" t="s">
        <v>2358</v>
      </c>
      <c r="K444" s="789">
        <v>44713</v>
      </c>
      <c r="L444" s="399">
        <v>0</v>
      </c>
      <c r="M444" s="399">
        <v>0</v>
      </c>
      <c r="N444" s="399">
        <v>22.15</v>
      </c>
      <c r="O444" s="399">
        <v>22.15</v>
      </c>
      <c r="P444" s="399">
        <v>22.15</v>
      </c>
      <c r="Q444" s="399">
        <v>22.15</v>
      </c>
      <c r="R444" s="399"/>
      <c r="S444" s="399">
        <v>522.37</v>
      </c>
      <c r="T444" s="399">
        <v>144.41999999999999</v>
      </c>
      <c r="U444" s="399"/>
      <c r="V444" s="399">
        <v>14769.398499999999</v>
      </c>
      <c r="W444" s="399">
        <v>14769.398499999999</v>
      </c>
      <c r="X444" s="399">
        <v>14436.040999999999</v>
      </c>
      <c r="Y444" s="399">
        <v>0</v>
      </c>
      <c r="Z444" s="399">
        <v>1360.0316058869378</v>
      </c>
      <c r="AA444" s="399">
        <v>0</v>
      </c>
      <c r="AB444" s="399">
        <v>0</v>
      </c>
      <c r="AC444" s="399">
        <v>0</v>
      </c>
      <c r="AD444" s="399">
        <v>2258.4949241536633</v>
      </c>
      <c r="AE444" s="399">
        <v>7351.7448875985847</v>
      </c>
      <c r="AF444" s="399">
        <v>3198.9433934152644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210.04303771336808</v>
      </c>
      <c r="AM444" s="399"/>
      <c r="AN444" s="399">
        <v>32.225042463140198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357.9068833848263</v>
      </c>
      <c r="BH444" s="399">
        <v>0</v>
      </c>
      <c r="BI444" s="399">
        <v>0.64</v>
      </c>
      <c r="BJ444" s="399">
        <v>3.01</v>
      </c>
      <c r="BK444" s="399">
        <v>7624.09</v>
      </c>
      <c r="BL444" s="399">
        <v>116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3556.8502768000908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14436.040999999999</v>
      </c>
      <c r="CJ444" s="399">
        <v>-333.38750000000073</v>
      </c>
      <c r="CK444" s="399"/>
      <c r="CL444" s="399"/>
      <c r="CM444" s="399"/>
      <c r="CN444" s="399"/>
      <c r="CO444" s="399">
        <v>-462.71349999999967</v>
      </c>
      <c r="CP444" s="399">
        <v>129.35600000000008</v>
      </c>
      <c r="CQ444" s="399">
        <v>30</v>
      </c>
      <c r="CR444" s="399">
        <v>-2.1259294336314269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94.521065198243832</v>
      </c>
      <c r="DA444" s="399">
        <v>0</v>
      </c>
      <c r="DB444" s="399">
        <v>0</v>
      </c>
      <c r="DC444" s="399">
        <v>129.3514016232316</v>
      </c>
      <c r="DD444" s="399">
        <v>0</v>
      </c>
      <c r="DE444" s="399">
        <v>0</v>
      </c>
      <c r="DF444" s="399">
        <v>0</v>
      </c>
      <c r="DG444" s="399">
        <v>14.472202637820999</v>
      </c>
      <c r="DH444" s="399">
        <v>0</v>
      </c>
      <c r="DI444" s="399">
        <v>-208.94317212726764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-27.638420629792051</v>
      </c>
      <c r="DP444" s="399">
        <v>-3.8890061358681969</v>
      </c>
      <c r="DQ444" s="399">
        <v>0</v>
      </c>
      <c r="DR444" s="399">
        <v>0</v>
      </c>
      <c r="DS444" s="399"/>
      <c r="DT444" s="399"/>
      <c r="DU444" s="399"/>
      <c r="DV444" s="399">
        <v>7351.7448875985847</v>
      </c>
      <c r="DW444" s="399">
        <v>0</v>
      </c>
      <c r="DX444" s="399">
        <v>0</v>
      </c>
      <c r="DY444" s="399">
        <v>-462.71349999999984</v>
      </c>
      <c r="DZ444" s="399">
        <v>129.35600000000022</v>
      </c>
      <c r="EA444" s="399">
        <v>0</v>
      </c>
      <c r="EB444" s="399">
        <v>0</v>
      </c>
      <c r="EC444" s="399">
        <v>-331.10222914888072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225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443</v>
      </c>
      <c r="B445" s="399" t="s">
        <v>957</v>
      </c>
      <c r="C445" s="399" t="s">
        <v>2357</v>
      </c>
      <c r="D445" s="399" t="s">
        <v>1823</v>
      </c>
      <c r="E445" s="399" t="s">
        <v>890</v>
      </c>
      <c r="F445" s="399" t="s">
        <v>2361</v>
      </c>
      <c r="G445" s="399" t="s">
        <v>1240</v>
      </c>
      <c r="H445" s="399" t="s">
        <v>1240</v>
      </c>
      <c r="I445" s="399" t="s">
        <v>1240</v>
      </c>
      <c r="J445" s="399" t="s">
        <v>2358</v>
      </c>
      <c r="K445" s="789">
        <v>44713</v>
      </c>
      <c r="L445" s="399">
        <v>0</v>
      </c>
      <c r="M445" s="399">
        <v>0</v>
      </c>
      <c r="N445" s="399">
        <v>15.78</v>
      </c>
      <c r="O445" s="399">
        <v>15.78</v>
      </c>
      <c r="P445" s="399">
        <v>15.78</v>
      </c>
      <c r="Q445" s="399">
        <v>15.78</v>
      </c>
      <c r="R445" s="399"/>
      <c r="S445" s="399">
        <v>451.48</v>
      </c>
      <c r="T445" s="399">
        <v>144.41999999999999</v>
      </c>
      <c r="U445" s="399"/>
      <c r="V445" s="399">
        <v>9403.3019999999997</v>
      </c>
      <c r="W445" s="399">
        <v>9403.3019999999997</v>
      </c>
      <c r="X445" s="399">
        <v>9334.5011999999988</v>
      </c>
      <c r="Y445" s="399">
        <v>0</v>
      </c>
      <c r="Z445" s="399">
        <v>0</v>
      </c>
      <c r="AA445" s="399">
        <v>0</v>
      </c>
      <c r="AB445" s="399">
        <v>0</v>
      </c>
      <c r="AC445" s="399">
        <v>0</v>
      </c>
      <c r="AD445" s="399">
        <v>1608.9864516092464</v>
      </c>
      <c r="AE445" s="399">
        <v>5237.4959063794886</v>
      </c>
      <c r="AF445" s="399">
        <v>2278.9763768890689</v>
      </c>
      <c r="AG445" s="399">
        <v>0</v>
      </c>
      <c r="AH445" s="399">
        <v>0</v>
      </c>
      <c r="AI445" s="399">
        <v>0</v>
      </c>
      <c r="AJ445" s="399">
        <v>0</v>
      </c>
      <c r="AK445" s="399">
        <v>0</v>
      </c>
      <c r="AL445" s="399">
        <v>0</v>
      </c>
      <c r="AM445" s="399"/>
      <c r="AN445" s="399">
        <v>22.95761490150575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254.97835755361439</v>
      </c>
      <c r="BH445" s="399">
        <v>0</v>
      </c>
      <c r="BI445" s="399">
        <v>0.9</v>
      </c>
      <c r="BJ445" s="399">
        <v>3.9</v>
      </c>
      <c r="BK445" s="399">
        <v>394.98</v>
      </c>
      <c r="BL445" s="399">
        <v>7</v>
      </c>
      <c r="BM445" s="399"/>
      <c r="BN445" s="399"/>
      <c r="BO445" s="399"/>
      <c r="BP445" s="399"/>
      <c r="BQ445" s="399"/>
      <c r="BR445" s="399"/>
      <c r="BS445" s="399"/>
      <c r="BT445" s="399">
        <v>6067.41</v>
      </c>
      <c r="BU445" s="399"/>
      <c r="BV445" s="399">
        <v>2533.9547344426833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3267.0911999999998</v>
      </c>
      <c r="CJ445" s="399">
        <v>-24.173400000001038</v>
      </c>
      <c r="CK445" s="399"/>
      <c r="CL445" s="399"/>
      <c r="CM445" s="399"/>
      <c r="CN445" s="399"/>
      <c r="CO445" s="399">
        <v>-160.9560000000007</v>
      </c>
      <c r="CP445" s="399">
        <v>92.15520000000005</v>
      </c>
      <c r="CQ445" s="399">
        <v>30</v>
      </c>
      <c r="CR445" s="399">
        <v>167.02981341958002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67.338257734911394</v>
      </c>
      <c r="DA445" s="399">
        <v>0</v>
      </c>
      <c r="DB445" s="399">
        <v>0</v>
      </c>
      <c r="DC445" s="399">
        <v>92.151924045805572</v>
      </c>
      <c r="DD445" s="399">
        <v>0</v>
      </c>
      <c r="DE445" s="399">
        <v>0</v>
      </c>
      <c r="DF445" s="399">
        <v>0</v>
      </c>
      <c r="DG445" s="399">
        <v>10.310219305860755</v>
      </c>
      <c r="DH445" s="399">
        <v>0</v>
      </c>
      <c r="DI445" s="399">
        <v>0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0</v>
      </c>
      <c r="DP445" s="399">
        <v>-2.7705876669977485</v>
      </c>
      <c r="DQ445" s="399">
        <v>0</v>
      </c>
      <c r="DR445" s="399">
        <v>0</v>
      </c>
      <c r="DS445" s="399"/>
      <c r="DT445" s="399"/>
      <c r="DU445" s="399"/>
      <c r="DV445" s="399">
        <v>5237.4959063794886</v>
      </c>
      <c r="DW445" s="399">
        <v>0</v>
      </c>
      <c r="DX445" s="399">
        <v>0</v>
      </c>
      <c r="DY445" s="399">
        <v>-160.95600000000104</v>
      </c>
      <c r="DZ445" s="399">
        <v>92.15520000000015</v>
      </c>
      <c r="EA445" s="399">
        <v>0</v>
      </c>
      <c r="EB445" s="399">
        <v>0</v>
      </c>
      <c r="EC445" s="399">
        <v>-235.88231042750976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0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225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444</v>
      </c>
      <c r="B446" s="399" t="s">
        <v>2359</v>
      </c>
      <c r="C446" s="399" t="s">
        <v>2357</v>
      </c>
      <c r="D446" s="399" t="s">
        <v>1823</v>
      </c>
      <c r="E446" s="399" t="s">
        <v>890</v>
      </c>
      <c r="F446" s="399" t="s">
        <v>2361</v>
      </c>
      <c r="G446" s="399" t="s">
        <v>1240</v>
      </c>
      <c r="H446" s="399" t="s">
        <v>1240</v>
      </c>
      <c r="I446" s="399" t="s">
        <v>1240</v>
      </c>
      <c r="J446" s="399" t="s">
        <v>2358</v>
      </c>
      <c r="K446" s="789">
        <v>44713</v>
      </c>
      <c r="L446" s="399">
        <v>0</v>
      </c>
      <c r="M446" s="399">
        <v>0</v>
      </c>
      <c r="N446" s="399">
        <v>0.03</v>
      </c>
      <c r="O446" s="399">
        <v>0.03</v>
      </c>
      <c r="P446" s="399">
        <v>0.03</v>
      </c>
      <c r="Q446" s="399">
        <v>0.03</v>
      </c>
      <c r="R446" s="399"/>
      <c r="S446" s="399">
        <v>451.48</v>
      </c>
      <c r="T446" s="399">
        <v>144.41999999999999</v>
      </c>
      <c r="U446" s="399"/>
      <c r="V446" s="399">
        <v>17.876999999999999</v>
      </c>
      <c r="W446" s="399">
        <v>17.876999999999999</v>
      </c>
      <c r="X446" s="399">
        <v>17.746199999999998</v>
      </c>
      <c r="Y446" s="399">
        <v>0</v>
      </c>
      <c r="Z446" s="399">
        <v>0</v>
      </c>
      <c r="AA446" s="399">
        <v>0</v>
      </c>
      <c r="AB446" s="399">
        <v>0</v>
      </c>
      <c r="AC446" s="399">
        <v>0</v>
      </c>
      <c r="AD446" s="399">
        <v>3.0589096038198598</v>
      </c>
      <c r="AE446" s="399">
        <v>9.9572165520522589</v>
      </c>
      <c r="AF446" s="399">
        <v>4.3326547089145793</v>
      </c>
      <c r="AG446" s="399">
        <v>0</v>
      </c>
      <c r="AH446" s="399">
        <v>0</v>
      </c>
      <c r="AI446" s="399">
        <v>0</v>
      </c>
      <c r="AJ446" s="399">
        <v>0</v>
      </c>
      <c r="AK446" s="399">
        <v>0</v>
      </c>
      <c r="AL446" s="399">
        <v>0</v>
      </c>
      <c r="AM446" s="399"/>
      <c r="AN446" s="399">
        <v>4.3645655706284696E-2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0.48474972918938097</v>
      </c>
      <c r="BH446" s="399">
        <v>0</v>
      </c>
      <c r="BI446" s="399">
        <v>0</v>
      </c>
      <c r="BJ446" s="399">
        <v>0</v>
      </c>
      <c r="BK446" s="399">
        <v>0.75</v>
      </c>
      <c r="BL446" s="399">
        <v>0</v>
      </c>
      <c r="BM446" s="399"/>
      <c r="BN446" s="399"/>
      <c r="BO446" s="399"/>
      <c r="BP446" s="399"/>
      <c r="BQ446" s="399"/>
      <c r="BR446" s="399"/>
      <c r="BS446" s="399"/>
      <c r="BT446" s="399">
        <v>11.534999999999998</v>
      </c>
      <c r="BU446" s="399"/>
      <c r="BV446" s="399">
        <v>4.81740443810396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6.2111999999999998</v>
      </c>
      <c r="CJ446" s="399">
        <v>-7.5899999999998968E-2</v>
      </c>
      <c r="CK446" s="399"/>
      <c r="CL446" s="399"/>
      <c r="CM446" s="399"/>
      <c r="CN446" s="399"/>
      <c r="CO446" s="399">
        <v>-0.30600000000000133</v>
      </c>
      <c r="CP446" s="399">
        <v>0.17520000000000011</v>
      </c>
      <c r="CQ446" s="399">
        <v>30</v>
      </c>
      <c r="CR446" s="399">
        <v>0.3175471738014819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0.12801950139717011</v>
      </c>
      <c r="DA446" s="399">
        <v>0</v>
      </c>
      <c r="DB446" s="399">
        <v>0</v>
      </c>
      <c r="DC446" s="399">
        <v>0.17519377195020081</v>
      </c>
      <c r="DD446" s="399">
        <v>0</v>
      </c>
      <c r="DE446" s="399">
        <v>0</v>
      </c>
      <c r="DF446" s="399">
        <v>0</v>
      </c>
      <c r="DG446" s="399">
        <v>1.9601177387568058E-2</v>
      </c>
      <c r="DH446" s="399">
        <v>0</v>
      </c>
      <c r="DI446" s="399">
        <v>0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0</v>
      </c>
      <c r="DP446" s="399">
        <v>-5.2672769334558001E-3</v>
      </c>
      <c r="DQ446" s="399">
        <v>0</v>
      </c>
      <c r="DR446" s="399">
        <v>0</v>
      </c>
      <c r="DS446" s="399"/>
      <c r="DT446" s="399"/>
      <c r="DU446" s="399"/>
      <c r="DV446" s="399">
        <v>9.9572165520522589</v>
      </c>
      <c r="DW446" s="399">
        <v>0</v>
      </c>
      <c r="DX446" s="399">
        <v>0</v>
      </c>
      <c r="DY446" s="399">
        <v>-0.30600000000000094</v>
      </c>
      <c r="DZ446" s="399">
        <v>0.17520000000000024</v>
      </c>
      <c r="EA446" s="399">
        <v>0</v>
      </c>
      <c r="EB446" s="399">
        <v>0</v>
      </c>
      <c r="EC446" s="399">
        <v>-0.44844545708651928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225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445</v>
      </c>
      <c r="B447" s="399" t="s">
        <v>957</v>
      </c>
      <c r="C447" s="399" t="s">
        <v>2357</v>
      </c>
      <c r="D447" s="399" t="s">
        <v>1823</v>
      </c>
      <c r="E447" s="399" t="s">
        <v>890</v>
      </c>
      <c r="F447" s="399" t="s">
        <v>2362</v>
      </c>
      <c r="G447" s="399" t="s">
        <v>1240</v>
      </c>
      <c r="H447" s="399" t="s">
        <v>1240</v>
      </c>
      <c r="I447" s="399" t="s">
        <v>1240</v>
      </c>
      <c r="J447" s="399" t="s">
        <v>2358</v>
      </c>
      <c r="K447" s="789">
        <v>44713</v>
      </c>
      <c r="L447" s="399">
        <v>0</v>
      </c>
      <c r="M447" s="399">
        <v>0</v>
      </c>
      <c r="N447" s="399">
        <v>33.924999999999997</v>
      </c>
      <c r="O447" s="399">
        <v>33.924999999999997</v>
      </c>
      <c r="P447" s="399">
        <v>33.924999999999997</v>
      </c>
      <c r="Q447" s="399">
        <v>33.924999999999997</v>
      </c>
      <c r="R447" s="399"/>
      <c r="S447" s="399">
        <v>451.48</v>
      </c>
      <c r="T447" s="399">
        <v>144.41999999999999</v>
      </c>
      <c r="U447" s="399"/>
      <c r="V447" s="399">
        <v>20215.907499999998</v>
      </c>
      <c r="W447" s="399">
        <v>20215.907499999998</v>
      </c>
      <c r="X447" s="399">
        <v>20067.994499999997</v>
      </c>
      <c r="Y447" s="399">
        <v>0</v>
      </c>
      <c r="Z447" s="399">
        <v>0</v>
      </c>
      <c r="AA447" s="399">
        <v>0</v>
      </c>
      <c r="AB447" s="399">
        <v>0</v>
      </c>
      <c r="AC447" s="399">
        <v>0</v>
      </c>
      <c r="AD447" s="399">
        <v>3459.1169436529581</v>
      </c>
      <c r="AE447" s="399">
        <v>11259.952384279097</v>
      </c>
      <c r="AF447" s="399">
        <v>4899.5103666642372</v>
      </c>
      <c r="AG447" s="399">
        <v>0</v>
      </c>
      <c r="AH447" s="399">
        <v>0</v>
      </c>
      <c r="AI447" s="399">
        <v>0</v>
      </c>
      <c r="AJ447" s="399">
        <v>0</v>
      </c>
      <c r="AK447" s="399">
        <v>0</v>
      </c>
      <c r="AL447" s="399">
        <v>0</v>
      </c>
      <c r="AM447" s="399"/>
      <c r="AN447" s="399">
        <v>49.355962327856943</v>
      </c>
      <c r="AO447" s="399">
        <v>0</v>
      </c>
      <c r="AP447" s="399">
        <v>0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548.17115209165831</v>
      </c>
      <c r="BH447" s="399">
        <v>0</v>
      </c>
      <c r="BI447" s="399">
        <v>3.33</v>
      </c>
      <c r="BJ447" s="399">
        <v>15.32</v>
      </c>
      <c r="BK447" s="399">
        <v>1456.88</v>
      </c>
      <c r="BL447" s="399">
        <v>78</v>
      </c>
      <c r="BM447" s="399"/>
      <c r="BN447" s="399"/>
      <c r="BO447" s="399"/>
      <c r="BP447" s="399"/>
      <c r="BQ447" s="399"/>
      <c r="BR447" s="399"/>
      <c r="BS447" s="399"/>
      <c r="BT447" s="399">
        <v>8026.9942499999988</v>
      </c>
      <c r="BU447" s="399"/>
      <c r="BV447" s="399">
        <v>5447.681518755895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12042.7749</v>
      </c>
      <c r="CJ447" s="399">
        <v>-86.799599999998463</v>
      </c>
      <c r="CK447" s="399"/>
      <c r="CL447" s="399"/>
      <c r="CM447" s="399"/>
      <c r="CN447" s="399"/>
      <c r="CO447" s="399">
        <v>-346.0350000000015</v>
      </c>
      <c r="CP447" s="399">
        <v>198.1220000000001</v>
      </c>
      <c r="CQ447" s="399">
        <v>30</v>
      </c>
      <c r="CR447" s="399">
        <v>359.09292904051108</v>
      </c>
      <c r="CS447" s="399">
        <v>0</v>
      </c>
      <c r="CT447" s="399">
        <v>0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144.76871949663291</v>
      </c>
      <c r="DA447" s="399">
        <v>0</v>
      </c>
      <c r="DB447" s="399">
        <v>0</v>
      </c>
      <c r="DC447" s="399">
        <v>198.1149571136848</v>
      </c>
      <c r="DD447" s="399">
        <v>0</v>
      </c>
      <c r="DE447" s="399">
        <v>0</v>
      </c>
      <c r="DF447" s="399">
        <v>0</v>
      </c>
      <c r="DG447" s="399">
        <v>22.165664762441452</v>
      </c>
      <c r="DH447" s="399">
        <v>0</v>
      </c>
      <c r="DI447" s="399">
        <v>0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0</v>
      </c>
      <c r="DP447" s="399">
        <v>-5.9564123322495988</v>
      </c>
      <c r="DQ447" s="399">
        <v>0</v>
      </c>
      <c r="DR447" s="399">
        <v>0</v>
      </c>
      <c r="DS447" s="399"/>
      <c r="DT447" s="399"/>
      <c r="DU447" s="399"/>
      <c r="DV447" s="399">
        <v>11259.952384279097</v>
      </c>
      <c r="DW447" s="399">
        <v>0</v>
      </c>
      <c r="DX447" s="399">
        <v>0</v>
      </c>
      <c r="DY447" s="399">
        <v>-346.03500000000167</v>
      </c>
      <c r="DZ447" s="399">
        <v>198.12199999999939</v>
      </c>
      <c r="EA447" s="399">
        <v>0</v>
      </c>
      <c r="EB447" s="399">
        <v>0</v>
      </c>
      <c r="EC447" s="399">
        <v>-507.11707105534151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0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225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446</v>
      </c>
      <c r="B448" s="399" t="s">
        <v>2359</v>
      </c>
      <c r="C448" s="399" t="s">
        <v>2357</v>
      </c>
      <c r="D448" s="399" t="s">
        <v>1823</v>
      </c>
      <c r="E448" s="399" t="s">
        <v>890</v>
      </c>
      <c r="F448" s="399" t="s">
        <v>2362</v>
      </c>
      <c r="G448" s="399" t="s">
        <v>1240</v>
      </c>
      <c r="H448" s="399" t="s">
        <v>1240</v>
      </c>
      <c r="I448" s="399" t="s">
        <v>1240</v>
      </c>
      <c r="J448" s="399" t="s">
        <v>2358</v>
      </c>
      <c r="K448" s="789">
        <v>44713</v>
      </c>
      <c r="L448" s="399">
        <v>0</v>
      </c>
      <c r="M448" s="399">
        <v>0</v>
      </c>
      <c r="N448" s="399">
        <v>0.02</v>
      </c>
      <c r="O448" s="399">
        <v>0.02</v>
      </c>
      <c r="P448" s="399">
        <v>0.02</v>
      </c>
      <c r="Q448" s="399">
        <v>0.02</v>
      </c>
      <c r="R448" s="399"/>
      <c r="S448" s="399">
        <v>451.48</v>
      </c>
      <c r="T448" s="399">
        <v>144.41999999999999</v>
      </c>
      <c r="U448" s="399"/>
      <c r="V448" s="399">
        <v>11.917999999999999</v>
      </c>
      <c r="W448" s="399">
        <v>11.917999999999999</v>
      </c>
      <c r="X448" s="399">
        <v>11.8308</v>
      </c>
      <c r="Y448" s="399">
        <v>0</v>
      </c>
      <c r="Z448" s="399">
        <v>0</v>
      </c>
      <c r="AA448" s="399">
        <v>0</v>
      </c>
      <c r="AB448" s="399">
        <v>0</v>
      </c>
      <c r="AC448" s="399">
        <v>0</v>
      </c>
      <c r="AD448" s="399">
        <v>2.0392730692132401</v>
      </c>
      <c r="AE448" s="399">
        <v>6.6381443680348404</v>
      </c>
      <c r="AF448" s="399">
        <v>2.8884364726097198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0</v>
      </c>
      <c r="AM448" s="399"/>
      <c r="AN448" s="399">
        <v>2.9097103804189801E-2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0.32316648612625398</v>
      </c>
      <c r="BH448" s="399">
        <v>0</v>
      </c>
      <c r="BI448" s="399">
        <v>0</v>
      </c>
      <c r="BJ448" s="399">
        <v>0</v>
      </c>
      <c r="BK448" s="399">
        <v>0.85</v>
      </c>
      <c r="BL448" s="399">
        <v>0</v>
      </c>
      <c r="BM448" s="399"/>
      <c r="BN448" s="399"/>
      <c r="BO448" s="399"/>
      <c r="BP448" s="399"/>
      <c r="BQ448" s="399"/>
      <c r="BR448" s="399"/>
      <c r="BS448" s="399"/>
      <c r="BT448" s="399">
        <v>4.7321999999999997</v>
      </c>
      <c r="BU448" s="399"/>
      <c r="BV448" s="399">
        <v>3.2116029587359738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7.0985999999999994</v>
      </c>
      <c r="CJ448" s="399">
        <v>-8.2200000000000273E-2</v>
      </c>
      <c r="CK448" s="399"/>
      <c r="CL448" s="399"/>
      <c r="CM448" s="399"/>
      <c r="CN448" s="399"/>
      <c r="CO448" s="399">
        <v>-0.2040000000000009</v>
      </c>
      <c r="CP448" s="399">
        <v>0.11680000000000007</v>
      </c>
      <c r="CQ448" s="399">
        <v>30</v>
      </c>
      <c r="CR448" s="399">
        <v>0.21169811586765519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8.5346334264779777E-2</v>
      </c>
      <c r="DA448" s="399">
        <v>0</v>
      </c>
      <c r="DB448" s="399">
        <v>0</v>
      </c>
      <c r="DC448" s="399">
        <v>0.11679584796680054</v>
      </c>
      <c r="DD448" s="399">
        <v>0</v>
      </c>
      <c r="DE448" s="399">
        <v>0</v>
      </c>
      <c r="DF448" s="399">
        <v>0</v>
      </c>
      <c r="DG448" s="399">
        <v>1.306745159171202E-2</v>
      </c>
      <c r="DH448" s="399">
        <v>0</v>
      </c>
      <c r="DI448" s="399">
        <v>0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0</v>
      </c>
      <c r="DP448" s="399">
        <v>-3.5115179556372E-3</v>
      </c>
      <c r="DQ448" s="399">
        <v>0</v>
      </c>
      <c r="DR448" s="399">
        <v>0</v>
      </c>
      <c r="DS448" s="399"/>
      <c r="DT448" s="399"/>
      <c r="DU448" s="399"/>
      <c r="DV448" s="399">
        <v>6.6381443680348404</v>
      </c>
      <c r="DW448" s="399">
        <v>0</v>
      </c>
      <c r="DX448" s="399">
        <v>0</v>
      </c>
      <c r="DY448" s="399">
        <v>-0.20400000000000063</v>
      </c>
      <c r="DZ448" s="399">
        <v>0.11680000000000001</v>
      </c>
      <c r="EA448" s="399">
        <v>0</v>
      </c>
      <c r="EB448" s="399">
        <v>0</v>
      </c>
      <c r="EC448" s="399">
        <v>-0.298963638057681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225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447</v>
      </c>
      <c r="B449" s="399" t="s">
        <v>957</v>
      </c>
      <c r="C449" s="399" t="s">
        <v>2357</v>
      </c>
      <c r="D449" s="399" t="s">
        <v>1823</v>
      </c>
      <c r="E449" s="399" t="s">
        <v>890</v>
      </c>
      <c r="F449" s="399" t="s">
        <v>2363</v>
      </c>
      <c r="G449" s="399" t="s">
        <v>1240</v>
      </c>
      <c r="H449" s="399" t="s">
        <v>1240</v>
      </c>
      <c r="I449" s="399" t="s">
        <v>1240</v>
      </c>
      <c r="J449" s="399" t="s">
        <v>2358</v>
      </c>
      <c r="K449" s="789">
        <v>44713</v>
      </c>
      <c r="L449" s="399">
        <v>0</v>
      </c>
      <c r="M449" s="399">
        <v>0</v>
      </c>
      <c r="N449" s="399">
        <v>37.840000000000003</v>
      </c>
      <c r="O449" s="399">
        <v>37.840000000000003</v>
      </c>
      <c r="P449" s="399">
        <v>37.840000000000003</v>
      </c>
      <c r="Q449" s="399">
        <v>37.840000000000003</v>
      </c>
      <c r="R449" s="399"/>
      <c r="S449" s="399">
        <v>451.48</v>
      </c>
      <c r="T449" s="399">
        <v>144.41999999999999</v>
      </c>
      <c r="U449" s="399"/>
      <c r="V449" s="399">
        <v>22548.856000000003</v>
      </c>
      <c r="W449" s="399">
        <v>22548.856000000003</v>
      </c>
      <c r="X449" s="399">
        <v>22383.873600000003</v>
      </c>
      <c r="Y449" s="399">
        <v>0</v>
      </c>
      <c r="Z449" s="399">
        <v>0</v>
      </c>
      <c r="AA449" s="399">
        <v>0</v>
      </c>
      <c r="AB449" s="399">
        <v>0</v>
      </c>
      <c r="AC449" s="399">
        <v>0</v>
      </c>
      <c r="AD449" s="399">
        <v>3858.3046469514506</v>
      </c>
      <c r="AE449" s="399">
        <v>12559.369144321918</v>
      </c>
      <c r="AF449" s="399">
        <v>5464.92180617759</v>
      </c>
      <c r="AG449" s="399">
        <v>0</v>
      </c>
      <c r="AH449" s="399">
        <v>0</v>
      </c>
      <c r="AI449" s="399">
        <v>0</v>
      </c>
      <c r="AJ449" s="399">
        <v>0</v>
      </c>
      <c r="AK449" s="399">
        <v>0</v>
      </c>
      <c r="AL449" s="399">
        <v>0</v>
      </c>
      <c r="AM449" s="399"/>
      <c r="AN449" s="399">
        <v>55.051720397527106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611.43099175087264</v>
      </c>
      <c r="BH449" s="399">
        <v>0</v>
      </c>
      <c r="BI449" s="399">
        <v>5.48</v>
      </c>
      <c r="BJ449" s="399">
        <v>25.97</v>
      </c>
      <c r="BK449" s="399">
        <v>4194.87</v>
      </c>
      <c r="BL449" s="399">
        <v>242</v>
      </c>
      <c r="BM449" s="399"/>
      <c r="BN449" s="399"/>
      <c r="BO449" s="399"/>
      <c r="BP449" s="399"/>
      <c r="BQ449" s="399"/>
      <c r="BR449" s="399"/>
      <c r="BS449" s="399"/>
      <c r="BT449" s="399">
        <v>2238.2359999999994</v>
      </c>
      <c r="BU449" s="399"/>
      <c r="BV449" s="399">
        <v>6076.3527979284627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20145.637600000002</v>
      </c>
      <c r="CJ449" s="399">
        <v>-148.74119999999675</v>
      </c>
      <c r="CK449" s="399"/>
      <c r="CL449" s="399"/>
      <c r="CM449" s="399"/>
      <c r="CN449" s="399"/>
      <c r="CO449" s="399">
        <v>-385.96800000000178</v>
      </c>
      <c r="CP449" s="399">
        <v>220.98560000000015</v>
      </c>
      <c r="CQ449" s="399">
        <v>30</v>
      </c>
      <c r="CR449" s="399">
        <v>400.53283522160564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161.47526442896333</v>
      </c>
      <c r="DA449" s="399">
        <v>0</v>
      </c>
      <c r="DB449" s="399">
        <v>0</v>
      </c>
      <c r="DC449" s="399">
        <v>220.97774435318661</v>
      </c>
      <c r="DD449" s="399">
        <v>0</v>
      </c>
      <c r="DE449" s="399">
        <v>0</v>
      </c>
      <c r="DF449" s="399">
        <v>0</v>
      </c>
      <c r="DG449" s="399">
        <v>24.723618411519055</v>
      </c>
      <c r="DH449" s="399">
        <v>0</v>
      </c>
      <c r="DI449" s="399">
        <v>0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0</v>
      </c>
      <c r="DP449" s="399">
        <v>-6.6437919720655856</v>
      </c>
      <c r="DQ449" s="399">
        <v>0</v>
      </c>
      <c r="DR449" s="399">
        <v>0</v>
      </c>
      <c r="DS449" s="399"/>
      <c r="DT449" s="399"/>
      <c r="DU449" s="399"/>
      <c r="DV449" s="399">
        <v>12559.369144321918</v>
      </c>
      <c r="DW449" s="399">
        <v>0</v>
      </c>
      <c r="DX449" s="399">
        <v>0</v>
      </c>
      <c r="DY449" s="399">
        <v>-385.96800000000076</v>
      </c>
      <c r="DZ449" s="399">
        <v>220.98560000000089</v>
      </c>
      <c r="EA449" s="399">
        <v>0</v>
      </c>
      <c r="EB449" s="399">
        <v>0</v>
      </c>
      <c r="EC449" s="399">
        <v>-565.63920320512989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0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225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448</v>
      </c>
      <c r="B450" s="399" t="s">
        <v>2359</v>
      </c>
      <c r="C450" s="399" t="s">
        <v>2357</v>
      </c>
      <c r="D450" s="399" t="s">
        <v>1823</v>
      </c>
      <c r="E450" s="399" t="s">
        <v>890</v>
      </c>
      <c r="F450" s="399" t="s">
        <v>2363</v>
      </c>
      <c r="G450" s="399" t="s">
        <v>1240</v>
      </c>
      <c r="H450" s="399" t="s">
        <v>1240</v>
      </c>
      <c r="I450" s="399" t="s">
        <v>1240</v>
      </c>
      <c r="J450" s="399" t="s">
        <v>2358</v>
      </c>
      <c r="K450" s="789">
        <v>44713</v>
      </c>
      <c r="L450" s="399">
        <v>0</v>
      </c>
      <c r="M450" s="399">
        <v>0</v>
      </c>
      <c r="N450" s="399">
        <v>-1.6E-2</v>
      </c>
      <c r="O450" s="399">
        <v>-1.6E-2</v>
      </c>
      <c r="P450" s="399">
        <v>-1.6E-2</v>
      </c>
      <c r="Q450" s="399">
        <v>-1.6E-2</v>
      </c>
      <c r="R450" s="399"/>
      <c r="S450" s="399">
        <v>451.48</v>
      </c>
      <c r="T450" s="399">
        <v>144.41999999999999</v>
      </c>
      <c r="U450" s="399"/>
      <c r="V450" s="399">
        <v>-9.5344000000000015</v>
      </c>
      <c r="W450" s="399">
        <v>-9.5344000000000015</v>
      </c>
      <c r="X450" s="399">
        <v>-9.4646399999999993</v>
      </c>
      <c r="Y450" s="399">
        <v>0</v>
      </c>
      <c r="Z450" s="399">
        <v>0</v>
      </c>
      <c r="AA450" s="399">
        <v>0</v>
      </c>
      <c r="AB450" s="399">
        <v>0</v>
      </c>
      <c r="AC450" s="399">
        <v>0</v>
      </c>
      <c r="AD450" s="399">
        <v>-1.6314184553705922</v>
      </c>
      <c r="AE450" s="399">
        <v>-5.3105154944278725</v>
      </c>
      <c r="AF450" s="399">
        <v>-2.310749178087776</v>
      </c>
      <c r="AG450" s="399">
        <v>0</v>
      </c>
      <c r="AH450" s="399">
        <v>0</v>
      </c>
      <c r="AI450" s="399">
        <v>0</v>
      </c>
      <c r="AJ450" s="399">
        <v>0</v>
      </c>
      <c r="AK450" s="399">
        <v>0</v>
      </c>
      <c r="AL450" s="399">
        <v>0</v>
      </c>
      <c r="AM450" s="399"/>
      <c r="AN450" s="399">
        <v>-2.327768304335184E-2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-0.25853318890100319</v>
      </c>
      <c r="BH450" s="399">
        <v>0</v>
      </c>
      <c r="BI450" s="399">
        <v>0</v>
      </c>
      <c r="BJ450" s="399">
        <v>0</v>
      </c>
      <c r="BK450" s="399">
        <v>-1.86</v>
      </c>
      <c r="BL450" s="399">
        <v>0</v>
      </c>
      <c r="BM450" s="399"/>
      <c r="BN450" s="399"/>
      <c r="BO450" s="399"/>
      <c r="BP450" s="399"/>
      <c r="BQ450" s="399"/>
      <c r="BR450" s="399"/>
      <c r="BS450" s="399"/>
      <c r="BT450" s="399">
        <v>-0.94639999999999969</v>
      </c>
      <c r="BU450" s="399"/>
      <c r="BV450" s="399">
        <v>-2.5692823669887792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-10.6478</v>
      </c>
      <c r="CJ450" s="399">
        <v>-2.096680000000001</v>
      </c>
      <c r="CK450" s="399"/>
      <c r="CL450" s="399"/>
      <c r="CM450" s="399"/>
      <c r="CN450" s="399"/>
      <c r="CO450" s="399">
        <v>0.16320000000000073</v>
      </c>
      <c r="CP450" s="399">
        <v>-9.3440000000000051E-2</v>
      </c>
      <c r="CQ450" s="399">
        <v>30</v>
      </c>
      <c r="CR450" s="399">
        <v>-0.16935849269412362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-6.8277067411823822E-2</v>
      </c>
      <c r="DA450" s="399">
        <v>0</v>
      </c>
      <c r="DB450" s="399">
        <v>0</v>
      </c>
      <c r="DC450" s="399">
        <v>-9.3436678373440163E-2</v>
      </c>
      <c r="DD450" s="399">
        <v>0</v>
      </c>
      <c r="DE450" s="399">
        <v>0</v>
      </c>
      <c r="DF450" s="399">
        <v>0</v>
      </c>
      <c r="DG450" s="399">
        <v>-1.0453961273369616E-2</v>
      </c>
      <c r="DH450" s="399">
        <v>0</v>
      </c>
      <c r="DI450" s="399">
        <v>0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0</v>
      </c>
      <c r="DP450" s="399">
        <v>2.80921436450976E-3</v>
      </c>
      <c r="DQ450" s="399">
        <v>0</v>
      </c>
      <c r="DR450" s="399">
        <v>0</v>
      </c>
      <c r="DS450" s="399"/>
      <c r="DT450" s="399"/>
      <c r="DU450" s="399"/>
      <c r="DV450" s="399">
        <v>-5.3105154944278725</v>
      </c>
      <c r="DW450" s="399">
        <v>0</v>
      </c>
      <c r="DX450" s="399">
        <v>0</v>
      </c>
      <c r="DY450" s="399">
        <v>0.16320000000000068</v>
      </c>
      <c r="DZ450" s="399">
        <v>-9.344000000000019E-2</v>
      </c>
      <c r="EA450" s="399">
        <v>0</v>
      </c>
      <c r="EB450" s="399">
        <v>0</v>
      </c>
      <c r="EC450" s="399">
        <v>0.2391709104461448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0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225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449</v>
      </c>
      <c r="B451" s="399" t="s">
        <v>957</v>
      </c>
      <c r="C451" s="399" t="s">
        <v>2357</v>
      </c>
      <c r="D451" s="399" t="s">
        <v>1823</v>
      </c>
      <c r="E451" s="399" t="s">
        <v>890</v>
      </c>
      <c r="F451" s="399" t="s">
        <v>2364</v>
      </c>
      <c r="G451" s="399" t="s">
        <v>1240</v>
      </c>
      <c r="H451" s="399" t="s">
        <v>1240</v>
      </c>
      <c r="I451" s="399" t="s">
        <v>1240</v>
      </c>
      <c r="J451" s="399" t="s">
        <v>2358</v>
      </c>
      <c r="K451" s="789">
        <v>44713</v>
      </c>
      <c r="L451" s="399">
        <v>0</v>
      </c>
      <c r="M451" s="399">
        <v>0</v>
      </c>
      <c r="N451" s="399">
        <v>18.523</v>
      </c>
      <c r="O451" s="399">
        <v>18.523</v>
      </c>
      <c r="P451" s="399">
        <v>18.523</v>
      </c>
      <c r="Q451" s="399">
        <v>18.523</v>
      </c>
      <c r="R451" s="399"/>
      <c r="S451" s="399">
        <v>451.48</v>
      </c>
      <c r="T451" s="399">
        <v>144.41999999999999</v>
      </c>
      <c r="U451" s="399"/>
      <c r="V451" s="399">
        <v>11037.8557</v>
      </c>
      <c r="W451" s="399">
        <v>11037.8557</v>
      </c>
      <c r="X451" s="399">
        <v>10957.09542</v>
      </c>
      <c r="Y451" s="399">
        <v>0</v>
      </c>
      <c r="Z451" s="399">
        <v>0</v>
      </c>
      <c r="AA451" s="399">
        <v>0</v>
      </c>
      <c r="AB451" s="399">
        <v>0</v>
      </c>
      <c r="AC451" s="399">
        <v>0</v>
      </c>
      <c r="AD451" s="399">
        <v>1888.6727530518422</v>
      </c>
      <c r="AE451" s="399">
        <v>6147.9174064554672</v>
      </c>
      <c r="AF451" s="399">
        <v>2675.1254391074917</v>
      </c>
      <c r="AG451" s="399">
        <v>0</v>
      </c>
      <c r="AH451" s="399">
        <v>0</v>
      </c>
      <c r="AI451" s="399">
        <v>0</v>
      </c>
      <c r="AJ451" s="399">
        <v>0</v>
      </c>
      <c r="AK451" s="399">
        <v>0</v>
      </c>
      <c r="AL451" s="399">
        <v>0</v>
      </c>
      <c r="AM451" s="399"/>
      <c r="AN451" s="399">
        <v>26.94828268825038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299.30064112583011</v>
      </c>
      <c r="BH451" s="399">
        <v>0</v>
      </c>
      <c r="BI451" s="399">
        <v>1.37</v>
      </c>
      <c r="BJ451" s="399">
        <v>6.63</v>
      </c>
      <c r="BK451" s="399">
        <v>3247.82</v>
      </c>
      <c r="BL451" s="399">
        <v>197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>
        <v>2974.426080233322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10955.3208</v>
      </c>
      <c r="CJ451" s="399">
        <v>-82.564900000001217</v>
      </c>
      <c r="CK451" s="399"/>
      <c r="CL451" s="399"/>
      <c r="CM451" s="399"/>
      <c r="CN451" s="399"/>
      <c r="CO451" s="399">
        <v>-188.93460000000084</v>
      </c>
      <c r="CP451" s="399">
        <v>108.17432000000007</v>
      </c>
      <c r="CQ451" s="399">
        <v>30</v>
      </c>
      <c r="CR451" s="399">
        <v>196.06421001082981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79.043507479326081</v>
      </c>
      <c r="DA451" s="399">
        <v>0</v>
      </c>
      <c r="DB451" s="399">
        <v>0</v>
      </c>
      <c r="DC451" s="399">
        <v>108.17047459445257</v>
      </c>
      <c r="DD451" s="399">
        <v>0</v>
      </c>
      <c r="DE451" s="399">
        <v>0</v>
      </c>
      <c r="DF451" s="399">
        <v>0</v>
      </c>
      <c r="DG451" s="399">
        <v>12.102420291664089</v>
      </c>
      <c r="DH451" s="399">
        <v>0</v>
      </c>
      <c r="DI451" s="399">
        <v>0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0</v>
      </c>
      <c r="DP451" s="399">
        <v>-3.252192354613392</v>
      </c>
      <c r="DQ451" s="399">
        <v>0</v>
      </c>
      <c r="DR451" s="399">
        <v>0</v>
      </c>
      <c r="DS451" s="399"/>
      <c r="DT451" s="399"/>
      <c r="DU451" s="399"/>
      <c r="DV451" s="399">
        <v>6147.9174064554672</v>
      </c>
      <c r="DW451" s="399">
        <v>0</v>
      </c>
      <c r="DX451" s="399">
        <v>0</v>
      </c>
      <c r="DY451" s="399">
        <v>-188.9346000000005</v>
      </c>
      <c r="DZ451" s="399">
        <v>108.17432000000008</v>
      </c>
      <c r="EA451" s="399">
        <v>0</v>
      </c>
      <c r="EB451" s="399">
        <v>0</v>
      </c>
      <c r="EC451" s="399">
        <v>-276.88517338712063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225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450</v>
      </c>
      <c r="B452" s="399" t="s">
        <v>2359</v>
      </c>
      <c r="C452" s="399" t="s">
        <v>2357</v>
      </c>
      <c r="D452" s="399" t="s">
        <v>1823</v>
      </c>
      <c r="E452" s="399" t="s">
        <v>890</v>
      </c>
      <c r="F452" s="399" t="s">
        <v>2364</v>
      </c>
      <c r="G452" s="399" t="s">
        <v>1240</v>
      </c>
      <c r="H452" s="399" t="s">
        <v>1240</v>
      </c>
      <c r="I452" s="399" t="s">
        <v>1240</v>
      </c>
      <c r="J452" s="399" t="s">
        <v>2358</v>
      </c>
      <c r="K452" s="789">
        <v>44713</v>
      </c>
      <c r="L452" s="399">
        <v>0</v>
      </c>
      <c r="M452" s="399">
        <v>0</v>
      </c>
      <c r="N452" s="399">
        <v>0.309</v>
      </c>
      <c r="O452" s="399">
        <v>0.309</v>
      </c>
      <c r="P452" s="399">
        <v>0.309</v>
      </c>
      <c r="Q452" s="399">
        <v>0.309</v>
      </c>
      <c r="R452" s="399"/>
      <c r="S452" s="399">
        <v>451.48</v>
      </c>
      <c r="T452" s="399">
        <v>144.41999999999999</v>
      </c>
      <c r="U452" s="399"/>
      <c r="V452" s="399">
        <v>184.13309999999998</v>
      </c>
      <c r="W452" s="399">
        <v>184.13309999999998</v>
      </c>
      <c r="X452" s="399">
        <v>182.78585999999999</v>
      </c>
      <c r="Y452" s="399">
        <v>0</v>
      </c>
      <c r="Z452" s="399">
        <v>0</v>
      </c>
      <c r="AA452" s="399">
        <v>0</v>
      </c>
      <c r="AB452" s="399">
        <v>0</v>
      </c>
      <c r="AC452" s="399">
        <v>0</v>
      </c>
      <c r="AD452" s="399">
        <v>31.506768919344559</v>
      </c>
      <c r="AE452" s="399">
        <v>102.55933048613828</v>
      </c>
      <c r="AF452" s="399">
        <v>44.626343501820173</v>
      </c>
      <c r="AG452" s="399">
        <v>0</v>
      </c>
      <c r="AH452" s="399">
        <v>0</v>
      </c>
      <c r="AI452" s="399">
        <v>0</v>
      </c>
      <c r="AJ452" s="399">
        <v>0</v>
      </c>
      <c r="AK452" s="399">
        <v>0</v>
      </c>
      <c r="AL452" s="399">
        <v>0</v>
      </c>
      <c r="AM452" s="399"/>
      <c r="AN452" s="399">
        <v>0.4495502537747324</v>
      </c>
      <c r="AO452" s="399">
        <v>0</v>
      </c>
      <c r="AP452" s="399">
        <v>0</v>
      </c>
      <c r="AQ452" s="399">
        <v>0</v>
      </c>
      <c r="AR452" s="399">
        <v>0</v>
      </c>
      <c r="AS452" s="399">
        <v>0</v>
      </c>
      <c r="AT452" s="399">
        <v>0</v>
      </c>
      <c r="AU452" s="399">
        <v>0</v>
      </c>
      <c r="AV452" s="399">
        <v>0</v>
      </c>
      <c r="AW452" s="399">
        <v>0</v>
      </c>
      <c r="AX452" s="399">
        <v>0</v>
      </c>
      <c r="AY452" s="399">
        <v>0</v>
      </c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>
        <v>0</v>
      </c>
      <c r="BG452" s="399">
        <v>4.9929222106506241</v>
      </c>
      <c r="BH452" s="399">
        <v>0</v>
      </c>
      <c r="BI452" s="399">
        <v>0</v>
      </c>
      <c r="BJ452" s="399">
        <v>0</v>
      </c>
      <c r="BK452" s="399">
        <v>54.15</v>
      </c>
      <c r="BL452" s="399">
        <v>0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>
        <v>49.619265712470799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183.37739999999999</v>
      </c>
      <c r="CJ452" s="399">
        <v>-0.78569999999996298</v>
      </c>
      <c r="CK452" s="399"/>
      <c r="CL452" s="399"/>
      <c r="CM452" s="399"/>
      <c r="CN452" s="399"/>
      <c r="CO452" s="399">
        <v>-3.1518000000000139</v>
      </c>
      <c r="CP452" s="399">
        <v>1.8045600000000011</v>
      </c>
      <c r="CQ452" s="399">
        <v>30</v>
      </c>
      <c r="CR452" s="399">
        <v>3.2707358901552652</v>
      </c>
      <c r="CS452" s="399">
        <v>0</v>
      </c>
      <c r="CT452" s="399">
        <v>0</v>
      </c>
      <c r="CU452" s="399">
        <v>0</v>
      </c>
      <c r="CV452" s="399">
        <v>0</v>
      </c>
      <c r="CW452" s="399">
        <v>0</v>
      </c>
      <c r="CX452" s="399">
        <v>0</v>
      </c>
      <c r="CY452" s="399">
        <v>0</v>
      </c>
      <c r="CZ452" s="399">
        <v>1.3186008643908522</v>
      </c>
      <c r="DA452" s="399">
        <v>0</v>
      </c>
      <c r="DB452" s="399">
        <v>0</v>
      </c>
      <c r="DC452" s="399">
        <v>1.8044958510870615</v>
      </c>
      <c r="DD452" s="399">
        <v>0</v>
      </c>
      <c r="DE452" s="399">
        <v>0</v>
      </c>
      <c r="DF452" s="399">
        <v>0</v>
      </c>
      <c r="DG452" s="399">
        <v>0.20189212709195026</v>
      </c>
      <c r="DH452" s="399">
        <v>0</v>
      </c>
      <c r="DI452" s="399">
        <v>0</v>
      </c>
      <c r="DJ452" s="399"/>
      <c r="DK452" s="399">
        <v>0</v>
      </c>
      <c r="DL452" s="399">
        <v>0</v>
      </c>
      <c r="DM452" s="399">
        <v>0</v>
      </c>
      <c r="DN452" s="399">
        <v>0</v>
      </c>
      <c r="DO452" s="399">
        <v>0</v>
      </c>
      <c r="DP452" s="399">
        <v>-5.4252952414594768E-2</v>
      </c>
      <c r="DQ452" s="399">
        <v>0</v>
      </c>
      <c r="DR452" s="399">
        <v>0</v>
      </c>
      <c r="DS452" s="399"/>
      <c r="DT452" s="399"/>
      <c r="DU452" s="399"/>
      <c r="DV452" s="399">
        <v>102.55933048613828</v>
      </c>
      <c r="DW452" s="399">
        <v>0</v>
      </c>
      <c r="DX452" s="399">
        <v>0</v>
      </c>
      <c r="DY452" s="399">
        <v>-3.1518000000000086</v>
      </c>
      <c r="DZ452" s="399">
        <v>1.8045599999999951</v>
      </c>
      <c r="EA452" s="399">
        <v>0</v>
      </c>
      <c r="EB452" s="399">
        <v>0</v>
      </c>
      <c r="EC452" s="399">
        <v>-4.6189882079911655</v>
      </c>
      <c r="ED452" s="399">
        <v>0</v>
      </c>
      <c r="EE452" s="399">
        <v>0</v>
      </c>
      <c r="EF452" s="399">
        <v>0</v>
      </c>
      <c r="EG452" s="399">
        <v>0</v>
      </c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>
        <v>0</v>
      </c>
      <c r="EN452" s="399">
        <v>0</v>
      </c>
      <c r="EO452" s="399">
        <v>0</v>
      </c>
      <c r="EP452" s="399">
        <v>0</v>
      </c>
      <c r="EQ452" s="399">
        <v>0</v>
      </c>
      <c r="ER452" s="399">
        <v>0</v>
      </c>
      <c r="ES452" s="399">
        <v>0</v>
      </c>
      <c r="ET452" s="399">
        <v>0</v>
      </c>
      <c r="EU452" s="399">
        <v>0</v>
      </c>
      <c r="EV452" s="399">
        <v>225</v>
      </c>
      <c r="EW452" s="399">
        <v>0</v>
      </c>
      <c r="EX452" s="399">
        <v>0</v>
      </c>
      <c r="EY452" s="399">
        <v>0</v>
      </c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451</v>
      </c>
      <c r="B453" s="399" t="s">
        <v>957</v>
      </c>
      <c r="C453" s="399" t="s">
        <v>2357</v>
      </c>
      <c r="D453" s="399" t="s">
        <v>1826</v>
      </c>
      <c r="E453" s="399" t="s">
        <v>891</v>
      </c>
      <c r="F453" s="399" t="s">
        <v>1240</v>
      </c>
      <c r="G453" s="399" t="s">
        <v>1240</v>
      </c>
      <c r="H453" s="399" t="s">
        <v>1240</v>
      </c>
      <c r="I453" s="399" t="s">
        <v>1240</v>
      </c>
      <c r="J453" s="399" t="s">
        <v>2358</v>
      </c>
      <c r="K453" s="789">
        <v>44713</v>
      </c>
      <c r="L453" s="399">
        <v>0</v>
      </c>
      <c r="M453" s="399">
        <v>0</v>
      </c>
      <c r="N453" s="399">
        <v>344.166</v>
      </c>
      <c r="O453" s="399">
        <v>344.166</v>
      </c>
      <c r="P453" s="399">
        <v>344.166</v>
      </c>
      <c r="Q453" s="399">
        <v>344.166</v>
      </c>
      <c r="R453" s="399"/>
      <c r="S453" s="399">
        <v>522.37</v>
      </c>
      <c r="T453" s="399">
        <v>144.41999999999999</v>
      </c>
      <c r="U453" s="399"/>
      <c r="V453" s="399">
        <v>229486.44714</v>
      </c>
      <c r="W453" s="399">
        <v>229486.44714</v>
      </c>
      <c r="X453" s="399">
        <v>224306.74884000001</v>
      </c>
      <c r="Y453" s="399">
        <v>0</v>
      </c>
      <c r="Z453" s="399">
        <v>21132.128111588434</v>
      </c>
      <c r="AA453" s="399">
        <v>0</v>
      </c>
      <c r="AB453" s="399">
        <v>0</v>
      </c>
      <c r="AC453" s="399">
        <v>0</v>
      </c>
      <c r="AD453" s="399">
        <v>35092.4227569422</v>
      </c>
      <c r="AE453" s="399">
        <v>114231.17972845394</v>
      </c>
      <c r="AF453" s="399">
        <v>49705.081351609842</v>
      </c>
      <c r="AG453" s="399">
        <v>0</v>
      </c>
      <c r="AH453" s="399">
        <v>0</v>
      </c>
      <c r="AI453" s="399">
        <v>0</v>
      </c>
      <c r="AJ453" s="399">
        <v>0</v>
      </c>
      <c r="AK453" s="399">
        <v>0</v>
      </c>
      <c r="AL453" s="399">
        <v>3263.6420820613566</v>
      </c>
      <c r="AM453" s="399"/>
      <c r="AN453" s="399">
        <v>500.71169139363928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5561.1458432064164</v>
      </c>
      <c r="BH453" s="399">
        <v>0</v>
      </c>
      <c r="BI453" s="399">
        <v>24.95</v>
      </c>
      <c r="BJ453" s="399">
        <v>117.39</v>
      </c>
      <c r="BK453" s="399">
        <v>66792.67</v>
      </c>
      <c r="BL453" s="399">
        <v>571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55266.22719481626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224309.35580000002</v>
      </c>
      <c r="CJ453" s="399">
        <v>-5177.1213400000124</v>
      </c>
      <c r="CK453" s="399"/>
      <c r="CL453" s="399"/>
      <c r="CM453" s="399"/>
      <c r="CN453" s="399"/>
      <c r="CO453" s="399">
        <v>-7189.6277399999954</v>
      </c>
      <c r="CP453" s="399">
        <v>2009.9294400000013</v>
      </c>
      <c r="CQ453" s="399">
        <v>30</v>
      </c>
      <c r="CR453" s="399">
        <v>-33.032624354629661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1468.6653239286097</v>
      </c>
      <c r="DA453" s="399">
        <v>0</v>
      </c>
      <c r="DB453" s="399">
        <v>0</v>
      </c>
      <c r="DC453" s="399">
        <v>2009.8579905670922</v>
      </c>
      <c r="DD453" s="399">
        <v>0</v>
      </c>
      <c r="DE453" s="399">
        <v>0</v>
      </c>
      <c r="DF453" s="399">
        <v>0</v>
      </c>
      <c r="DG453" s="399">
        <v>224.8686272256582</v>
      </c>
      <c r="DH453" s="399">
        <v>0</v>
      </c>
      <c r="DI453" s="399">
        <v>-3246.5524053432564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-429.4449062967501</v>
      </c>
      <c r="DP453" s="399">
        <v>-60.427254435991586</v>
      </c>
      <c r="DQ453" s="399">
        <v>0</v>
      </c>
      <c r="DR453" s="399">
        <v>0</v>
      </c>
      <c r="DS453" s="399"/>
      <c r="DT453" s="399"/>
      <c r="DU453" s="399"/>
      <c r="DV453" s="399">
        <v>114231.17972845394</v>
      </c>
      <c r="DW453" s="399">
        <v>0</v>
      </c>
      <c r="DX453" s="399">
        <v>0</v>
      </c>
      <c r="DY453" s="399">
        <v>-7189.6277399999963</v>
      </c>
      <c r="DZ453" s="399">
        <v>2009.9294399999999</v>
      </c>
      <c r="EA453" s="399">
        <v>0</v>
      </c>
      <c r="EB453" s="399">
        <v>0</v>
      </c>
      <c r="EC453" s="399">
        <v>-5144.6559727879794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0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225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452</v>
      </c>
      <c r="B454" s="399" t="s">
        <v>2360</v>
      </c>
      <c r="C454" s="399" t="s">
        <v>2357</v>
      </c>
      <c r="D454" s="399" t="s">
        <v>1826</v>
      </c>
      <c r="E454" s="399" t="s">
        <v>891</v>
      </c>
      <c r="F454" s="399" t="s">
        <v>1240</v>
      </c>
      <c r="G454" s="399" t="s">
        <v>1240</v>
      </c>
      <c r="H454" s="399" t="s">
        <v>1240</v>
      </c>
      <c r="I454" s="399" t="s">
        <v>1240</v>
      </c>
      <c r="J454" s="399" t="s">
        <v>2358</v>
      </c>
      <c r="K454" s="789">
        <v>44713</v>
      </c>
      <c r="L454" s="399">
        <v>0</v>
      </c>
      <c r="M454" s="399">
        <v>0</v>
      </c>
      <c r="N454" s="399">
        <v>11.874000000000001</v>
      </c>
      <c r="O454" s="399">
        <v>11.874000000000001</v>
      </c>
      <c r="P454" s="399">
        <v>11.874000000000001</v>
      </c>
      <c r="Q454" s="399">
        <v>11.874000000000001</v>
      </c>
      <c r="R454" s="399"/>
      <c r="S454" s="399">
        <v>522.37</v>
      </c>
      <c r="T454" s="399">
        <v>144.41999999999999</v>
      </c>
      <c r="U454" s="399"/>
      <c r="V454" s="399">
        <v>7917.4644600000001</v>
      </c>
      <c r="W454" s="399">
        <v>7917.4644600000001</v>
      </c>
      <c r="X454" s="399">
        <v>7738.760760000001</v>
      </c>
      <c r="Y454" s="399">
        <v>0</v>
      </c>
      <c r="Z454" s="399">
        <v>729.07518231609481</v>
      </c>
      <c r="AA454" s="399">
        <v>0</v>
      </c>
      <c r="AB454" s="399">
        <v>0</v>
      </c>
      <c r="AC454" s="399">
        <v>0</v>
      </c>
      <c r="AD454" s="399">
        <v>1210.7164211919007</v>
      </c>
      <c r="AE454" s="399">
        <v>3941.0663113022847</v>
      </c>
      <c r="AF454" s="399">
        <v>1714.8647337883908</v>
      </c>
      <c r="AG454" s="399">
        <v>0</v>
      </c>
      <c r="AH454" s="399">
        <v>0</v>
      </c>
      <c r="AI454" s="399">
        <v>0</v>
      </c>
      <c r="AJ454" s="399">
        <v>0</v>
      </c>
      <c r="AK454" s="399">
        <v>0</v>
      </c>
      <c r="AL454" s="399">
        <v>112.59824062341006</v>
      </c>
      <c r="AM454" s="399"/>
      <c r="AN454" s="399">
        <v>17.274950528547485</v>
      </c>
      <c r="AO454" s="399">
        <v>0</v>
      </c>
      <c r="AP454" s="399">
        <v>0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191.863942813157</v>
      </c>
      <c r="BH454" s="399">
        <v>0</v>
      </c>
      <c r="BI454" s="399">
        <v>0</v>
      </c>
      <c r="BJ454" s="399">
        <v>0</v>
      </c>
      <c r="BK454" s="399">
        <v>8227.2099999999991</v>
      </c>
      <c r="BL454" s="399">
        <v>11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>
        <v>1906.7286766015477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7736.1537999999991</v>
      </c>
      <c r="CJ454" s="399">
        <v>-181.34066000000166</v>
      </c>
      <c r="CK454" s="399"/>
      <c r="CL454" s="399"/>
      <c r="CM454" s="399"/>
      <c r="CN454" s="399"/>
      <c r="CO454" s="399">
        <v>-248.04785999999984</v>
      </c>
      <c r="CP454" s="399">
        <v>69.344160000000045</v>
      </c>
      <c r="CQ454" s="399">
        <v>30</v>
      </c>
      <c r="CR454" s="399">
        <v>-1.1396517424354897</v>
      </c>
      <c r="CS454" s="399">
        <v>0</v>
      </c>
      <c r="CT454" s="399">
        <v>0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50.67011865299969</v>
      </c>
      <c r="DA454" s="399">
        <v>0</v>
      </c>
      <c r="DB454" s="399">
        <v>0</v>
      </c>
      <c r="DC454" s="399">
        <v>69.341694937889315</v>
      </c>
      <c r="DD454" s="399">
        <v>0</v>
      </c>
      <c r="DE454" s="399">
        <v>0</v>
      </c>
      <c r="DF454" s="399">
        <v>0</v>
      </c>
      <c r="DG454" s="399">
        <v>7.7581460099994217</v>
      </c>
      <c r="DH454" s="399">
        <v>0</v>
      </c>
      <c r="DI454" s="399">
        <v>-112.00863322073019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-14.816189912331865</v>
      </c>
      <c r="DP454" s="399">
        <v>-2.0847882102618058</v>
      </c>
      <c r="DQ454" s="399">
        <v>0</v>
      </c>
      <c r="DR454" s="399">
        <v>0</v>
      </c>
      <c r="DS454" s="399"/>
      <c r="DT454" s="399"/>
      <c r="DU454" s="399"/>
      <c r="DV454" s="399">
        <v>3941.0663113022847</v>
      </c>
      <c r="DW454" s="399">
        <v>0</v>
      </c>
      <c r="DX454" s="399">
        <v>0</v>
      </c>
      <c r="DY454" s="399">
        <v>-248.04785999999967</v>
      </c>
      <c r="DZ454" s="399">
        <v>69.344160000000102</v>
      </c>
      <c r="EA454" s="399">
        <v>0</v>
      </c>
      <c r="EB454" s="399">
        <v>0</v>
      </c>
      <c r="EC454" s="399">
        <v>-177.49471191484463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0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225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453</v>
      </c>
      <c r="B455" s="399" t="s">
        <v>957</v>
      </c>
      <c r="C455" s="399" t="s">
        <v>2365</v>
      </c>
      <c r="D455" s="399" t="s">
        <v>534</v>
      </c>
      <c r="E455" s="399" t="s">
        <v>891</v>
      </c>
      <c r="F455" s="399" t="s">
        <v>1240</v>
      </c>
      <c r="G455" s="399" t="s">
        <v>1240</v>
      </c>
      <c r="H455" s="399" t="s">
        <v>1240</v>
      </c>
      <c r="I455" s="399" t="s">
        <v>894</v>
      </c>
      <c r="J455" s="399" t="s">
        <v>2358</v>
      </c>
      <c r="K455" s="789">
        <v>44713</v>
      </c>
      <c r="L455" s="399">
        <v>105</v>
      </c>
      <c r="M455" s="399">
        <v>105</v>
      </c>
      <c r="N455" s="399">
        <v>3.4359999999999999</v>
      </c>
      <c r="O455" s="399">
        <v>3.4359999999999999</v>
      </c>
      <c r="P455" s="399">
        <v>3.4359999999999999</v>
      </c>
      <c r="Q455" s="399">
        <v>3.4359999999999999</v>
      </c>
      <c r="R455" s="399">
        <v>111</v>
      </c>
      <c r="S455" s="399">
        <v>69.64</v>
      </c>
      <c r="T455" s="399">
        <v>144.41999999999999</v>
      </c>
      <c r="U455" s="399">
        <v>11655</v>
      </c>
      <c r="V455" s="399">
        <v>735.51015999999993</v>
      </c>
      <c r="W455" s="399">
        <v>12390.51016</v>
      </c>
      <c r="X455" s="399">
        <v>12138.309039999998</v>
      </c>
      <c r="Y455" s="399">
        <v>0</v>
      </c>
      <c r="Z455" s="399">
        <v>183.547163887582</v>
      </c>
      <c r="AA455" s="399">
        <v>0</v>
      </c>
      <c r="AB455" s="399">
        <v>0</v>
      </c>
      <c r="AC455" s="399">
        <v>0</v>
      </c>
      <c r="AD455" s="399">
        <v>3280.7576257730502</v>
      </c>
      <c r="AE455" s="399">
        <v>8373.8629100487578</v>
      </c>
      <c r="AF455" s="399">
        <v>496.23338599434987</v>
      </c>
      <c r="AG455" s="399">
        <v>0</v>
      </c>
      <c r="AH455" s="399">
        <v>0</v>
      </c>
      <c r="AI455" s="399">
        <v>0</v>
      </c>
      <c r="AJ455" s="399">
        <v>0</v>
      </c>
      <c r="AK455" s="399">
        <v>0</v>
      </c>
      <c r="AL455" s="399">
        <v>32.582748423617737</v>
      </c>
      <c r="AM455" s="399"/>
      <c r="AN455" s="399">
        <v>1.7100463590546879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21.435837830363742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517.66922382471364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12139.151599999999</v>
      </c>
      <c r="CJ455" s="399">
        <v>-251.38856000000123</v>
      </c>
      <c r="CK455" s="399"/>
      <c r="CL455" s="399"/>
      <c r="CM455" s="399"/>
      <c r="CN455" s="399"/>
      <c r="CO455" s="399">
        <v>-272.26736000000068</v>
      </c>
      <c r="CP455" s="399">
        <v>20.066240000000011</v>
      </c>
      <c r="CQ455" s="399">
        <v>30</v>
      </c>
      <c r="CR455" s="399">
        <v>125.54412487277568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137.30414096967797</v>
      </c>
      <c r="DA455" s="399">
        <v>0</v>
      </c>
      <c r="DB455" s="399">
        <v>0</v>
      </c>
      <c r="DC455" s="399">
        <v>20.06552668069628</v>
      </c>
      <c r="DD455" s="399">
        <v>0</v>
      </c>
      <c r="DE455" s="399">
        <v>0</v>
      </c>
      <c r="DF455" s="399">
        <v>0</v>
      </c>
      <c r="DG455" s="399">
        <v>0.86677234552911742</v>
      </c>
      <c r="DH455" s="399">
        <v>0</v>
      </c>
      <c r="DI455" s="399">
        <v>-28.198555453881738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-4.2873866042422399</v>
      </c>
      <c r="DP455" s="399">
        <v>-0.20637306500339858</v>
      </c>
      <c r="DQ455" s="399">
        <v>0</v>
      </c>
      <c r="DR455" s="399">
        <v>0</v>
      </c>
      <c r="DS455" s="399"/>
      <c r="DT455" s="399"/>
      <c r="DU455" s="399">
        <v>8373.8629100487578</v>
      </c>
      <c r="DV455" s="399">
        <v>0</v>
      </c>
      <c r="DW455" s="399">
        <v>0</v>
      </c>
      <c r="DX455" s="399">
        <v>0</v>
      </c>
      <c r="DY455" s="399">
        <v>-272.26736000000164</v>
      </c>
      <c r="DZ455" s="399">
        <v>20.06624000000005</v>
      </c>
      <c r="EA455" s="399">
        <v>0</v>
      </c>
      <c r="EB455" s="399">
        <v>0</v>
      </c>
      <c r="EC455" s="399">
        <v>-377.13559413377425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225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454</v>
      </c>
      <c r="B456" s="399" t="s">
        <v>957</v>
      </c>
      <c r="C456" s="399" t="s">
        <v>2365</v>
      </c>
      <c r="D456" s="399" t="s">
        <v>534</v>
      </c>
      <c r="E456" s="399" t="s">
        <v>891</v>
      </c>
      <c r="F456" s="399" t="s">
        <v>1240</v>
      </c>
      <c r="G456" s="399" t="s">
        <v>1240</v>
      </c>
      <c r="H456" s="399" t="s">
        <v>1240</v>
      </c>
      <c r="I456" s="399" t="s">
        <v>2328</v>
      </c>
      <c r="J456" s="399" t="s">
        <v>2358</v>
      </c>
      <c r="K456" s="789">
        <v>44713</v>
      </c>
      <c r="L456" s="399">
        <v>3730</v>
      </c>
      <c r="M456" s="399">
        <v>3730</v>
      </c>
      <c r="N456" s="399">
        <v>1437.7159999999999</v>
      </c>
      <c r="O456" s="399">
        <v>1437.7159999999999</v>
      </c>
      <c r="P456" s="399">
        <v>1437.7159999999999</v>
      </c>
      <c r="Q456" s="399">
        <v>1437.7159999999999</v>
      </c>
      <c r="R456" s="399">
        <v>34.950000000000003</v>
      </c>
      <c r="S456" s="399">
        <v>69.64</v>
      </c>
      <c r="T456" s="399">
        <v>144.41999999999999</v>
      </c>
      <c r="U456" s="399">
        <v>130363.50000000001</v>
      </c>
      <c r="V456" s="399">
        <v>307757.48695999995</v>
      </c>
      <c r="W456" s="399">
        <v>438120.98696000001</v>
      </c>
      <c r="X456" s="399">
        <v>431450.89824000001</v>
      </c>
      <c r="Y456" s="399">
        <v>0</v>
      </c>
      <c r="Z456" s="399">
        <v>76801.133374795943</v>
      </c>
      <c r="AA456" s="399">
        <v>0</v>
      </c>
      <c r="AB456" s="399">
        <v>0</v>
      </c>
      <c r="AC456" s="399">
        <v>0</v>
      </c>
      <c r="AD456" s="399">
        <v>47258.27757766001</v>
      </c>
      <c r="AE456" s="399">
        <v>83122.333812373006</v>
      </c>
      <c r="AF456" s="399">
        <v>207637.56658272777</v>
      </c>
      <c r="AG456" s="399">
        <v>0</v>
      </c>
      <c r="AH456" s="399">
        <v>0</v>
      </c>
      <c r="AI456" s="399">
        <v>0</v>
      </c>
      <c r="AJ456" s="399">
        <v>0</v>
      </c>
      <c r="AK456" s="399">
        <v>0</v>
      </c>
      <c r="AL456" s="399">
        <v>13633.509526370777</v>
      </c>
      <c r="AM456" s="399"/>
      <c r="AN456" s="399">
        <v>715.52997996352428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8969.3384814083911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>
        <v>216606.90506413617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431451.74079999997</v>
      </c>
      <c r="CJ456" s="399">
        <v>-6669.2761600000085</v>
      </c>
      <c r="CK456" s="399"/>
      <c r="CL456" s="399"/>
      <c r="CM456" s="399"/>
      <c r="CN456" s="399"/>
      <c r="CO456" s="399">
        <v>-15066.350160000018</v>
      </c>
      <c r="CP456" s="399">
        <v>8396.2614400000039</v>
      </c>
      <c r="CQ456" s="399">
        <v>30</v>
      </c>
      <c r="CR456" s="399">
        <v>-2942.8882975184242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1977.822791763756</v>
      </c>
      <c r="DA456" s="399">
        <v>0</v>
      </c>
      <c r="DB456" s="399">
        <v>0</v>
      </c>
      <c r="DC456" s="399">
        <v>8395.9629677718331</v>
      </c>
      <c r="DD456" s="399">
        <v>0</v>
      </c>
      <c r="DE456" s="399">
        <v>0</v>
      </c>
      <c r="DF456" s="399">
        <v>0</v>
      </c>
      <c r="DG456" s="399">
        <v>362.68116109567563</v>
      </c>
      <c r="DH456" s="399">
        <v>0</v>
      </c>
      <c r="DI456" s="399">
        <v>-11799.043758129534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-1793.9593478186052</v>
      </c>
      <c r="DP456" s="399">
        <v>-86.352112201520981</v>
      </c>
      <c r="DQ456" s="399">
        <v>0</v>
      </c>
      <c r="DR456" s="399">
        <v>0</v>
      </c>
      <c r="DS456" s="399"/>
      <c r="DT456" s="399"/>
      <c r="DU456" s="399">
        <v>83122.333812373006</v>
      </c>
      <c r="DV456" s="399">
        <v>0</v>
      </c>
      <c r="DW456" s="399">
        <v>0</v>
      </c>
      <c r="DX456" s="399">
        <v>0</v>
      </c>
      <c r="DY456" s="399">
        <v>-15066.350160000002</v>
      </c>
      <c r="DZ456" s="399">
        <v>8396.261440000002</v>
      </c>
      <c r="EA456" s="399">
        <v>0</v>
      </c>
      <c r="EB456" s="399">
        <v>0</v>
      </c>
      <c r="EC456" s="399">
        <v>-3743.5997083847324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0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225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455</v>
      </c>
      <c r="B457" s="399" t="s">
        <v>957</v>
      </c>
      <c r="C457" s="399" t="s">
        <v>2365</v>
      </c>
      <c r="D457" s="399" t="s">
        <v>534</v>
      </c>
      <c r="E457" s="399" t="s">
        <v>891</v>
      </c>
      <c r="F457" s="399" t="s">
        <v>1240</v>
      </c>
      <c r="G457" s="399" t="s">
        <v>1240</v>
      </c>
      <c r="H457" s="399" t="s">
        <v>1240</v>
      </c>
      <c r="I457" s="399" t="s">
        <v>1240</v>
      </c>
      <c r="J457" s="399" t="s">
        <v>2358</v>
      </c>
      <c r="K457" s="789">
        <v>44713</v>
      </c>
      <c r="L457" s="399">
        <v>0</v>
      </c>
      <c r="M457" s="399">
        <v>0</v>
      </c>
      <c r="N457" s="399">
        <v>0</v>
      </c>
      <c r="O457" s="399">
        <v>0</v>
      </c>
      <c r="P457" s="399">
        <v>0</v>
      </c>
      <c r="Q457" s="399">
        <v>0</v>
      </c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>
        <v>0</v>
      </c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>
        <v>0</v>
      </c>
      <c r="BA457" s="399"/>
      <c r="BB457" s="399"/>
      <c r="BC457" s="399"/>
      <c r="BD457" s="399"/>
      <c r="BE457" s="399"/>
      <c r="BF457" s="399"/>
      <c r="BG457" s="399"/>
      <c r="BH457" s="399"/>
      <c r="BI457" s="399">
        <v>0</v>
      </c>
      <c r="BJ457" s="399">
        <v>0</v>
      </c>
      <c r="BK457" s="399">
        <v>135347.68</v>
      </c>
      <c r="BL457" s="399">
        <v>2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/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/>
      <c r="CJ457" s="399">
        <v>-0.03</v>
      </c>
      <c r="CK457" s="399"/>
      <c r="CL457" s="399"/>
      <c r="CM457" s="399"/>
      <c r="CN457" s="399"/>
      <c r="CO457" s="399">
        <v>0</v>
      </c>
      <c r="CP457" s="399">
        <v>0</v>
      </c>
      <c r="CQ457" s="399">
        <v>30</v>
      </c>
      <c r="CR457" s="399"/>
      <c r="CS457" s="399"/>
      <c r="CT457" s="399"/>
      <c r="CU457" s="399"/>
      <c r="CV457" s="399"/>
      <c r="CW457" s="399"/>
      <c r="CX457" s="399"/>
      <c r="CY457" s="399"/>
      <c r="CZ457" s="399"/>
      <c r="DA457" s="399"/>
      <c r="DB457" s="399"/>
      <c r="DC457" s="399"/>
      <c r="DD457" s="399"/>
      <c r="DE457" s="399"/>
      <c r="DF457" s="399"/>
      <c r="DG457" s="399"/>
      <c r="DH457" s="399"/>
      <c r="DI457" s="399"/>
      <c r="DJ457" s="399"/>
      <c r="DK457" s="399">
        <v>0</v>
      </c>
      <c r="DL457" s="399"/>
      <c r="DM457" s="399"/>
      <c r="DN457" s="399"/>
      <c r="DO457" s="399"/>
      <c r="DP457" s="399"/>
      <c r="DQ457" s="399"/>
      <c r="DR457" s="399"/>
      <c r="DS457" s="399"/>
      <c r="DT457" s="399"/>
      <c r="DU457" s="399"/>
      <c r="DV457" s="399"/>
      <c r="DW457" s="399"/>
      <c r="DX457" s="399"/>
      <c r="DY457" s="399"/>
      <c r="DZ457" s="399"/>
      <c r="EA457" s="399"/>
      <c r="EB457" s="399"/>
      <c r="EC457" s="399"/>
      <c r="ED457" s="399"/>
      <c r="EE457" s="399"/>
      <c r="EF457" s="399"/>
      <c r="EG457" s="399"/>
      <c r="EH457" s="399"/>
      <c r="EI457" s="399"/>
      <c r="EJ457" s="399"/>
      <c r="EK457" s="399"/>
      <c r="EL457" s="399"/>
      <c r="EM457" s="399"/>
      <c r="EN457" s="399"/>
      <c r="EO457" s="399"/>
      <c r="EP457" s="399"/>
      <c r="EQ457" s="399"/>
      <c r="ER457" s="399"/>
      <c r="ES457" s="399"/>
      <c r="ET457" s="399"/>
      <c r="EU457" s="399"/>
      <c r="EV457" s="399">
        <v>225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456</v>
      </c>
      <c r="B458" s="399" t="s">
        <v>957</v>
      </c>
      <c r="C458" s="399" t="s">
        <v>2366</v>
      </c>
      <c r="D458" s="399" t="s">
        <v>534</v>
      </c>
      <c r="E458" s="399" t="s">
        <v>891</v>
      </c>
      <c r="F458" s="399" t="s">
        <v>1240</v>
      </c>
      <c r="G458" s="399" t="s">
        <v>1240</v>
      </c>
      <c r="H458" s="399" t="s">
        <v>1240</v>
      </c>
      <c r="I458" s="399" t="s">
        <v>894</v>
      </c>
      <c r="J458" s="399" t="s">
        <v>2358</v>
      </c>
      <c r="K458" s="789">
        <v>44713</v>
      </c>
      <c r="L458" s="399">
        <v>0</v>
      </c>
      <c r="M458" s="399">
        <v>0</v>
      </c>
      <c r="N458" s="399">
        <v>90.647999999999996</v>
      </c>
      <c r="O458" s="399">
        <v>90.647999999999996</v>
      </c>
      <c r="P458" s="399">
        <v>90.647999999999996</v>
      </c>
      <c r="Q458" s="399">
        <v>90.647999999999996</v>
      </c>
      <c r="R458" s="399"/>
      <c r="S458" s="399">
        <v>2740.31</v>
      </c>
      <c r="T458" s="399">
        <v>144.41999999999999</v>
      </c>
      <c r="U458" s="399"/>
      <c r="V458" s="399">
        <v>261495.00503999996</v>
      </c>
      <c r="W458" s="399">
        <v>261495.00503999996</v>
      </c>
      <c r="X458" s="399">
        <v>256209.32015999997</v>
      </c>
      <c r="Y458" s="399">
        <v>0</v>
      </c>
      <c r="Z458" s="399">
        <v>4842.3117904777455</v>
      </c>
      <c r="AA458" s="399">
        <v>0</v>
      </c>
      <c r="AB458" s="399">
        <v>0</v>
      </c>
      <c r="AC458" s="399">
        <v>0</v>
      </c>
      <c r="AD458" s="399">
        <v>68227.378695246327</v>
      </c>
      <c r="AE458" s="399">
        <v>173863.54984236823</v>
      </c>
      <c r="AF458" s="399">
        <v>13091.549468456293</v>
      </c>
      <c r="AG458" s="399">
        <v>0</v>
      </c>
      <c r="AH458" s="399">
        <v>0</v>
      </c>
      <c r="AI458" s="399">
        <v>0</v>
      </c>
      <c r="AJ458" s="399">
        <v>0</v>
      </c>
      <c r="AK458" s="399">
        <v>0</v>
      </c>
      <c r="AL458" s="399">
        <v>859.59283443076254</v>
      </c>
      <c r="AM458" s="399"/>
      <c r="AN458" s="399">
        <v>45.114168322348469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565.51682993213399</v>
      </c>
      <c r="BH458" s="399">
        <v>0</v>
      </c>
      <c r="BI458" s="399">
        <v>0</v>
      </c>
      <c r="BJ458" s="399">
        <v>0</v>
      </c>
      <c r="BK458" s="399">
        <v>0</v>
      </c>
      <c r="BL458" s="399">
        <v>0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13657.066298388427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256214.973</v>
      </c>
      <c r="CJ458" s="399">
        <v>-5280.0620399999898</v>
      </c>
      <c r="CK458" s="399"/>
      <c r="CL458" s="399"/>
      <c r="CM458" s="399"/>
      <c r="CN458" s="399"/>
      <c r="CO458" s="399">
        <v>-5815.0692000000081</v>
      </c>
      <c r="CP458" s="399">
        <v>529.38432000000023</v>
      </c>
      <c r="CQ458" s="399">
        <v>30</v>
      </c>
      <c r="CR458" s="399">
        <v>2545.1571603501507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2855.4080157494463</v>
      </c>
      <c r="DA458" s="399">
        <v>0</v>
      </c>
      <c r="DB458" s="399">
        <v>0</v>
      </c>
      <c r="DC458" s="399">
        <v>529.36550132472621</v>
      </c>
      <c r="DD458" s="399">
        <v>0</v>
      </c>
      <c r="DE458" s="399">
        <v>0</v>
      </c>
      <c r="DF458" s="399">
        <v>0</v>
      </c>
      <c r="DG458" s="399">
        <v>22.867048771106852</v>
      </c>
      <c r="DH458" s="399">
        <v>0</v>
      </c>
      <c r="DI458" s="399">
        <v>-743.92975983221004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-113.10914461622531</v>
      </c>
      <c r="DP458" s="399">
        <v>-5.4445010466903554</v>
      </c>
      <c r="DQ458" s="399">
        <v>0</v>
      </c>
      <c r="DR458" s="399">
        <v>0</v>
      </c>
      <c r="DS458" s="399"/>
      <c r="DT458" s="399"/>
      <c r="DU458" s="399"/>
      <c r="DV458" s="399">
        <v>173863.54984236823</v>
      </c>
      <c r="DW458" s="399">
        <v>0</v>
      </c>
      <c r="DX458" s="399">
        <v>0</v>
      </c>
      <c r="DY458" s="399">
        <v>-5815.0691999999981</v>
      </c>
      <c r="DZ458" s="399">
        <v>529.38432000000103</v>
      </c>
      <c r="EA458" s="399">
        <v>0</v>
      </c>
      <c r="EB458" s="399">
        <v>0</v>
      </c>
      <c r="EC458" s="399">
        <v>-7830.3327714290645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225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457</v>
      </c>
      <c r="B459" s="399" t="s">
        <v>2360</v>
      </c>
      <c r="C459" s="399" t="s">
        <v>2366</v>
      </c>
      <c r="D459" s="399" t="s">
        <v>534</v>
      </c>
      <c r="E459" s="399" t="s">
        <v>891</v>
      </c>
      <c r="F459" s="399" t="s">
        <v>1240</v>
      </c>
      <c r="G459" s="399" t="s">
        <v>1240</v>
      </c>
      <c r="H459" s="399" t="s">
        <v>1240</v>
      </c>
      <c r="I459" s="399" t="s">
        <v>894</v>
      </c>
      <c r="J459" s="399" t="s">
        <v>2358</v>
      </c>
      <c r="K459" s="789">
        <v>44713</v>
      </c>
      <c r="L459" s="399">
        <v>0</v>
      </c>
      <c r="M459" s="399">
        <v>0</v>
      </c>
      <c r="N459" s="399">
        <v>0.51900000000000002</v>
      </c>
      <c r="O459" s="399">
        <v>0.51900000000000002</v>
      </c>
      <c r="P459" s="399">
        <v>0.51900000000000002</v>
      </c>
      <c r="Q459" s="399">
        <v>0.51900000000000002</v>
      </c>
      <c r="R459" s="399"/>
      <c r="S459" s="399">
        <v>2740.31</v>
      </c>
      <c r="T459" s="399">
        <v>144.41999999999999</v>
      </c>
      <c r="U459" s="399"/>
      <c r="V459" s="399">
        <v>1497.1748700000001</v>
      </c>
      <c r="W459" s="399">
        <v>1497.1748700000001</v>
      </c>
      <c r="X459" s="399">
        <v>1466.9119800000001</v>
      </c>
      <c r="Y459" s="399">
        <v>0</v>
      </c>
      <c r="Z459" s="399">
        <v>27.72438243819996</v>
      </c>
      <c r="AA459" s="399">
        <v>0</v>
      </c>
      <c r="AB459" s="399">
        <v>0</v>
      </c>
      <c r="AC459" s="399">
        <v>0</v>
      </c>
      <c r="AD459" s="399">
        <v>390.63200007537779</v>
      </c>
      <c r="AE459" s="399">
        <v>995.44592675171134</v>
      </c>
      <c r="AF459" s="399">
        <v>74.954926464222225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4.9215501838933653</v>
      </c>
      <c r="AM459" s="399"/>
      <c r="AN459" s="399">
        <v>0.2582986205906237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3.2378346431777594</v>
      </c>
      <c r="BH459" s="399">
        <v>0</v>
      </c>
      <c r="BI459" s="399">
        <v>0</v>
      </c>
      <c r="BJ459" s="399">
        <v>0</v>
      </c>
      <c r="BK459" s="399">
        <v>0</v>
      </c>
      <c r="BL459" s="399">
        <v>0</v>
      </c>
      <c r="BM459" s="399"/>
      <c r="BN459" s="399"/>
      <c r="BO459" s="399"/>
      <c r="BP459" s="399"/>
      <c r="BQ459" s="399"/>
      <c r="BR459" s="399"/>
      <c r="BS459" s="399"/>
      <c r="BT459" s="399"/>
      <c r="BU459" s="399"/>
      <c r="BV459" s="399">
        <v>78.192761107399988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1469.7384</v>
      </c>
      <c r="CJ459" s="399">
        <v>-27.466470000000072</v>
      </c>
      <c r="CK459" s="399"/>
      <c r="CL459" s="399"/>
      <c r="CM459" s="399"/>
      <c r="CN459" s="399"/>
      <c r="CO459" s="399">
        <v>-33.293850000000049</v>
      </c>
      <c r="CP459" s="399">
        <v>3.0309600000000017</v>
      </c>
      <c r="CQ459" s="399">
        <v>30</v>
      </c>
      <c r="CR459" s="399">
        <v>14.572153453156602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16.348477188398704</v>
      </c>
      <c r="DA459" s="399">
        <v>0</v>
      </c>
      <c r="DB459" s="399">
        <v>0</v>
      </c>
      <c r="DC459" s="399">
        <v>3.0308522547384769</v>
      </c>
      <c r="DD459" s="399">
        <v>0</v>
      </c>
      <c r="DE459" s="399">
        <v>0</v>
      </c>
      <c r="DF459" s="399">
        <v>0</v>
      </c>
      <c r="DG459" s="399">
        <v>0.13092399514831543</v>
      </c>
      <c r="DH459" s="399">
        <v>0</v>
      </c>
      <c r="DI459" s="399">
        <v>-4.2593277882900544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-0.64760001385381827</v>
      </c>
      <c r="DP459" s="399">
        <v>-3.1172182985088392E-2</v>
      </c>
      <c r="DQ459" s="399">
        <v>0</v>
      </c>
      <c r="DR459" s="399">
        <v>0</v>
      </c>
      <c r="DS459" s="399"/>
      <c r="DT459" s="399"/>
      <c r="DU459" s="399"/>
      <c r="DV459" s="399">
        <v>995.44592675171134</v>
      </c>
      <c r="DW459" s="399">
        <v>0</v>
      </c>
      <c r="DX459" s="399">
        <v>0</v>
      </c>
      <c r="DY459" s="399">
        <v>-33.29385000000002</v>
      </c>
      <c r="DZ459" s="399">
        <v>3.0309599999999932</v>
      </c>
      <c r="EA459" s="399">
        <v>0</v>
      </c>
      <c r="EB459" s="399">
        <v>0</v>
      </c>
      <c r="EC459" s="399">
        <v>-44.83212766273607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225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458</v>
      </c>
      <c r="B460" s="399" t="s">
        <v>957</v>
      </c>
      <c r="C460" s="399" t="s">
        <v>2366</v>
      </c>
      <c r="D460" s="399" t="s">
        <v>534</v>
      </c>
      <c r="E460" s="399" t="s">
        <v>891</v>
      </c>
      <c r="F460" s="399" t="s">
        <v>1240</v>
      </c>
      <c r="G460" s="399" t="s">
        <v>1240</v>
      </c>
      <c r="H460" s="399" t="s">
        <v>1240</v>
      </c>
      <c r="I460" s="399" t="s">
        <v>2328</v>
      </c>
      <c r="J460" s="399" t="s">
        <v>2358</v>
      </c>
      <c r="K460" s="789">
        <v>44713</v>
      </c>
      <c r="L460" s="399">
        <v>0</v>
      </c>
      <c r="M460" s="399">
        <v>0</v>
      </c>
      <c r="N460" s="399">
        <v>6039.3620000000001</v>
      </c>
      <c r="O460" s="399">
        <v>6039.3620000000001</v>
      </c>
      <c r="P460" s="399">
        <v>6039.3620000000001</v>
      </c>
      <c r="Q460" s="399">
        <v>6039.3620000000001</v>
      </c>
      <c r="R460" s="399"/>
      <c r="S460" s="399">
        <v>69.64</v>
      </c>
      <c r="T460" s="399">
        <v>144.41999999999999</v>
      </c>
      <c r="U460" s="399"/>
      <c r="V460" s="399">
        <v>1292785.82972</v>
      </c>
      <c r="W460" s="399">
        <v>1292785.82972</v>
      </c>
      <c r="X460" s="399">
        <v>1272131.2116799999</v>
      </c>
      <c r="Y460" s="399">
        <v>0</v>
      </c>
      <c r="Z460" s="399">
        <v>322615.76449081348</v>
      </c>
      <c r="AA460" s="399">
        <v>0</v>
      </c>
      <c r="AB460" s="399">
        <v>0</v>
      </c>
      <c r="AC460" s="399">
        <v>0</v>
      </c>
      <c r="AD460" s="399">
        <v>0</v>
      </c>
      <c r="AE460" s="399">
        <v>0</v>
      </c>
      <c r="AF460" s="399">
        <v>872215.67360465915</v>
      </c>
      <c r="AG460" s="399">
        <v>0</v>
      </c>
      <c r="AH460" s="399">
        <v>0</v>
      </c>
      <c r="AI460" s="399">
        <v>0</v>
      </c>
      <c r="AJ460" s="399">
        <v>0</v>
      </c>
      <c r="AK460" s="399">
        <v>0</v>
      </c>
      <c r="AL460" s="399">
        <v>57269.794145854728</v>
      </c>
      <c r="AM460" s="399"/>
      <c r="AN460" s="399">
        <v>3005.7011056790566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37677.178239482309</v>
      </c>
      <c r="BH460" s="399">
        <v>0</v>
      </c>
      <c r="BI460" s="399">
        <v>0</v>
      </c>
      <c r="BJ460" s="399">
        <v>0</v>
      </c>
      <c r="BK460" s="399">
        <v>0</v>
      </c>
      <c r="BL460" s="399">
        <v>0</v>
      </c>
      <c r="BM460" s="399"/>
      <c r="BN460" s="399"/>
      <c r="BO460" s="399"/>
      <c r="BP460" s="399"/>
      <c r="BQ460" s="399"/>
      <c r="BR460" s="399"/>
      <c r="BS460" s="399"/>
      <c r="BT460" s="399"/>
      <c r="BU460" s="399"/>
      <c r="BV460" s="399">
        <v>909892.85184414149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1272130.7903999998</v>
      </c>
      <c r="CJ460" s="399">
        <v>-20655.069320000242</v>
      </c>
      <c r="CK460" s="399"/>
      <c r="CL460" s="399"/>
      <c r="CM460" s="399"/>
      <c r="CN460" s="399"/>
      <c r="CO460" s="399">
        <v>-55924.492119999988</v>
      </c>
      <c r="CP460" s="399">
        <v>35269.874080000023</v>
      </c>
      <c r="CQ460" s="399">
        <v>30</v>
      </c>
      <c r="CR460" s="399">
        <v>-20670.25446304353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0</v>
      </c>
      <c r="DA460" s="399">
        <v>0</v>
      </c>
      <c r="DB460" s="399">
        <v>0</v>
      </c>
      <c r="DC460" s="399">
        <v>35268.620298423572</v>
      </c>
      <c r="DD460" s="399">
        <v>0</v>
      </c>
      <c r="DE460" s="399">
        <v>0</v>
      </c>
      <c r="DF460" s="399">
        <v>0</v>
      </c>
      <c r="DG460" s="399">
        <v>1523.5017363909865</v>
      </c>
      <c r="DH460" s="399">
        <v>0</v>
      </c>
      <c r="DI460" s="399">
        <v>-49563.819634186919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-7535.8206452181621</v>
      </c>
      <c r="DP460" s="399">
        <v>-362.73621845315893</v>
      </c>
      <c r="DQ460" s="399">
        <v>0</v>
      </c>
      <c r="DR460" s="399">
        <v>0</v>
      </c>
      <c r="DS460" s="399"/>
      <c r="DT460" s="399"/>
      <c r="DU460" s="399"/>
      <c r="DV460" s="399">
        <v>0</v>
      </c>
      <c r="DW460" s="399">
        <v>0</v>
      </c>
      <c r="DX460" s="399">
        <v>0</v>
      </c>
      <c r="DY460" s="399">
        <v>-55924.492119999952</v>
      </c>
      <c r="DZ460" s="399">
        <v>35269.87407999998</v>
      </c>
      <c r="EA460" s="399">
        <v>0</v>
      </c>
      <c r="EB460" s="399">
        <v>0</v>
      </c>
      <c r="EC460" s="399">
        <v>0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225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459</v>
      </c>
      <c r="B461" s="399" t="s">
        <v>2360</v>
      </c>
      <c r="C461" s="399" t="s">
        <v>2366</v>
      </c>
      <c r="D461" s="399" t="s">
        <v>534</v>
      </c>
      <c r="E461" s="399" t="s">
        <v>891</v>
      </c>
      <c r="F461" s="399" t="s">
        <v>1240</v>
      </c>
      <c r="G461" s="399" t="s">
        <v>1240</v>
      </c>
      <c r="H461" s="399" t="s">
        <v>1240</v>
      </c>
      <c r="I461" s="399" t="s">
        <v>2328</v>
      </c>
      <c r="J461" s="399" t="s">
        <v>2358</v>
      </c>
      <c r="K461" s="789">
        <v>44713</v>
      </c>
      <c r="L461" s="399">
        <v>0</v>
      </c>
      <c r="M461" s="399">
        <v>0</v>
      </c>
      <c r="N461" s="399">
        <v>3.73</v>
      </c>
      <c r="O461" s="399">
        <v>3.73</v>
      </c>
      <c r="P461" s="399">
        <v>3.73</v>
      </c>
      <c r="Q461" s="399">
        <v>3.73</v>
      </c>
      <c r="R461" s="399"/>
      <c r="S461" s="399">
        <v>69.64</v>
      </c>
      <c r="T461" s="399">
        <v>144.41999999999999</v>
      </c>
      <c r="U461" s="399"/>
      <c r="V461" s="399">
        <v>798.44380000000001</v>
      </c>
      <c r="W461" s="399">
        <v>798.44380000000001</v>
      </c>
      <c r="X461" s="399">
        <v>785.68719999999996</v>
      </c>
      <c r="Y461" s="399">
        <v>0</v>
      </c>
      <c r="Z461" s="399">
        <v>199.2523053843658</v>
      </c>
      <c r="AA461" s="399">
        <v>0</v>
      </c>
      <c r="AB461" s="399">
        <v>0</v>
      </c>
      <c r="AC461" s="399">
        <v>0</v>
      </c>
      <c r="AD461" s="399">
        <v>0</v>
      </c>
      <c r="AE461" s="399">
        <v>0</v>
      </c>
      <c r="AF461" s="399">
        <v>538.69340214171268</v>
      </c>
      <c r="AG461" s="399">
        <v>0</v>
      </c>
      <c r="AH461" s="399">
        <v>0</v>
      </c>
      <c r="AI461" s="399">
        <v>0</v>
      </c>
      <c r="AJ461" s="399">
        <v>0</v>
      </c>
      <c r="AK461" s="399">
        <v>0</v>
      </c>
      <c r="AL461" s="399">
        <v>35.37067858559201</v>
      </c>
      <c r="AM461" s="399"/>
      <c r="AN461" s="399">
        <v>1.8563658088690296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23.269986934591604</v>
      </c>
      <c r="BH461" s="399">
        <v>0</v>
      </c>
      <c r="BI461" s="399">
        <v>0</v>
      </c>
      <c r="BJ461" s="399">
        <v>0</v>
      </c>
      <c r="BK461" s="399">
        <v>0</v>
      </c>
      <c r="BL461" s="399">
        <v>0</v>
      </c>
      <c r="BM461" s="399"/>
      <c r="BN461" s="399"/>
      <c r="BO461" s="399"/>
      <c r="BP461" s="399"/>
      <c r="BQ461" s="399"/>
      <c r="BR461" s="399"/>
      <c r="BS461" s="399"/>
      <c r="BT461" s="399"/>
      <c r="BU461" s="399"/>
      <c r="BV461" s="399">
        <v>561.96338907630434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785.68719999999996</v>
      </c>
      <c r="CJ461" s="399">
        <v>-12.786600000000021</v>
      </c>
      <c r="CK461" s="399"/>
      <c r="CL461" s="399"/>
      <c r="CM461" s="399"/>
      <c r="CN461" s="399"/>
      <c r="CO461" s="399">
        <v>-34.539799999999993</v>
      </c>
      <c r="CP461" s="399">
        <v>21.783200000000011</v>
      </c>
      <c r="CQ461" s="399">
        <v>30</v>
      </c>
      <c r="CR461" s="399">
        <v>-12.766257287963981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0</v>
      </c>
      <c r="DA461" s="399">
        <v>0</v>
      </c>
      <c r="DB461" s="399">
        <v>0</v>
      </c>
      <c r="DC461" s="399">
        <v>21.782425645808303</v>
      </c>
      <c r="DD461" s="399">
        <v>0</v>
      </c>
      <c r="DE461" s="399">
        <v>0</v>
      </c>
      <c r="DF461" s="399">
        <v>0</v>
      </c>
      <c r="DG461" s="399">
        <v>0.94093738324319176</v>
      </c>
      <c r="DH461" s="399">
        <v>0</v>
      </c>
      <c r="DI461" s="399">
        <v>-30.611353854184784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-4.6542351670033604</v>
      </c>
      <c r="DP461" s="399">
        <v>-0.22403129582732118</v>
      </c>
      <c r="DQ461" s="399">
        <v>0</v>
      </c>
      <c r="DR461" s="399">
        <v>0</v>
      </c>
      <c r="DS461" s="399"/>
      <c r="DT461" s="399"/>
      <c r="DU461" s="399"/>
      <c r="DV461" s="399">
        <v>0</v>
      </c>
      <c r="DW461" s="399">
        <v>0</v>
      </c>
      <c r="DX461" s="399">
        <v>0</v>
      </c>
      <c r="DY461" s="399">
        <v>-34.539800000000014</v>
      </c>
      <c r="DZ461" s="399">
        <v>21.783199999999965</v>
      </c>
      <c r="EA461" s="399">
        <v>0</v>
      </c>
      <c r="EB461" s="399">
        <v>0</v>
      </c>
      <c r="EC461" s="399">
        <v>0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225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460</v>
      </c>
      <c r="B462" s="399" t="s">
        <v>957</v>
      </c>
      <c r="C462" s="399" t="s">
        <v>2366</v>
      </c>
      <c r="D462" s="399" t="s">
        <v>534</v>
      </c>
      <c r="E462" s="399" t="s">
        <v>891</v>
      </c>
      <c r="F462" s="399" t="s">
        <v>1240</v>
      </c>
      <c r="G462" s="399" t="s">
        <v>1240</v>
      </c>
      <c r="H462" s="399" t="s">
        <v>1240</v>
      </c>
      <c r="I462" s="399" t="s">
        <v>1240</v>
      </c>
      <c r="J462" s="399" t="s">
        <v>2358</v>
      </c>
      <c r="K462" s="789">
        <v>44713</v>
      </c>
      <c r="L462" s="399">
        <v>21802</v>
      </c>
      <c r="M462" s="399">
        <v>21802</v>
      </c>
      <c r="N462" s="399">
        <v>0</v>
      </c>
      <c r="O462" s="399">
        <v>0</v>
      </c>
      <c r="P462" s="399">
        <v>0</v>
      </c>
      <c r="Q462" s="399">
        <v>0</v>
      </c>
      <c r="R462" s="399">
        <v>34.950000000000003</v>
      </c>
      <c r="S462" s="399"/>
      <c r="T462" s="399"/>
      <c r="U462" s="399">
        <v>761979.9</v>
      </c>
      <c r="V462" s="399"/>
      <c r="W462" s="399">
        <v>761979.9</v>
      </c>
      <c r="X462" s="399">
        <v>751732.96</v>
      </c>
      <c r="Y462" s="399">
        <v>0</v>
      </c>
      <c r="Z462" s="399">
        <v>0</v>
      </c>
      <c r="AA462" s="399">
        <v>0</v>
      </c>
      <c r="AB462" s="399">
        <v>0</v>
      </c>
      <c r="AC462" s="399">
        <v>0</v>
      </c>
      <c r="AD462" s="399">
        <v>276226.53290834947</v>
      </c>
      <c r="AE462" s="399">
        <v>485853.38385451917</v>
      </c>
      <c r="AF462" s="399"/>
      <c r="AG462" s="399"/>
      <c r="AH462" s="399"/>
      <c r="AI462" s="399">
        <v>0</v>
      </c>
      <c r="AJ462" s="399">
        <v>0</v>
      </c>
      <c r="AK462" s="399">
        <v>0</v>
      </c>
      <c r="AL462" s="399">
        <v>0</v>
      </c>
      <c r="AM462" s="399"/>
      <c r="AN462" s="399">
        <v>0</v>
      </c>
      <c r="AO462" s="399">
        <v>0</v>
      </c>
      <c r="AP462" s="399">
        <v>0</v>
      </c>
      <c r="AQ462" s="399">
        <v>0</v>
      </c>
      <c r="AR462" s="399">
        <v>0</v>
      </c>
      <c r="AS462" s="399"/>
      <c r="AT462" s="399"/>
      <c r="AU462" s="399">
        <v>0</v>
      </c>
      <c r="AV462" s="399">
        <v>0</v>
      </c>
      <c r="AW462" s="399">
        <v>0</v>
      </c>
      <c r="AX462" s="399"/>
      <c r="AY462" s="399"/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/>
      <c r="BG462" s="399">
        <v>0</v>
      </c>
      <c r="BH462" s="399">
        <v>0</v>
      </c>
      <c r="BI462" s="399">
        <v>154.02000000000001</v>
      </c>
      <c r="BJ462" s="399">
        <v>710.9</v>
      </c>
      <c r="BK462" s="399">
        <v>703223.82</v>
      </c>
      <c r="BL462" s="399">
        <v>70</v>
      </c>
      <c r="BM462" s="399"/>
      <c r="BN462" s="399"/>
      <c r="BO462" s="399"/>
      <c r="BP462" s="399"/>
      <c r="BQ462" s="399"/>
      <c r="BR462" s="399"/>
      <c r="BS462" s="399"/>
      <c r="BT462" s="399"/>
      <c r="BU462" s="399"/>
      <c r="BV462" s="399">
        <v>0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751732.96</v>
      </c>
      <c r="CJ462" s="399">
        <v>-10246.970000000088</v>
      </c>
      <c r="CK462" s="399"/>
      <c r="CL462" s="399"/>
      <c r="CM462" s="399"/>
      <c r="CN462" s="399"/>
      <c r="CO462" s="399">
        <v>-10246.94000000013</v>
      </c>
      <c r="CP462" s="399">
        <v>0</v>
      </c>
      <c r="CQ462" s="399">
        <v>30</v>
      </c>
      <c r="CR462" s="399">
        <v>11560.453754968767</v>
      </c>
      <c r="CS462" s="399">
        <v>0</v>
      </c>
      <c r="CT462" s="399">
        <v>0</v>
      </c>
      <c r="CU462" s="399">
        <v>0</v>
      </c>
      <c r="CV462" s="399">
        <v>0</v>
      </c>
      <c r="CW462" s="399"/>
      <c r="CX462" s="399"/>
      <c r="CY462" s="399"/>
      <c r="CZ462" s="399">
        <v>11560.453754968767</v>
      </c>
      <c r="DA462" s="399">
        <v>0</v>
      </c>
      <c r="DB462" s="399">
        <v>0</v>
      </c>
      <c r="DC462" s="399"/>
      <c r="DD462" s="399"/>
      <c r="DE462" s="399">
        <v>0</v>
      </c>
      <c r="DF462" s="399">
        <v>0</v>
      </c>
      <c r="DG462" s="399">
        <v>0</v>
      </c>
      <c r="DH462" s="399">
        <v>0</v>
      </c>
      <c r="DI462" s="399">
        <v>0</v>
      </c>
      <c r="DJ462" s="399"/>
      <c r="DK462" s="399">
        <v>0</v>
      </c>
      <c r="DL462" s="399">
        <v>0</v>
      </c>
      <c r="DM462" s="399"/>
      <c r="DN462" s="399">
        <v>0</v>
      </c>
      <c r="DO462" s="399">
        <v>0</v>
      </c>
      <c r="DP462" s="399">
        <v>0</v>
      </c>
      <c r="DQ462" s="399">
        <v>0</v>
      </c>
      <c r="DR462" s="399">
        <v>0</v>
      </c>
      <c r="DS462" s="399"/>
      <c r="DT462" s="399"/>
      <c r="DU462" s="399">
        <v>485853.38385451917</v>
      </c>
      <c r="DV462" s="399"/>
      <c r="DW462" s="399">
        <v>0</v>
      </c>
      <c r="DX462" s="399">
        <v>0</v>
      </c>
      <c r="DY462" s="399">
        <v>-10246.940000000061</v>
      </c>
      <c r="DZ462" s="399"/>
      <c r="EA462" s="399">
        <v>0</v>
      </c>
      <c r="EB462" s="399"/>
      <c r="EC462" s="399">
        <v>-21881.490842413972</v>
      </c>
      <c r="ED462" s="399"/>
      <c r="EE462" s="399">
        <v>0</v>
      </c>
      <c r="EF462" s="399">
        <v>0</v>
      </c>
      <c r="EG462" s="399"/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/>
      <c r="EN462" s="399"/>
      <c r="EO462" s="399">
        <v>0</v>
      </c>
      <c r="EP462" s="399">
        <v>0</v>
      </c>
      <c r="EQ462" s="399"/>
      <c r="ER462" s="399">
        <v>0</v>
      </c>
      <c r="ES462" s="399"/>
      <c r="ET462" s="399">
        <v>0</v>
      </c>
      <c r="EU462" s="399"/>
      <c r="EV462" s="399">
        <v>225</v>
      </c>
      <c r="EW462" s="399"/>
      <c r="EX462" s="399"/>
      <c r="EY462" s="399"/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461</v>
      </c>
      <c r="B463" s="399" t="s">
        <v>2360</v>
      </c>
      <c r="C463" s="399" t="s">
        <v>2366</v>
      </c>
      <c r="D463" s="399" t="s">
        <v>534</v>
      </c>
      <c r="E463" s="399" t="s">
        <v>891</v>
      </c>
      <c r="F463" s="399" t="s">
        <v>1240</v>
      </c>
      <c r="G463" s="399" t="s">
        <v>1240</v>
      </c>
      <c r="H463" s="399" t="s">
        <v>1240</v>
      </c>
      <c r="I463" s="399" t="s">
        <v>1240</v>
      </c>
      <c r="J463" s="399" t="s">
        <v>2358</v>
      </c>
      <c r="K463" s="789">
        <v>44713</v>
      </c>
      <c r="L463" s="399">
        <v>130</v>
      </c>
      <c r="M463" s="399">
        <v>130</v>
      </c>
      <c r="N463" s="399">
        <v>0</v>
      </c>
      <c r="O463" s="399">
        <v>0</v>
      </c>
      <c r="P463" s="399">
        <v>0</v>
      </c>
      <c r="Q463" s="399">
        <v>0</v>
      </c>
      <c r="R463" s="399">
        <v>34.950000000000003</v>
      </c>
      <c r="S463" s="399"/>
      <c r="T463" s="399"/>
      <c r="U463" s="399">
        <v>4543.5</v>
      </c>
      <c r="V463" s="399"/>
      <c r="W463" s="399">
        <v>4543.5</v>
      </c>
      <c r="X463" s="399">
        <v>4482.3999999999996</v>
      </c>
      <c r="Y463" s="399">
        <v>0</v>
      </c>
      <c r="Z463" s="399">
        <v>0</v>
      </c>
      <c r="AA463" s="399">
        <v>0</v>
      </c>
      <c r="AB463" s="399">
        <v>0</v>
      </c>
      <c r="AC463" s="399">
        <v>0</v>
      </c>
      <c r="AD463" s="399">
        <v>1647.07133648681</v>
      </c>
      <c r="AE463" s="399">
        <v>2897.0250390371293</v>
      </c>
      <c r="AF463" s="399"/>
      <c r="AG463" s="399"/>
      <c r="AH463" s="399"/>
      <c r="AI463" s="399">
        <v>0</v>
      </c>
      <c r="AJ463" s="399">
        <v>0</v>
      </c>
      <c r="AK463" s="399">
        <v>0</v>
      </c>
      <c r="AL463" s="399">
        <v>0</v>
      </c>
      <c r="AM463" s="399"/>
      <c r="AN463" s="399">
        <v>0</v>
      </c>
      <c r="AO463" s="399">
        <v>0</v>
      </c>
      <c r="AP463" s="399">
        <v>0</v>
      </c>
      <c r="AQ463" s="399">
        <v>0</v>
      </c>
      <c r="AR463" s="399">
        <v>0</v>
      </c>
      <c r="AS463" s="399"/>
      <c r="AT463" s="399"/>
      <c r="AU463" s="399">
        <v>0</v>
      </c>
      <c r="AV463" s="399">
        <v>0</v>
      </c>
      <c r="AW463" s="399">
        <v>0</v>
      </c>
      <c r="AX463" s="399"/>
      <c r="AY463" s="399"/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/>
      <c r="BG463" s="399">
        <v>0</v>
      </c>
      <c r="BH463" s="399">
        <v>0</v>
      </c>
      <c r="BI463" s="399">
        <v>0</v>
      </c>
      <c r="BJ463" s="399">
        <v>0</v>
      </c>
      <c r="BK463" s="399">
        <v>2116.3000000000002</v>
      </c>
      <c r="BL463" s="399">
        <v>1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>
        <v>0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4482.3999999999996</v>
      </c>
      <c r="CJ463" s="399">
        <v>-61.130000000001019</v>
      </c>
      <c r="CK463" s="399"/>
      <c r="CL463" s="399"/>
      <c r="CM463" s="399"/>
      <c r="CN463" s="399"/>
      <c r="CO463" s="399">
        <v>-61.100000000000776</v>
      </c>
      <c r="CP463" s="399">
        <v>0</v>
      </c>
      <c r="CQ463" s="399">
        <v>30</v>
      </c>
      <c r="CR463" s="399">
        <v>68.932161643240988</v>
      </c>
      <c r="CS463" s="399">
        <v>0</v>
      </c>
      <c r="CT463" s="399">
        <v>0</v>
      </c>
      <c r="CU463" s="399">
        <v>0</v>
      </c>
      <c r="CV463" s="399">
        <v>0</v>
      </c>
      <c r="CW463" s="399"/>
      <c r="CX463" s="399"/>
      <c r="CY463" s="399"/>
      <c r="CZ463" s="399">
        <v>68.932161643240988</v>
      </c>
      <c r="DA463" s="399">
        <v>0</v>
      </c>
      <c r="DB463" s="399">
        <v>0</v>
      </c>
      <c r="DC463" s="399"/>
      <c r="DD463" s="399"/>
      <c r="DE463" s="399">
        <v>0</v>
      </c>
      <c r="DF463" s="399">
        <v>0</v>
      </c>
      <c r="DG463" s="399">
        <v>0</v>
      </c>
      <c r="DH463" s="399">
        <v>0</v>
      </c>
      <c r="DI463" s="399">
        <v>0</v>
      </c>
      <c r="DJ463" s="399"/>
      <c r="DK463" s="399">
        <v>0</v>
      </c>
      <c r="DL463" s="399">
        <v>0</v>
      </c>
      <c r="DM463" s="399"/>
      <c r="DN463" s="399">
        <v>0</v>
      </c>
      <c r="DO463" s="399">
        <v>0</v>
      </c>
      <c r="DP463" s="399">
        <v>0</v>
      </c>
      <c r="DQ463" s="399">
        <v>0</v>
      </c>
      <c r="DR463" s="399">
        <v>0</v>
      </c>
      <c r="DS463" s="399"/>
      <c r="DT463" s="399"/>
      <c r="DU463" s="399">
        <v>2897.0250390371293</v>
      </c>
      <c r="DV463" s="399"/>
      <c r="DW463" s="399">
        <v>0</v>
      </c>
      <c r="DX463" s="399">
        <v>0</v>
      </c>
      <c r="DY463" s="399">
        <v>-61.100000000000364</v>
      </c>
      <c r="DZ463" s="399"/>
      <c r="EA463" s="399">
        <v>0</v>
      </c>
      <c r="EB463" s="399"/>
      <c r="EC463" s="399">
        <v>-130.47398447453543</v>
      </c>
      <c r="ED463" s="399"/>
      <c r="EE463" s="399">
        <v>0</v>
      </c>
      <c r="EF463" s="399">
        <v>0</v>
      </c>
      <c r="EG463" s="399"/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/>
      <c r="EN463" s="399"/>
      <c r="EO463" s="399">
        <v>0</v>
      </c>
      <c r="EP463" s="399">
        <v>0</v>
      </c>
      <c r="EQ463" s="399"/>
      <c r="ER463" s="399">
        <v>0</v>
      </c>
      <c r="ES463" s="399"/>
      <c r="ET463" s="399">
        <v>0</v>
      </c>
      <c r="EU463" s="399"/>
      <c r="EV463" s="399">
        <v>225</v>
      </c>
      <c r="EW463" s="399"/>
      <c r="EX463" s="399"/>
      <c r="EY463" s="399"/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462</v>
      </c>
      <c r="B464" s="399" t="s">
        <v>957</v>
      </c>
      <c r="C464" s="399" t="s">
        <v>2357</v>
      </c>
      <c r="D464" s="399" t="s">
        <v>1826</v>
      </c>
      <c r="E464" s="399" t="s">
        <v>919</v>
      </c>
      <c r="F464" s="399" t="s">
        <v>1240</v>
      </c>
      <c r="G464" s="399" t="s">
        <v>1240</v>
      </c>
      <c r="H464" s="399" t="s">
        <v>1240</v>
      </c>
      <c r="I464" s="399" t="s">
        <v>1240</v>
      </c>
      <c r="J464" s="399" t="s">
        <v>2358</v>
      </c>
      <c r="K464" s="789">
        <v>44713</v>
      </c>
      <c r="L464" s="399">
        <v>0</v>
      </c>
      <c r="M464" s="399">
        <v>0</v>
      </c>
      <c r="N464" s="399">
        <v>616.24300000000005</v>
      </c>
      <c r="O464" s="399">
        <v>616.24300000000005</v>
      </c>
      <c r="P464" s="399">
        <v>616.24300000000005</v>
      </c>
      <c r="Q464" s="399">
        <v>616.24300000000005</v>
      </c>
      <c r="R464" s="399"/>
      <c r="S464" s="399">
        <v>522.37</v>
      </c>
      <c r="T464" s="399">
        <v>144.41999999999999</v>
      </c>
      <c r="U464" s="399"/>
      <c r="V464" s="399">
        <v>410904.66997000005</v>
      </c>
      <c r="W464" s="399">
        <v>410904.66997000005</v>
      </c>
      <c r="X464" s="399">
        <v>401630.21282000002</v>
      </c>
      <c r="Y464" s="399">
        <v>0</v>
      </c>
      <c r="Z464" s="399">
        <v>37837.921305037664</v>
      </c>
      <c r="AA464" s="399">
        <v>0</v>
      </c>
      <c r="AB464" s="399">
        <v>0</v>
      </c>
      <c r="AC464" s="399">
        <v>0</v>
      </c>
      <c r="AD464" s="399">
        <v>62834.387699558742</v>
      </c>
      <c r="AE464" s="399">
        <v>204535.49998954471</v>
      </c>
      <c r="AF464" s="399">
        <v>88998.937859521582</v>
      </c>
      <c r="AG464" s="399">
        <v>0</v>
      </c>
      <c r="AH464" s="399">
        <v>0</v>
      </c>
      <c r="AI464" s="399">
        <v>0</v>
      </c>
      <c r="AJ464" s="399">
        <v>0</v>
      </c>
      <c r="AK464" s="399">
        <v>0</v>
      </c>
      <c r="AL464" s="399">
        <v>5843.6817918554907</v>
      </c>
      <c r="AM464" s="399"/>
      <c r="AN464" s="399">
        <v>896.54432698026676</v>
      </c>
      <c r="AO464" s="399">
        <v>0</v>
      </c>
      <c r="AP464" s="399">
        <v>0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9957.4542454950588</v>
      </c>
      <c r="BH464" s="399">
        <v>0</v>
      </c>
      <c r="BI464" s="399">
        <v>175.84</v>
      </c>
      <c r="BJ464" s="399">
        <v>813.79</v>
      </c>
      <c r="BK464" s="399">
        <v>119354.65</v>
      </c>
      <c r="BL464" s="399">
        <v>1210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98956.392105016639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401628.25760000001</v>
      </c>
      <c r="CJ464" s="399">
        <v>-9276.4423700000625</v>
      </c>
      <c r="CK464" s="399"/>
      <c r="CL464" s="399"/>
      <c r="CM464" s="399"/>
      <c r="CN464" s="399"/>
      <c r="CO464" s="399">
        <v>-12873.316269999992</v>
      </c>
      <c r="CP464" s="399">
        <v>3598.8591200000023</v>
      </c>
      <c r="CQ464" s="399">
        <v>30</v>
      </c>
      <c r="CR464" s="399">
        <v>-59.146236206317553</v>
      </c>
      <c r="CS464" s="399">
        <v>0</v>
      </c>
      <c r="CT464" s="399">
        <v>0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2629.7040533165346</v>
      </c>
      <c r="DA464" s="399">
        <v>0</v>
      </c>
      <c r="DB464" s="399">
        <v>0</v>
      </c>
      <c r="DC464" s="399">
        <v>3598.7311869302503</v>
      </c>
      <c r="DD464" s="399">
        <v>0</v>
      </c>
      <c r="DE464" s="399">
        <v>0</v>
      </c>
      <c r="DF464" s="399">
        <v>0</v>
      </c>
      <c r="DG464" s="399">
        <v>402.63627856156745</v>
      </c>
      <c r="DH464" s="399">
        <v>0</v>
      </c>
      <c r="DI464" s="399">
        <v>-5813.0820415902344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-768.93829544762775</v>
      </c>
      <c r="DP464" s="399">
        <v>-108.19741797678671</v>
      </c>
      <c r="DQ464" s="399">
        <v>0</v>
      </c>
      <c r="DR464" s="399">
        <v>0</v>
      </c>
      <c r="DS464" s="399"/>
      <c r="DT464" s="399"/>
      <c r="DU464" s="399"/>
      <c r="DV464" s="399">
        <v>204535.49998954471</v>
      </c>
      <c r="DW464" s="399">
        <v>0</v>
      </c>
      <c r="DX464" s="399">
        <v>0</v>
      </c>
      <c r="DY464" s="399">
        <v>-12873.31627000001</v>
      </c>
      <c r="DZ464" s="399">
        <v>3598.8591199999937</v>
      </c>
      <c r="EA464" s="399">
        <v>0</v>
      </c>
      <c r="EB464" s="399">
        <v>0</v>
      </c>
      <c r="EC464" s="399">
        <v>-9211.7124603789416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225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463</v>
      </c>
      <c r="B465" s="399" t="s">
        <v>2359</v>
      </c>
      <c r="C465" s="399" t="s">
        <v>2357</v>
      </c>
      <c r="D465" s="399" t="s">
        <v>1826</v>
      </c>
      <c r="E465" s="399" t="s">
        <v>919</v>
      </c>
      <c r="F465" s="399" t="s">
        <v>1240</v>
      </c>
      <c r="G465" s="399" t="s">
        <v>1240</v>
      </c>
      <c r="H465" s="399" t="s">
        <v>1240</v>
      </c>
      <c r="I465" s="399" t="s">
        <v>1240</v>
      </c>
      <c r="J465" s="399" t="s">
        <v>2358</v>
      </c>
      <c r="K465" s="789">
        <v>44713</v>
      </c>
      <c r="L465" s="399">
        <v>0</v>
      </c>
      <c r="M465" s="399">
        <v>0</v>
      </c>
      <c r="N465" s="399">
        <v>-0.2</v>
      </c>
      <c r="O465" s="399">
        <v>-0.2</v>
      </c>
      <c r="P465" s="399">
        <v>-0.2</v>
      </c>
      <c r="Q465" s="399">
        <v>-0.2</v>
      </c>
      <c r="R465" s="399"/>
      <c r="S465" s="399">
        <v>522.37</v>
      </c>
      <c r="T465" s="399">
        <v>144.41999999999999</v>
      </c>
      <c r="U465" s="399"/>
      <c r="V465" s="399">
        <v>-133.358</v>
      </c>
      <c r="W465" s="399">
        <v>-133.358</v>
      </c>
      <c r="X465" s="399">
        <v>-130.34800000000001</v>
      </c>
      <c r="Y465" s="399">
        <v>0</v>
      </c>
      <c r="Z465" s="399">
        <v>-12.28019508701524</v>
      </c>
      <c r="AA465" s="399">
        <v>0</v>
      </c>
      <c r="AB465" s="399">
        <v>0</v>
      </c>
      <c r="AC465" s="399">
        <v>0</v>
      </c>
      <c r="AD465" s="399">
        <v>-20.392730692132403</v>
      </c>
      <c r="AE465" s="399">
        <v>-66.381443680348397</v>
      </c>
      <c r="AF465" s="399">
        <v>-28.8843647260972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-1.896551130594746</v>
      </c>
      <c r="AM465" s="399"/>
      <c r="AN465" s="399">
        <v>-0.290971038041898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-3.2316648612625403</v>
      </c>
      <c r="BH465" s="399">
        <v>0</v>
      </c>
      <c r="BI465" s="399">
        <v>0</v>
      </c>
      <c r="BJ465" s="399">
        <v>0</v>
      </c>
      <c r="BK465" s="399">
        <v>-38.79</v>
      </c>
      <c r="BL465" s="399">
        <v>0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-32.116029587359741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-130.34800000000001</v>
      </c>
      <c r="CJ465" s="399">
        <v>2.9799999999999898</v>
      </c>
      <c r="CK465" s="399"/>
      <c r="CL465" s="399"/>
      <c r="CM465" s="399"/>
      <c r="CN465" s="399"/>
      <c r="CO465" s="399">
        <v>4.1779999999999973</v>
      </c>
      <c r="CP465" s="399">
        <v>-1.1680000000000008</v>
      </c>
      <c r="CQ465" s="399">
        <v>30</v>
      </c>
      <c r="CR465" s="399">
        <v>1.9195751093718627E-2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-0.85346334264779955</v>
      </c>
      <c r="DA465" s="399">
        <v>0</v>
      </c>
      <c r="DB465" s="399">
        <v>0</v>
      </c>
      <c r="DC465" s="399">
        <v>-1.1679584796680054</v>
      </c>
      <c r="DD465" s="399">
        <v>0</v>
      </c>
      <c r="DE465" s="399">
        <v>0</v>
      </c>
      <c r="DF465" s="399">
        <v>0</v>
      </c>
      <c r="DG465" s="399">
        <v>-0.13067451591712009</v>
      </c>
      <c r="DH465" s="399">
        <v>0</v>
      </c>
      <c r="DI465" s="399">
        <v>1.8866200643545596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0.24955684541572976</v>
      </c>
      <c r="DP465" s="399">
        <v>3.5115179556372E-2</v>
      </c>
      <c r="DQ465" s="399">
        <v>0</v>
      </c>
      <c r="DR465" s="399">
        <v>0</v>
      </c>
      <c r="DS465" s="399"/>
      <c r="DT465" s="399"/>
      <c r="DU465" s="399"/>
      <c r="DV465" s="399">
        <v>-66.381443680348397</v>
      </c>
      <c r="DW465" s="399">
        <v>0</v>
      </c>
      <c r="DX465" s="399">
        <v>0</v>
      </c>
      <c r="DY465" s="399">
        <v>4.1779999999999973</v>
      </c>
      <c r="DZ465" s="399">
        <v>-1.1679999999999993</v>
      </c>
      <c r="EA465" s="399">
        <v>0</v>
      </c>
      <c r="EB465" s="399">
        <v>0</v>
      </c>
      <c r="EC465" s="399">
        <v>2.9896363805767976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225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464</v>
      </c>
      <c r="B466" s="399" t="s">
        <v>2360</v>
      </c>
      <c r="C466" s="399" t="s">
        <v>2357</v>
      </c>
      <c r="D466" s="399" t="s">
        <v>1826</v>
      </c>
      <c r="E466" s="399" t="s">
        <v>919</v>
      </c>
      <c r="F466" s="399" t="s">
        <v>1240</v>
      </c>
      <c r="G466" s="399" t="s">
        <v>1240</v>
      </c>
      <c r="H466" s="399" t="s">
        <v>1240</v>
      </c>
      <c r="I466" s="399" t="s">
        <v>1240</v>
      </c>
      <c r="J466" s="399" t="s">
        <v>2358</v>
      </c>
      <c r="K466" s="789">
        <v>44713</v>
      </c>
      <c r="L466" s="399">
        <v>0</v>
      </c>
      <c r="M466" s="399">
        <v>0</v>
      </c>
      <c r="N466" s="399">
        <v>42.076999999999998</v>
      </c>
      <c r="O466" s="399">
        <v>42.076999999999998</v>
      </c>
      <c r="P466" s="399">
        <v>42.076999999999998</v>
      </c>
      <c r="Q466" s="399">
        <v>42.076999999999998</v>
      </c>
      <c r="R466" s="399"/>
      <c r="S466" s="399">
        <v>522.37</v>
      </c>
      <c r="T466" s="399">
        <v>144.41999999999999</v>
      </c>
      <c r="U466" s="399"/>
      <c r="V466" s="399">
        <v>28056.522830000002</v>
      </c>
      <c r="W466" s="399">
        <v>28056.522830000002</v>
      </c>
      <c r="X466" s="399">
        <v>27423.263979999996</v>
      </c>
      <c r="Y466" s="399">
        <v>0</v>
      </c>
      <c r="Z466" s="399">
        <v>2583.5688433817013</v>
      </c>
      <c r="AA466" s="399">
        <v>0</v>
      </c>
      <c r="AB466" s="399">
        <v>0</v>
      </c>
      <c r="AC466" s="399">
        <v>0</v>
      </c>
      <c r="AD466" s="399">
        <v>4290.324646664275</v>
      </c>
      <c r="AE466" s="399">
        <v>13965.660028690098</v>
      </c>
      <c r="AF466" s="399">
        <v>6076.8370728999589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399.00590961017559</v>
      </c>
      <c r="AM466" s="399"/>
      <c r="AN466" s="399">
        <v>61.215941838444706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679.89381183671946</v>
      </c>
      <c r="BH466" s="399">
        <v>0</v>
      </c>
      <c r="BI466" s="399">
        <v>0.39</v>
      </c>
      <c r="BJ466" s="399">
        <v>1.81</v>
      </c>
      <c r="BK466" s="399">
        <v>15254.79</v>
      </c>
      <c r="BL466" s="399">
        <v>51</v>
      </c>
      <c r="BM466" s="399"/>
      <c r="BN466" s="399"/>
      <c r="BO466" s="399"/>
      <c r="BP466" s="399"/>
      <c r="BQ466" s="399"/>
      <c r="BR466" s="399"/>
      <c r="BS466" s="399"/>
      <c r="BT466" s="399"/>
      <c r="BU466" s="399"/>
      <c r="BV466" s="399">
        <v>6756.7308847366785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27425.2192</v>
      </c>
      <c r="CJ466" s="399">
        <v>-631.33362999999736</v>
      </c>
      <c r="CK466" s="399"/>
      <c r="CL466" s="399"/>
      <c r="CM466" s="399"/>
      <c r="CN466" s="399"/>
      <c r="CO466" s="399">
        <v>-878.9885299999994</v>
      </c>
      <c r="CP466" s="399">
        <v>245.72968000000014</v>
      </c>
      <c r="CQ466" s="399">
        <v>30</v>
      </c>
      <c r="CR466" s="399">
        <v>-4.0384980938542867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179.55588534295748</v>
      </c>
      <c r="DA466" s="399">
        <v>0</v>
      </c>
      <c r="DB466" s="399">
        <v>0</v>
      </c>
      <c r="DC466" s="399">
        <v>245.72094474495316</v>
      </c>
      <c r="DD466" s="399">
        <v>0</v>
      </c>
      <c r="DE466" s="399">
        <v>0</v>
      </c>
      <c r="DF466" s="399">
        <v>0</v>
      </c>
      <c r="DG466" s="399">
        <v>27.491958031223248</v>
      </c>
      <c r="DH466" s="399">
        <v>0</v>
      </c>
      <c r="DI466" s="399">
        <v>-396.91656223923428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-52.503016922788277</v>
      </c>
      <c r="DP466" s="399">
        <v>-7.3877070509673217</v>
      </c>
      <c r="DQ466" s="399">
        <v>0</v>
      </c>
      <c r="DR466" s="399">
        <v>0</v>
      </c>
      <c r="DS466" s="399"/>
      <c r="DT466" s="399"/>
      <c r="DU466" s="399"/>
      <c r="DV466" s="399">
        <v>13965.660028690098</v>
      </c>
      <c r="DW466" s="399">
        <v>0</v>
      </c>
      <c r="DX466" s="399">
        <v>0</v>
      </c>
      <c r="DY466" s="399">
        <v>-878.98853000000236</v>
      </c>
      <c r="DZ466" s="399">
        <v>245.72968000000037</v>
      </c>
      <c r="EA466" s="399">
        <v>0</v>
      </c>
      <c r="EB466" s="399">
        <v>0</v>
      </c>
      <c r="EC466" s="399">
        <v>-628.97464992765163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225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465</v>
      </c>
      <c r="B467" s="399" t="s">
        <v>957</v>
      </c>
      <c r="C467" s="399" t="s">
        <v>2366</v>
      </c>
      <c r="D467" s="399" t="s">
        <v>534</v>
      </c>
      <c r="E467" s="399" t="s">
        <v>919</v>
      </c>
      <c r="F467" s="399" t="s">
        <v>1240</v>
      </c>
      <c r="G467" s="399" t="s">
        <v>1240</v>
      </c>
      <c r="H467" s="399" t="s">
        <v>1240</v>
      </c>
      <c r="I467" s="399" t="s">
        <v>894</v>
      </c>
      <c r="J467" s="399" t="s">
        <v>2358</v>
      </c>
      <c r="K467" s="789">
        <v>44713</v>
      </c>
      <c r="L467" s="399">
        <v>0</v>
      </c>
      <c r="M467" s="399">
        <v>0</v>
      </c>
      <c r="N467" s="399">
        <v>6.8630000000000004</v>
      </c>
      <c r="O467" s="399">
        <v>6.8630000000000004</v>
      </c>
      <c r="P467" s="399">
        <v>6.8630000000000004</v>
      </c>
      <c r="Q467" s="399">
        <v>6.8630000000000004</v>
      </c>
      <c r="R467" s="399"/>
      <c r="S467" s="399">
        <v>2740.31</v>
      </c>
      <c r="T467" s="399">
        <v>144.41999999999999</v>
      </c>
      <c r="U467" s="399"/>
      <c r="V467" s="399">
        <v>19797.901990000002</v>
      </c>
      <c r="W467" s="399">
        <v>19797.901990000002</v>
      </c>
      <c r="X467" s="399">
        <v>19397.72046</v>
      </c>
      <c r="Y467" s="399">
        <v>0</v>
      </c>
      <c r="Z467" s="399">
        <v>366.61355813750737</v>
      </c>
      <c r="AA467" s="399">
        <v>0</v>
      </c>
      <c r="AB467" s="399">
        <v>0</v>
      </c>
      <c r="AC467" s="399">
        <v>0</v>
      </c>
      <c r="AD467" s="399">
        <v>5165.5248873166047</v>
      </c>
      <c r="AE467" s="399">
        <v>13163.285925427735</v>
      </c>
      <c r="AF467" s="399">
        <v>991.16697557602538</v>
      </c>
      <c r="AG467" s="399">
        <v>0</v>
      </c>
      <c r="AH467" s="399">
        <v>0</v>
      </c>
      <c r="AI467" s="399">
        <v>0</v>
      </c>
      <c r="AJ467" s="399">
        <v>0</v>
      </c>
      <c r="AK467" s="399">
        <v>0</v>
      </c>
      <c r="AL467" s="399">
        <v>65.080152046358705</v>
      </c>
      <c r="AM467" s="399"/>
      <c r="AN467" s="399">
        <v>3.4156135512783248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42.815528239169488</v>
      </c>
      <c r="BH467" s="399">
        <v>0</v>
      </c>
      <c r="BI467" s="399">
        <v>0</v>
      </c>
      <c r="BJ467" s="399">
        <v>0</v>
      </c>
      <c r="BK467" s="399">
        <v>0</v>
      </c>
      <c r="BL467" s="399">
        <v>0</v>
      </c>
      <c r="BM467" s="399"/>
      <c r="BN467" s="399"/>
      <c r="BO467" s="399"/>
      <c r="BP467" s="399"/>
      <c r="BQ467" s="399"/>
      <c r="BR467" s="399"/>
      <c r="BS467" s="399"/>
      <c r="BT467" s="399"/>
      <c r="BU467" s="399"/>
      <c r="BV467" s="399">
        <v>1033.9825038151948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19389.2412</v>
      </c>
      <c r="CJ467" s="399">
        <v>-408.69078999999692</v>
      </c>
      <c r="CK467" s="399"/>
      <c r="CL467" s="399"/>
      <c r="CM467" s="399"/>
      <c r="CN467" s="399"/>
      <c r="CO467" s="399">
        <v>-440.26145000000065</v>
      </c>
      <c r="CP467" s="399">
        <v>40.079920000000023</v>
      </c>
      <c r="CQ467" s="399">
        <v>30</v>
      </c>
      <c r="CR467" s="399">
        <v>192.6949694586001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216.18419835063651</v>
      </c>
      <c r="DA467" s="399">
        <v>0</v>
      </c>
      <c r="DB467" s="399">
        <v>0</v>
      </c>
      <c r="DC467" s="399">
        <v>40.078495229807686</v>
      </c>
      <c r="DD467" s="399">
        <v>0</v>
      </c>
      <c r="DE467" s="399">
        <v>0</v>
      </c>
      <c r="DF467" s="399">
        <v>0</v>
      </c>
      <c r="DG467" s="399">
        <v>1.7312743327608686</v>
      </c>
      <c r="DH467" s="399">
        <v>0</v>
      </c>
      <c r="DI467" s="399">
        <v>-56.323249732243994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-8.5635431504407649</v>
      </c>
      <c r="DP467" s="399">
        <v>-0.41220557192035034</v>
      </c>
      <c r="DQ467" s="399">
        <v>0</v>
      </c>
      <c r="DR467" s="399">
        <v>0</v>
      </c>
      <c r="DS467" s="399"/>
      <c r="DT467" s="399"/>
      <c r="DU467" s="399"/>
      <c r="DV467" s="399">
        <v>13163.285925427735</v>
      </c>
      <c r="DW467" s="399">
        <v>0</v>
      </c>
      <c r="DX467" s="399">
        <v>0</v>
      </c>
      <c r="DY467" s="399">
        <v>-440.26145000000179</v>
      </c>
      <c r="DZ467" s="399">
        <v>40.079920000000129</v>
      </c>
      <c r="EA467" s="399">
        <v>0</v>
      </c>
      <c r="EB467" s="399">
        <v>0</v>
      </c>
      <c r="EC467" s="399">
        <v>-592.83794248430968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0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225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466</v>
      </c>
      <c r="B468" s="399" t="s">
        <v>957</v>
      </c>
      <c r="C468" s="399" t="s">
        <v>2366</v>
      </c>
      <c r="D468" s="399" t="s">
        <v>534</v>
      </c>
      <c r="E468" s="399" t="s">
        <v>919</v>
      </c>
      <c r="F468" s="399" t="s">
        <v>1240</v>
      </c>
      <c r="G468" s="399" t="s">
        <v>1240</v>
      </c>
      <c r="H468" s="399" t="s">
        <v>1240</v>
      </c>
      <c r="I468" s="399" t="s">
        <v>2328</v>
      </c>
      <c r="J468" s="399" t="s">
        <v>2358</v>
      </c>
      <c r="K468" s="789">
        <v>44713</v>
      </c>
      <c r="L468" s="399">
        <v>0</v>
      </c>
      <c r="M468" s="399">
        <v>0</v>
      </c>
      <c r="N468" s="399">
        <v>407.42399999999998</v>
      </c>
      <c r="O468" s="399">
        <v>407.42399999999998</v>
      </c>
      <c r="P468" s="399">
        <v>407.42399999999998</v>
      </c>
      <c r="Q468" s="399">
        <v>407.42399999999998</v>
      </c>
      <c r="R468" s="399"/>
      <c r="S468" s="399">
        <v>69.64</v>
      </c>
      <c r="T468" s="399">
        <v>144.41999999999999</v>
      </c>
      <c r="U468" s="399"/>
      <c r="V468" s="399">
        <v>87213.181439999986</v>
      </c>
      <c r="W468" s="399">
        <v>87213.181439999986</v>
      </c>
      <c r="X468" s="399">
        <v>85819.791359999988</v>
      </c>
      <c r="Y468" s="399">
        <v>0</v>
      </c>
      <c r="Z468" s="399">
        <v>21764.120983624623</v>
      </c>
      <c r="AA468" s="399">
        <v>0</v>
      </c>
      <c r="AB468" s="399">
        <v>0</v>
      </c>
      <c r="AC468" s="399">
        <v>0</v>
      </c>
      <c r="AD468" s="399">
        <v>0</v>
      </c>
      <c r="AE468" s="399">
        <v>0</v>
      </c>
      <c r="AF468" s="399">
        <v>58840.917070827119</v>
      </c>
      <c r="AG468" s="399">
        <v>0</v>
      </c>
      <c r="AH468" s="399">
        <v>0</v>
      </c>
      <c r="AI468" s="399">
        <v>0</v>
      </c>
      <c r="AJ468" s="399">
        <v>0</v>
      </c>
      <c r="AK468" s="399">
        <v>0</v>
      </c>
      <c r="AL468" s="399">
        <v>3863.5022391571683</v>
      </c>
      <c r="AM468" s="399"/>
      <c r="AN468" s="399">
        <v>202.76889633047065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2541.7563423160991</v>
      </c>
      <c r="BH468" s="399">
        <v>0</v>
      </c>
      <c r="BI468" s="399">
        <v>0</v>
      </c>
      <c r="BJ468" s="399">
        <v>0</v>
      </c>
      <c r="BK468" s="399">
        <v>0</v>
      </c>
      <c r="BL468" s="399">
        <v>0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>
        <v>61382.673413143217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85818.948799999998</v>
      </c>
      <c r="CJ468" s="399">
        <v>-1394.2626399999863</v>
      </c>
      <c r="CK468" s="399"/>
      <c r="CL468" s="399"/>
      <c r="CM468" s="399"/>
      <c r="CN468" s="399"/>
      <c r="CO468" s="399">
        <v>-3772.746239999999</v>
      </c>
      <c r="CP468" s="399">
        <v>2379.3561600000012</v>
      </c>
      <c r="CQ468" s="399">
        <v>30</v>
      </c>
      <c r="CR468" s="399">
        <v>-1394.4449354668759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0</v>
      </c>
      <c r="DA468" s="399">
        <v>0</v>
      </c>
      <c r="DB468" s="399">
        <v>0</v>
      </c>
      <c r="DC468" s="399">
        <v>2379.2715781012885</v>
      </c>
      <c r="DD468" s="399">
        <v>0</v>
      </c>
      <c r="DE468" s="399">
        <v>0</v>
      </c>
      <c r="DF468" s="399">
        <v>0</v>
      </c>
      <c r="DG468" s="399">
        <v>102.77760654972508</v>
      </c>
      <c r="DH468" s="399">
        <v>0</v>
      </c>
      <c r="DI468" s="399">
        <v>-3343.6461749832124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-508.37724093329098</v>
      </c>
      <c r="DP468" s="399">
        <v>-24.470704201380869</v>
      </c>
      <c r="DQ468" s="399">
        <v>0</v>
      </c>
      <c r="DR468" s="399">
        <v>0</v>
      </c>
      <c r="DS468" s="399"/>
      <c r="DT468" s="399"/>
      <c r="DU468" s="399"/>
      <c r="DV468" s="399">
        <v>0</v>
      </c>
      <c r="DW468" s="399">
        <v>0</v>
      </c>
      <c r="DX468" s="399">
        <v>0</v>
      </c>
      <c r="DY468" s="399">
        <v>-3772.7462400000004</v>
      </c>
      <c r="DZ468" s="399">
        <v>2379.356160000003</v>
      </c>
      <c r="EA468" s="399">
        <v>0</v>
      </c>
      <c r="EB468" s="399">
        <v>0</v>
      </c>
      <c r="EC468" s="399">
        <v>0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225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467</v>
      </c>
      <c r="B469" s="399" t="s">
        <v>957</v>
      </c>
      <c r="C469" s="399" t="s">
        <v>2366</v>
      </c>
      <c r="D469" s="399" t="s">
        <v>534</v>
      </c>
      <c r="E469" s="399" t="s">
        <v>919</v>
      </c>
      <c r="F469" s="399" t="s">
        <v>1240</v>
      </c>
      <c r="G469" s="399" t="s">
        <v>1240</v>
      </c>
      <c r="H469" s="399" t="s">
        <v>1240</v>
      </c>
      <c r="I469" s="399" t="s">
        <v>1240</v>
      </c>
      <c r="J469" s="399" t="s">
        <v>2358</v>
      </c>
      <c r="K469" s="789">
        <v>44713</v>
      </c>
      <c r="L469" s="399">
        <v>1856</v>
      </c>
      <c r="M469" s="399">
        <v>1856</v>
      </c>
      <c r="N469" s="399">
        <v>0</v>
      </c>
      <c r="O469" s="399">
        <v>0</v>
      </c>
      <c r="P469" s="399">
        <v>0</v>
      </c>
      <c r="Q469" s="399">
        <v>0</v>
      </c>
      <c r="R469" s="399">
        <v>34.950000000000003</v>
      </c>
      <c r="S469" s="399"/>
      <c r="T469" s="399"/>
      <c r="U469" s="399">
        <v>64867.200000000004</v>
      </c>
      <c r="V469" s="399"/>
      <c r="W469" s="399">
        <v>64867.200000000004</v>
      </c>
      <c r="X469" s="399">
        <v>63994.879999999997</v>
      </c>
      <c r="Y469" s="399">
        <v>0</v>
      </c>
      <c r="Z469" s="399">
        <v>0</v>
      </c>
      <c r="AA469" s="399">
        <v>0</v>
      </c>
      <c r="AB469" s="399">
        <v>0</v>
      </c>
      <c r="AC469" s="399">
        <v>0</v>
      </c>
      <c r="AD469" s="399">
        <v>23515.110773227072</v>
      </c>
      <c r="AE469" s="399">
        <v>41360.603634253166</v>
      </c>
      <c r="AF469" s="399"/>
      <c r="AG469" s="399"/>
      <c r="AH469" s="399"/>
      <c r="AI469" s="399">
        <v>0</v>
      </c>
      <c r="AJ469" s="399">
        <v>0</v>
      </c>
      <c r="AK469" s="399">
        <v>0</v>
      </c>
      <c r="AL469" s="399">
        <v>0</v>
      </c>
      <c r="AM469" s="399"/>
      <c r="AN469" s="399">
        <v>0</v>
      </c>
      <c r="AO469" s="399">
        <v>0</v>
      </c>
      <c r="AP469" s="399">
        <v>0</v>
      </c>
      <c r="AQ469" s="399">
        <v>0</v>
      </c>
      <c r="AR469" s="399">
        <v>0</v>
      </c>
      <c r="AS469" s="399"/>
      <c r="AT469" s="399"/>
      <c r="AU469" s="399">
        <v>0</v>
      </c>
      <c r="AV469" s="399">
        <v>0</v>
      </c>
      <c r="AW469" s="399">
        <v>0</v>
      </c>
      <c r="AX469" s="399"/>
      <c r="AY469" s="399"/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/>
      <c r="BG469" s="399">
        <v>0</v>
      </c>
      <c r="BH469" s="399">
        <v>0</v>
      </c>
      <c r="BI469" s="399">
        <v>0</v>
      </c>
      <c r="BJ469" s="399">
        <v>0</v>
      </c>
      <c r="BK469" s="399">
        <v>49038.81</v>
      </c>
      <c r="BL469" s="399">
        <v>14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0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63994.879999999997</v>
      </c>
      <c r="CJ469" s="399">
        <v>-872.3500000000131</v>
      </c>
      <c r="CK469" s="399"/>
      <c r="CL469" s="399"/>
      <c r="CM469" s="399"/>
      <c r="CN469" s="399"/>
      <c r="CO469" s="399">
        <v>-872.32000000001108</v>
      </c>
      <c r="CP469" s="399">
        <v>0</v>
      </c>
      <c r="CQ469" s="399">
        <v>30</v>
      </c>
      <c r="CR469" s="399">
        <v>984.13916930657797</v>
      </c>
      <c r="CS469" s="399">
        <v>0</v>
      </c>
      <c r="CT469" s="399">
        <v>0</v>
      </c>
      <c r="CU469" s="399">
        <v>0</v>
      </c>
      <c r="CV469" s="399">
        <v>0</v>
      </c>
      <c r="CW469" s="399"/>
      <c r="CX469" s="399"/>
      <c r="CY469" s="399"/>
      <c r="CZ469" s="399">
        <v>984.13916930657797</v>
      </c>
      <c r="DA469" s="399">
        <v>0</v>
      </c>
      <c r="DB469" s="399">
        <v>0</v>
      </c>
      <c r="DC469" s="399"/>
      <c r="DD469" s="399"/>
      <c r="DE469" s="399">
        <v>0</v>
      </c>
      <c r="DF469" s="399">
        <v>0</v>
      </c>
      <c r="DG469" s="399">
        <v>0</v>
      </c>
      <c r="DH469" s="399">
        <v>0</v>
      </c>
      <c r="DI469" s="399">
        <v>0</v>
      </c>
      <c r="DJ469" s="399"/>
      <c r="DK469" s="399">
        <v>0</v>
      </c>
      <c r="DL469" s="399">
        <v>0</v>
      </c>
      <c r="DM469" s="399"/>
      <c r="DN469" s="399">
        <v>0</v>
      </c>
      <c r="DO469" s="399">
        <v>0</v>
      </c>
      <c r="DP469" s="399">
        <v>0</v>
      </c>
      <c r="DQ469" s="399">
        <v>0</v>
      </c>
      <c r="DR469" s="399">
        <v>0</v>
      </c>
      <c r="DS469" s="399"/>
      <c r="DT469" s="399"/>
      <c r="DU469" s="399">
        <v>41360.603634253166</v>
      </c>
      <c r="DV469" s="399"/>
      <c r="DW469" s="399">
        <v>0</v>
      </c>
      <c r="DX469" s="399">
        <v>0</v>
      </c>
      <c r="DY469" s="399">
        <v>-872.32000000000698</v>
      </c>
      <c r="DZ469" s="399"/>
      <c r="EA469" s="399">
        <v>0</v>
      </c>
      <c r="EB469" s="399"/>
      <c r="EC469" s="399">
        <v>-1862.767039882594</v>
      </c>
      <c r="ED469" s="399"/>
      <c r="EE469" s="399">
        <v>0</v>
      </c>
      <c r="EF469" s="399">
        <v>0</v>
      </c>
      <c r="EG469" s="399"/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/>
      <c r="EN469" s="399"/>
      <c r="EO469" s="399">
        <v>0</v>
      </c>
      <c r="EP469" s="399">
        <v>0</v>
      </c>
      <c r="EQ469" s="399"/>
      <c r="ER469" s="399">
        <v>0</v>
      </c>
      <c r="ES469" s="399"/>
      <c r="ET469" s="399">
        <v>0</v>
      </c>
      <c r="EU469" s="399"/>
      <c r="EV469" s="399">
        <v>225</v>
      </c>
      <c r="EW469" s="399"/>
      <c r="EX469" s="399"/>
      <c r="EY469" s="399"/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468</v>
      </c>
      <c r="B470" s="399" t="s">
        <v>957</v>
      </c>
      <c r="C470" s="399" t="s">
        <v>2367</v>
      </c>
      <c r="D470" s="399" t="s">
        <v>1826</v>
      </c>
      <c r="E470" s="399" t="s">
        <v>919</v>
      </c>
      <c r="F470" s="399" t="s">
        <v>1240</v>
      </c>
      <c r="G470" s="399" t="s">
        <v>1240</v>
      </c>
      <c r="H470" s="399" t="s">
        <v>1240</v>
      </c>
      <c r="I470" s="399" t="s">
        <v>894</v>
      </c>
      <c r="J470" s="399" t="s">
        <v>2358</v>
      </c>
      <c r="K470" s="789">
        <v>44713</v>
      </c>
      <c r="L470" s="399">
        <v>0</v>
      </c>
      <c r="M470" s="399">
        <v>0</v>
      </c>
      <c r="N470" s="399">
        <v>9.5000000000000001E-2</v>
      </c>
      <c r="O470" s="399">
        <v>9.5000000000000001E-2</v>
      </c>
      <c r="P470" s="399">
        <v>9.5000000000000001E-2</v>
      </c>
      <c r="Q470" s="399">
        <v>9.5000000000000001E-2</v>
      </c>
      <c r="R470" s="399"/>
      <c r="S470" s="399">
        <v>1585.55</v>
      </c>
      <c r="T470" s="399">
        <v>144.41999999999999</v>
      </c>
      <c r="U470" s="399"/>
      <c r="V470" s="399">
        <v>164.34715</v>
      </c>
      <c r="W470" s="399">
        <v>164.34715</v>
      </c>
      <c r="X470" s="399">
        <v>160.43314999999998</v>
      </c>
      <c r="Y470" s="399">
        <v>0</v>
      </c>
      <c r="Z470" s="399">
        <v>5.8330926663322389</v>
      </c>
      <c r="AA470" s="399">
        <v>0</v>
      </c>
      <c r="AB470" s="399">
        <v>0</v>
      </c>
      <c r="AC470" s="399">
        <v>0</v>
      </c>
      <c r="AD470" s="399">
        <v>33.437740400209371</v>
      </c>
      <c r="AE470" s="399">
        <v>108.782515945824</v>
      </c>
      <c r="AF470" s="399">
        <v>13.720073244896168</v>
      </c>
      <c r="AG470" s="399">
        <v>0</v>
      </c>
      <c r="AH470" s="399">
        <v>0</v>
      </c>
      <c r="AI470" s="399">
        <v>0</v>
      </c>
      <c r="AJ470" s="399">
        <v>0</v>
      </c>
      <c r="AK470" s="399">
        <v>0</v>
      </c>
      <c r="AL470" s="399">
        <v>0.9008617870325043</v>
      </c>
      <c r="AM470" s="399"/>
      <c r="AN470" s="399">
        <v>0.13821124306990154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1.5350408090997065</v>
      </c>
      <c r="BH470" s="399">
        <v>0</v>
      </c>
      <c r="BI470" s="399">
        <v>0</v>
      </c>
      <c r="BJ470" s="399">
        <v>0</v>
      </c>
      <c r="BK470" s="399">
        <v>0</v>
      </c>
      <c r="BL470" s="399">
        <v>0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15.255114053995875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168.87700000000001</v>
      </c>
      <c r="CJ470" s="399">
        <v>4.4998500000000377</v>
      </c>
      <c r="CK470" s="399"/>
      <c r="CL470" s="399"/>
      <c r="CM470" s="399"/>
      <c r="CN470" s="399"/>
      <c r="CO470" s="399">
        <v>-4.4687999999999963</v>
      </c>
      <c r="CP470" s="399">
        <v>0.55480000000000029</v>
      </c>
      <c r="CQ470" s="399">
        <v>30</v>
      </c>
      <c r="CR470" s="399">
        <v>0.98490156127348882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1.3994146308007132</v>
      </c>
      <c r="DA470" s="399">
        <v>0</v>
      </c>
      <c r="DB470" s="399">
        <v>0</v>
      </c>
      <c r="DC470" s="399">
        <v>0.55478027784230299</v>
      </c>
      <c r="DD470" s="399">
        <v>0</v>
      </c>
      <c r="DE470" s="399">
        <v>0</v>
      </c>
      <c r="DF470" s="399">
        <v>0</v>
      </c>
      <c r="DG470" s="399">
        <v>6.2070395060632055E-2</v>
      </c>
      <c r="DH470" s="399">
        <v>0</v>
      </c>
      <c r="DI470" s="399">
        <v>-0.89614453056841548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-0.11853950157247162</v>
      </c>
      <c r="DP470" s="399">
        <v>-1.66797102892767E-2</v>
      </c>
      <c r="DQ470" s="399">
        <v>0</v>
      </c>
      <c r="DR470" s="399">
        <v>0</v>
      </c>
      <c r="DS470" s="399"/>
      <c r="DT470" s="399"/>
      <c r="DU470" s="399"/>
      <c r="DV470" s="399">
        <v>108.782515945824</v>
      </c>
      <c r="DW470" s="399">
        <v>0</v>
      </c>
      <c r="DX470" s="399">
        <v>0</v>
      </c>
      <c r="DY470" s="399">
        <v>-4.4688000000000159</v>
      </c>
      <c r="DZ470" s="399">
        <v>0.55480000000000018</v>
      </c>
      <c r="EA470" s="399">
        <v>0</v>
      </c>
      <c r="EB470" s="399">
        <v>0</v>
      </c>
      <c r="EC470" s="399">
        <v>-4.8992632460419969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225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469</v>
      </c>
      <c r="B471" s="399" t="s">
        <v>957</v>
      </c>
      <c r="C471" s="399" t="s">
        <v>2367</v>
      </c>
      <c r="D471" s="399" t="s">
        <v>1826</v>
      </c>
      <c r="E471" s="399" t="s">
        <v>919</v>
      </c>
      <c r="F471" s="399" t="s">
        <v>1240</v>
      </c>
      <c r="G471" s="399" t="s">
        <v>1240</v>
      </c>
      <c r="H471" s="399" t="s">
        <v>1240</v>
      </c>
      <c r="I471" s="399" t="s">
        <v>2328</v>
      </c>
      <c r="J471" s="399" t="s">
        <v>2358</v>
      </c>
      <c r="K471" s="789">
        <v>44713</v>
      </c>
      <c r="L471" s="399">
        <v>0</v>
      </c>
      <c r="M471" s="399">
        <v>0</v>
      </c>
      <c r="N471" s="399">
        <v>4.83</v>
      </c>
      <c r="O471" s="399">
        <v>4.83</v>
      </c>
      <c r="P471" s="399">
        <v>4.83</v>
      </c>
      <c r="Q471" s="399">
        <v>4.83</v>
      </c>
      <c r="R471" s="399"/>
      <c r="S471" s="399">
        <v>387.88</v>
      </c>
      <c r="T471" s="399">
        <v>144.41999999999999</v>
      </c>
      <c r="U471" s="399"/>
      <c r="V471" s="399">
        <v>2571.009</v>
      </c>
      <c r="W471" s="399">
        <v>2571.009</v>
      </c>
      <c r="X471" s="399">
        <v>2514.3531000000003</v>
      </c>
      <c r="Y471" s="399">
        <v>0</v>
      </c>
      <c r="Z471" s="399">
        <v>296.56671135141806</v>
      </c>
      <c r="AA471" s="399">
        <v>0</v>
      </c>
      <c r="AB471" s="399">
        <v>0</v>
      </c>
      <c r="AC471" s="399">
        <v>0</v>
      </c>
      <c r="AD471" s="399">
        <v>339.86292409132312</v>
      </c>
      <c r="AE471" s="399">
        <v>1106.1466205493728</v>
      </c>
      <c r="AF471" s="399">
        <v>697.55740813524733</v>
      </c>
      <c r="AG471" s="399">
        <v>0</v>
      </c>
      <c r="AH471" s="399">
        <v>0</v>
      </c>
      <c r="AI471" s="399">
        <v>0</v>
      </c>
      <c r="AJ471" s="399">
        <v>0</v>
      </c>
      <c r="AK471" s="399">
        <v>0</v>
      </c>
      <c r="AL471" s="399">
        <v>45.801709803863112</v>
      </c>
      <c r="AM471" s="399"/>
      <c r="AN471" s="399">
        <v>7.0269505687118361</v>
      </c>
      <c r="AO471" s="399">
        <v>0</v>
      </c>
      <c r="AP471" s="399">
        <v>0</v>
      </c>
      <c r="AQ471" s="399">
        <v>0</v>
      </c>
      <c r="AR471" s="399">
        <v>0</v>
      </c>
      <c r="AS471" s="399">
        <v>0</v>
      </c>
      <c r="AT471" s="399">
        <v>0</v>
      </c>
      <c r="AU471" s="399">
        <v>0</v>
      </c>
      <c r="AV471" s="399">
        <v>0</v>
      </c>
      <c r="AW471" s="399">
        <v>0</v>
      </c>
      <c r="AX471" s="399">
        <v>0</v>
      </c>
      <c r="AY471" s="399">
        <v>0</v>
      </c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>
        <v>0</v>
      </c>
      <c r="BG471" s="399">
        <v>78.044706399490337</v>
      </c>
      <c r="BH471" s="399">
        <v>0</v>
      </c>
      <c r="BI471" s="399">
        <v>0</v>
      </c>
      <c r="BJ471" s="399">
        <v>0</v>
      </c>
      <c r="BK471" s="399">
        <v>0</v>
      </c>
      <c r="BL471" s="399">
        <v>0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>
        <v>775.60211453473767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2514.3531000000003</v>
      </c>
      <c r="CJ471" s="399">
        <v>-56.685899999999947</v>
      </c>
      <c r="CK471" s="399"/>
      <c r="CL471" s="399"/>
      <c r="CM471" s="399"/>
      <c r="CN471" s="399"/>
      <c r="CO471" s="399">
        <v>-84.863099999999974</v>
      </c>
      <c r="CP471" s="399">
        <v>28.207200000000018</v>
      </c>
      <c r="CQ471" s="399">
        <v>30</v>
      </c>
      <c r="CR471" s="399">
        <v>-6.8509943757890142</v>
      </c>
      <c r="CS471" s="399">
        <v>0</v>
      </c>
      <c r="CT471" s="399">
        <v>0</v>
      </c>
      <c r="CU471" s="399">
        <v>0</v>
      </c>
      <c r="CV471" s="399">
        <v>0</v>
      </c>
      <c r="CW471" s="399">
        <v>0</v>
      </c>
      <c r="CX471" s="399">
        <v>0</v>
      </c>
      <c r="CY471" s="399">
        <v>0</v>
      </c>
      <c r="CZ471" s="399">
        <v>14.223722738069114</v>
      </c>
      <c r="DA471" s="399">
        <v>0</v>
      </c>
      <c r="DB471" s="399">
        <v>0</v>
      </c>
      <c r="DC471" s="399">
        <v>28.206197283982306</v>
      </c>
      <c r="DD471" s="399">
        <v>0</v>
      </c>
      <c r="DE471" s="399">
        <v>0</v>
      </c>
      <c r="DF471" s="399">
        <v>0</v>
      </c>
      <c r="DG471" s="399">
        <v>3.1557895593984568</v>
      </c>
      <c r="DH471" s="399">
        <v>0</v>
      </c>
      <c r="DI471" s="399">
        <v>-45.561874554162642</v>
      </c>
      <c r="DJ471" s="399"/>
      <c r="DK471" s="399">
        <v>0</v>
      </c>
      <c r="DL471" s="399">
        <v>0</v>
      </c>
      <c r="DM471" s="399">
        <v>0</v>
      </c>
      <c r="DN471" s="399">
        <v>0</v>
      </c>
      <c r="DO471" s="399">
        <v>-6.0267978167898733</v>
      </c>
      <c r="DP471" s="399">
        <v>-0.84803158628638364</v>
      </c>
      <c r="DQ471" s="399">
        <v>0</v>
      </c>
      <c r="DR471" s="399">
        <v>0</v>
      </c>
      <c r="DS471" s="399"/>
      <c r="DT471" s="399"/>
      <c r="DU471" s="399"/>
      <c r="DV471" s="399">
        <v>1106.1466205493728</v>
      </c>
      <c r="DW471" s="399">
        <v>0</v>
      </c>
      <c r="DX471" s="399">
        <v>0</v>
      </c>
      <c r="DY471" s="399">
        <v>-84.863099999999804</v>
      </c>
      <c r="DZ471" s="399">
        <v>28.207200000000057</v>
      </c>
      <c r="EA471" s="399">
        <v>0</v>
      </c>
      <c r="EB471" s="399">
        <v>0</v>
      </c>
      <c r="EC471" s="399">
        <v>-49.817780326848833</v>
      </c>
      <c r="ED471" s="399">
        <v>0</v>
      </c>
      <c r="EE471" s="399">
        <v>0</v>
      </c>
      <c r="EF471" s="399">
        <v>0</v>
      </c>
      <c r="EG471" s="399">
        <v>0</v>
      </c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>
        <v>0</v>
      </c>
      <c r="EN471" s="399">
        <v>0</v>
      </c>
      <c r="EO471" s="399">
        <v>0</v>
      </c>
      <c r="EP471" s="399">
        <v>0</v>
      </c>
      <c r="EQ471" s="399">
        <v>0</v>
      </c>
      <c r="ER471" s="399">
        <v>0</v>
      </c>
      <c r="ES471" s="399">
        <v>0</v>
      </c>
      <c r="ET471" s="399">
        <v>0</v>
      </c>
      <c r="EU471" s="399">
        <v>0</v>
      </c>
      <c r="EV471" s="399">
        <v>225</v>
      </c>
      <c r="EW471" s="399">
        <v>0</v>
      </c>
      <c r="EX471" s="399">
        <v>0</v>
      </c>
      <c r="EY471" s="399">
        <v>0</v>
      </c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470</v>
      </c>
      <c r="B472" s="399" t="s">
        <v>957</v>
      </c>
      <c r="C472" s="399" t="s">
        <v>2367</v>
      </c>
      <c r="D472" s="399" t="s">
        <v>1826</v>
      </c>
      <c r="E472" s="399" t="s">
        <v>919</v>
      </c>
      <c r="F472" s="399" t="s">
        <v>1240</v>
      </c>
      <c r="G472" s="399" t="s">
        <v>1240</v>
      </c>
      <c r="H472" s="399" t="s">
        <v>1240</v>
      </c>
      <c r="I472" s="399" t="s">
        <v>1240</v>
      </c>
      <c r="J472" s="399" t="s">
        <v>2358</v>
      </c>
      <c r="K472" s="789">
        <v>44713</v>
      </c>
      <c r="L472" s="399">
        <v>0</v>
      </c>
      <c r="M472" s="399">
        <v>0</v>
      </c>
      <c r="N472" s="399">
        <v>0</v>
      </c>
      <c r="O472" s="399">
        <v>0</v>
      </c>
      <c r="P472" s="399">
        <v>0</v>
      </c>
      <c r="Q472" s="399">
        <v>0</v>
      </c>
      <c r="R472" s="399"/>
      <c r="S472" s="399"/>
      <c r="T472" s="399"/>
      <c r="U472" s="399"/>
      <c r="V472" s="399"/>
      <c r="W472" s="399"/>
      <c r="X472" s="399"/>
      <c r="Y472" s="399"/>
      <c r="Z472" s="399"/>
      <c r="AA472" s="399">
        <v>0</v>
      </c>
      <c r="AB472" s="399"/>
      <c r="AC472" s="399"/>
      <c r="AD472" s="399"/>
      <c r="AE472" s="399"/>
      <c r="AF472" s="399"/>
      <c r="AG472" s="399"/>
      <c r="AH472" s="399"/>
      <c r="AI472" s="399"/>
      <c r="AJ472" s="399"/>
      <c r="AK472" s="399"/>
      <c r="AL472" s="399"/>
      <c r="AM472" s="399"/>
      <c r="AN472" s="399"/>
      <c r="AO472" s="399"/>
      <c r="AP472" s="399"/>
      <c r="AQ472" s="399"/>
      <c r="AR472" s="399"/>
      <c r="AS472" s="399"/>
      <c r="AT472" s="399"/>
      <c r="AU472" s="399"/>
      <c r="AV472" s="399"/>
      <c r="AW472" s="399"/>
      <c r="AX472" s="399"/>
      <c r="AY472" s="399"/>
      <c r="AZ472" s="399">
        <v>0</v>
      </c>
      <c r="BA472" s="399"/>
      <c r="BB472" s="399"/>
      <c r="BC472" s="399"/>
      <c r="BD472" s="399"/>
      <c r="BE472" s="399"/>
      <c r="BF472" s="399"/>
      <c r="BG472" s="399"/>
      <c r="BH472" s="399"/>
      <c r="BI472" s="399">
        <v>0</v>
      </c>
      <c r="BJ472" s="399">
        <v>0</v>
      </c>
      <c r="BK472" s="399">
        <v>827.77</v>
      </c>
      <c r="BL472" s="399">
        <v>4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/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/>
      <c r="CJ472" s="399">
        <v>-0.03</v>
      </c>
      <c r="CK472" s="399"/>
      <c r="CL472" s="399"/>
      <c r="CM472" s="399"/>
      <c r="CN472" s="399"/>
      <c r="CO472" s="399">
        <v>0</v>
      </c>
      <c r="CP472" s="399">
        <v>0</v>
      </c>
      <c r="CQ472" s="399">
        <v>30</v>
      </c>
      <c r="CR472" s="399"/>
      <c r="CS472" s="399"/>
      <c r="CT472" s="399"/>
      <c r="CU472" s="399"/>
      <c r="CV472" s="399"/>
      <c r="CW472" s="399"/>
      <c r="CX472" s="399"/>
      <c r="CY472" s="399"/>
      <c r="CZ472" s="399"/>
      <c r="DA472" s="399"/>
      <c r="DB472" s="399"/>
      <c r="DC472" s="399"/>
      <c r="DD472" s="399"/>
      <c r="DE472" s="399"/>
      <c r="DF472" s="399"/>
      <c r="DG472" s="399"/>
      <c r="DH472" s="399"/>
      <c r="DI472" s="399"/>
      <c r="DJ472" s="399"/>
      <c r="DK472" s="399">
        <v>0</v>
      </c>
      <c r="DL472" s="399"/>
      <c r="DM472" s="399"/>
      <c r="DN472" s="399"/>
      <c r="DO472" s="399"/>
      <c r="DP472" s="399"/>
      <c r="DQ472" s="399"/>
      <c r="DR472" s="399"/>
      <c r="DS472" s="399"/>
      <c r="DT472" s="399"/>
      <c r="DU472" s="399"/>
      <c r="DV472" s="399"/>
      <c r="DW472" s="399"/>
      <c r="DX472" s="399"/>
      <c r="DY472" s="399"/>
      <c r="DZ472" s="399"/>
      <c r="EA472" s="399"/>
      <c r="EB472" s="399"/>
      <c r="EC472" s="399"/>
      <c r="ED472" s="399"/>
      <c r="EE472" s="399"/>
      <c r="EF472" s="399"/>
      <c r="EG472" s="399"/>
      <c r="EH472" s="399"/>
      <c r="EI472" s="399"/>
      <c r="EJ472" s="399"/>
      <c r="EK472" s="399"/>
      <c r="EL472" s="399"/>
      <c r="EM472" s="399"/>
      <c r="EN472" s="399"/>
      <c r="EO472" s="399"/>
      <c r="EP472" s="399"/>
      <c r="EQ472" s="399"/>
      <c r="ER472" s="399"/>
      <c r="ES472" s="399"/>
      <c r="ET472" s="399"/>
      <c r="EU472" s="399"/>
      <c r="EV472" s="399">
        <v>225</v>
      </c>
      <c r="EW472" s="399"/>
      <c r="EX472" s="399"/>
      <c r="EY472" s="399"/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471</v>
      </c>
      <c r="B473" s="399" t="s">
        <v>957</v>
      </c>
      <c r="C473" s="399" t="s">
        <v>2367</v>
      </c>
      <c r="D473" s="399" t="s">
        <v>1826</v>
      </c>
      <c r="E473" s="399" t="s">
        <v>919</v>
      </c>
      <c r="F473" s="399" t="s">
        <v>1240</v>
      </c>
      <c r="G473" s="399" t="s">
        <v>1240</v>
      </c>
      <c r="H473" s="399" t="s">
        <v>1240</v>
      </c>
      <c r="I473" s="399" t="s">
        <v>2368</v>
      </c>
      <c r="J473" s="399" t="s">
        <v>2358</v>
      </c>
      <c r="K473" s="789">
        <v>44713</v>
      </c>
      <c r="L473" s="399">
        <v>0</v>
      </c>
      <c r="M473" s="399">
        <v>0</v>
      </c>
      <c r="N473" s="399">
        <v>0.11</v>
      </c>
      <c r="O473" s="399">
        <v>0.11</v>
      </c>
      <c r="P473" s="399">
        <v>0.11</v>
      </c>
      <c r="Q473" s="399">
        <v>0.11</v>
      </c>
      <c r="R473" s="399"/>
      <c r="S473" s="399">
        <v>986.74</v>
      </c>
      <c r="T473" s="399">
        <v>144.41999999999999</v>
      </c>
      <c r="U473" s="399"/>
      <c r="V473" s="399">
        <v>124.4276</v>
      </c>
      <c r="W473" s="399">
        <v>124.4276</v>
      </c>
      <c r="X473" s="399">
        <v>121.51589999999999</v>
      </c>
      <c r="Y473" s="399">
        <v>0</v>
      </c>
      <c r="Z473" s="399">
        <v>6.7541072978583818</v>
      </c>
      <c r="AA473" s="399">
        <v>0</v>
      </c>
      <c r="AB473" s="399">
        <v>0</v>
      </c>
      <c r="AC473" s="399">
        <v>0</v>
      </c>
      <c r="AD473" s="399">
        <v>23.23153927754759</v>
      </c>
      <c r="AE473" s="399">
        <v>75.575234944367182</v>
      </c>
      <c r="AF473" s="399">
        <v>15.886400599353459</v>
      </c>
      <c r="AG473" s="399">
        <v>0</v>
      </c>
      <c r="AH473" s="399">
        <v>0</v>
      </c>
      <c r="AI473" s="399">
        <v>0</v>
      </c>
      <c r="AJ473" s="399">
        <v>0</v>
      </c>
      <c r="AK473" s="399">
        <v>0</v>
      </c>
      <c r="AL473" s="399">
        <v>1.0431031218271103</v>
      </c>
      <c r="AM473" s="399"/>
      <c r="AN473" s="399">
        <v>0.16003407092304389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1.7774156736943969</v>
      </c>
      <c r="BH473" s="399">
        <v>0</v>
      </c>
      <c r="BI473" s="399">
        <v>0</v>
      </c>
      <c r="BJ473" s="399">
        <v>0</v>
      </c>
      <c r="BK473" s="399">
        <v>0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17.663816273047857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121.51589999999999</v>
      </c>
      <c r="CJ473" s="399">
        <v>-2.9417000000000257</v>
      </c>
      <c r="CK473" s="399"/>
      <c r="CL473" s="399"/>
      <c r="CM473" s="399"/>
      <c r="CN473" s="399"/>
      <c r="CO473" s="399">
        <v>-3.5541000000000067</v>
      </c>
      <c r="CP473" s="399">
        <v>0.64240000000000042</v>
      </c>
      <c r="CQ473" s="399">
        <v>30</v>
      </c>
      <c r="CR473" s="399">
        <v>0.49230881737425847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0.97227131893210128</v>
      </c>
      <c r="DA473" s="399">
        <v>0</v>
      </c>
      <c r="DB473" s="399">
        <v>0</v>
      </c>
      <c r="DC473" s="399">
        <v>0.64237716381740206</v>
      </c>
      <c r="DD473" s="399">
        <v>0</v>
      </c>
      <c r="DE473" s="399">
        <v>0</v>
      </c>
      <c r="DF473" s="399">
        <v>0</v>
      </c>
      <c r="DG473" s="399">
        <v>7.1870983754416029E-2</v>
      </c>
      <c r="DH473" s="399">
        <v>0</v>
      </c>
      <c r="DI473" s="399">
        <v>-1.0376410353950076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-0.1372562649786514</v>
      </c>
      <c r="DP473" s="399">
        <v>-1.93133487560046E-2</v>
      </c>
      <c r="DQ473" s="399">
        <v>0</v>
      </c>
      <c r="DR473" s="399">
        <v>0</v>
      </c>
      <c r="DS473" s="399"/>
      <c r="DT473" s="399"/>
      <c r="DU473" s="399"/>
      <c r="DV473" s="399">
        <v>75.575234944367182</v>
      </c>
      <c r="DW473" s="399">
        <v>0</v>
      </c>
      <c r="DX473" s="399">
        <v>0</v>
      </c>
      <c r="DY473" s="399">
        <v>-3.5541000000000054</v>
      </c>
      <c r="DZ473" s="399">
        <v>0.64240000000000208</v>
      </c>
      <c r="EA473" s="399">
        <v>0</v>
      </c>
      <c r="EB473" s="399">
        <v>0</v>
      </c>
      <c r="EC473" s="399">
        <v>-3.4036992769896699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225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472</v>
      </c>
      <c r="B474" s="399" t="s">
        <v>957</v>
      </c>
      <c r="C474" s="399" t="s">
        <v>2357</v>
      </c>
      <c r="D474" s="399" t="s">
        <v>2369</v>
      </c>
      <c r="E474" s="399" t="s">
        <v>895</v>
      </c>
      <c r="F474" s="399" t="s">
        <v>1240</v>
      </c>
      <c r="G474" s="399" t="s">
        <v>1240</v>
      </c>
      <c r="H474" s="399" t="s">
        <v>1240</v>
      </c>
      <c r="I474" s="399" t="s">
        <v>1240</v>
      </c>
      <c r="J474" s="399" t="s">
        <v>2358</v>
      </c>
      <c r="K474" s="789">
        <v>44713</v>
      </c>
      <c r="L474" s="399">
        <v>0</v>
      </c>
      <c r="M474" s="399">
        <v>0</v>
      </c>
      <c r="N474" s="399">
        <v>228.16300000000001</v>
      </c>
      <c r="O474" s="399">
        <v>228.16300000000001</v>
      </c>
      <c r="P474" s="399">
        <v>228.16300000000001</v>
      </c>
      <c r="Q474" s="399">
        <v>228.16300000000001</v>
      </c>
      <c r="R474" s="399"/>
      <c r="S474" s="399">
        <v>522.37</v>
      </c>
      <c r="T474" s="399">
        <v>144.41999999999999</v>
      </c>
      <c r="U474" s="399"/>
      <c r="V474" s="399">
        <v>152136.80677000002</v>
      </c>
      <c r="W474" s="399">
        <v>152136.80677000002</v>
      </c>
      <c r="X474" s="399">
        <v>148702.95362000001</v>
      </c>
      <c r="Y474" s="399">
        <v>0</v>
      </c>
      <c r="Z474" s="399">
        <v>14009.430758193292</v>
      </c>
      <c r="AA474" s="399">
        <v>0</v>
      </c>
      <c r="AB474" s="399">
        <v>0</v>
      </c>
      <c r="AC474" s="399">
        <v>0</v>
      </c>
      <c r="AD474" s="399">
        <v>23264.333064545026</v>
      </c>
      <c r="AE474" s="399">
        <v>75728.94667219666</v>
      </c>
      <c r="AF474" s="399">
        <v>32951.716545002579</v>
      </c>
      <c r="AG474" s="399">
        <v>0</v>
      </c>
      <c r="AH474" s="399">
        <v>0</v>
      </c>
      <c r="AI474" s="399">
        <v>0</v>
      </c>
      <c r="AJ474" s="399">
        <v>0</v>
      </c>
      <c r="AK474" s="399">
        <v>0</v>
      </c>
      <c r="AL474" s="399">
        <v>2163.613978049445</v>
      </c>
      <c r="AM474" s="399"/>
      <c r="AN474" s="399">
        <v>331.94412476376789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3686.7317487012247</v>
      </c>
      <c r="BH474" s="399">
        <v>0</v>
      </c>
      <c r="BI474" s="399">
        <v>4.51</v>
      </c>
      <c r="BJ474" s="399">
        <v>21.04</v>
      </c>
      <c r="BK474" s="399">
        <v>23094.16</v>
      </c>
      <c r="BL474" s="399">
        <v>756</v>
      </c>
      <c r="BM474" s="399"/>
      <c r="BN474" s="399"/>
      <c r="BO474" s="399"/>
      <c r="BP474" s="399"/>
      <c r="BQ474" s="399"/>
      <c r="BR474" s="399">
        <v>17842.346600000004</v>
      </c>
      <c r="BS474" s="399"/>
      <c r="BT474" s="399"/>
      <c r="BU474" s="399"/>
      <c r="BV474" s="399">
        <v>36638.448293703805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130858.8864</v>
      </c>
      <c r="CJ474" s="399">
        <v>-3020.347110000017</v>
      </c>
      <c r="CK474" s="399"/>
      <c r="CL474" s="399"/>
      <c r="CM474" s="399"/>
      <c r="CN474" s="399"/>
      <c r="CO474" s="399">
        <v>-4766.3250699999971</v>
      </c>
      <c r="CP474" s="399">
        <v>1332.4719200000009</v>
      </c>
      <c r="CQ474" s="399">
        <v>30</v>
      </c>
      <c r="CR474" s="399">
        <v>-21.898800784023479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973.6437832427473</v>
      </c>
      <c r="DA474" s="399">
        <v>0</v>
      </c>
      <c r="DB474" s="399">
        <v>0</v>
      </c>
      <c r="DC474" s="399">
        <v>1332.4245529824548</v>
      </c>
      <c r="DD474" s="399">
        <v>0</v>
      </c>
      <c r="DE474" s="399">
        <v>0</v>
      </c>
      <c r="DF474" s="399">
        <v>0</v>
      </c>
      <c r="DG474" s="399">
        <v>149.07544787598954</v>
      </c>
      <c r="DH474" s="399">
        <v>0</v>
      </c>
      <c r="DI474" s="399">
        <v>-2152.2844687166471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-284.69819260294548</v>
      </c>
      <c r="DP474" s="399">
        <v>-40.05992356560256</v>
      </c>
      <c r="DQ474" s="399">
        <v>0</v>
      </c>
      <c r="DR474" s="399">
        <v>0</v>
      </c>
      <c r="DS474" s="399"/>
      <c r="DT474" s="399"/>
      <c r="DU474" s="399"/>
      <c r="DV474" s="399">
        <v>75728.94667219666</v>
      </c>
      <c r="DW474" s="399">
        <v>0</v>
      </c>
      <c r="DX474" s="399">
        <v>0</v>
      </c>
      <c r="DY474" s="399">
        <v>-4766.3250700000062</v>
      </c>
      <c r="DZ474" s="399">
        <v>1332.4719200000036</v>
      </c>
      <c r="EA474" s="399">
        <v>0</v>
      </c>
      <c r="EB474" s="399">
        <v>0</v>
      </c>
      <c r="EC474" s="399">
        <v>-3410.6220275077212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0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225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473</v>
      </c>
      <c r="B475" s="399" t="s">
        <v>2359</v>
      </c>
      <c r="C475" s="399" t="s">
        <v>2357</v>
      </c>
      <c r="D475" s="399" t="s">
        <v>2369</v>
      </c>
      <c r="E475" s="399" t="s">
        <v>895</v>
      </c>
      <c r="F475" s="399" t="s">
        <v>1240</v>
      </c>
      <c r="G475" s="399" t="s">
        <v>1240</v>
      </c>
      <c r="H475" s="399" t="s">
        <v>1240</v>
      </c>
      <c r="I475" s="399" t="s">
        <v>1240</v>
      </c>
      <c r="J475" s="399" t="s">
        <v>2358</v>
      </c>
      <c r="K475" s="789">
        <v>44713</v>
      </c>
      <c r="L475" s="399">
        <v>0</v>
      </c>
      <c r="M475" s="399">
        <v>0</v>
      </c>
      <c r="N475" s="399">
        <v>-0.50800000000000001</v>
      </c>
      <c r="O475" s="399">
        <v>-0.50800000000000001</v>
      </c>
      <c r="P475" s="399">
        <v>-0.50800000000000001</v>
      </c>
      <c r="Q475" s="399">
        <v>-0.50800000000000001</v>
      </c>
      <c r="R475" s="399"/>
      <c r="S475" s="399">
        <v>522.37</v>
      </c>
      <c r="T475" s="399">
        <v>144.41999999999999</v>
      </c>
      <c r="U475" s="399"/>
      <c r="V475" s="399">
        <v>-338.72932000000003</v>
      </c>
      <c r="W475" s="399">
        <v>-338.72932000000003</v>
      </c>
      <c r="X475" s="399">
        <v>-331.08392000000003</v>
      </c>
      <c r="Y475" s="399">
        <v>0</v>
      </c>
      <c r="Z475" s="399">
        <v>-31.191695521018708</v>
      </c>
      <c r="AA475" s="399">
        <v>0</v>
      </c>
      <c r="AB475" s="399">
        <v>0</v>
      </c>
      <c r="AC475" s="399">
        <v>0</v>
      </c>
      <c r="AD475" s="399">
        <v>-51.797535958016297</v>
      </c>
      <c r="AE475" s="399">
        <v>-168.60886694808494</v>
      </c>
      <c r="AF475" s="399">
        <v>-73.366286404286882</v>
      </c>
      <c r="AG475" s="399">
        <v>0</v>
      </c>
      <c r="AH475" s="399">
        <v>0</v>
      </c>
      <c r="AI475" s="399">
        <v>0</v>
      </c>
      <c r="AJ475" s="399">
        <v>0</v>
      </c>
      <c r="AK475" s="399">
        <v>0</v>
      </c>
      <c r="AL475" s="399">
        <v>-4.8172398717106546</v>
      </c>
      <c r="AM475" s="399"/>
      <c r="AN475" s="399">
        <v>-0.73906643662642091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-8.2084287476068525</v>
      </c>
      <c r="BH475" s="399">
        <v>0</v>
      </c>
      <c r="BI475" s="399">
        <v>0</v>
      </c>
      <c r="BJ475" s="399">
        <v>0</v>
      </c>
      <c r="BK475" s="399">
        <v>-40.31</v>
      </c>
      <c r="BL475" s="399">
        <v>0</v>
      </c>
      <c r="BM475" s="399"/>
      <c r="BN475" s="399"/>
      <c r="BO475" s="399"/>
      <c r="BP475" s="399"/>
      <c r="BQ475" s="399"/>
      <c r="BR475" s="399">
        <v>-39.725600000000014</v>
      </c>
      <c r="BS475" s="399"/>
      <c r="BT475" s="399"/>
      <c r="BU475" s="399"/>
      <c r="BV475" s="399">
        <v>-81.574715151893741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-292.50540000000001</v>
      </c>
      <c r="CJ475" s="399">
        <v>5.5437600000000202</v>
      </c>
      <c r="CK475" s="399"/>
      <c r="CL475" s="399"/>
      <c r="CM475" s="399"/>
      <c r="CN475" s="399"/>
      <c r="CO475" s="399">
        <v>10.612119999999994</v>
      </c>
      <c r="CP475" s="399">
        <v>-2.9667200000000018</v>
      </c>
      <c r="CQ475" s="399">
        <v>30</v>
      </c>
      <c r="CR475" s="399">
        <v>4.8757207778066913E-2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-2.1677968903254126</v>
      </c>
      <c r="DA475" s="399">
        <v>0</v>
      </c>
      <c r="DB475" s="399">
        <v>0</v>
      </c>
      <c r="DC475" s="399">
        <v>-2.9666145383567368</v>
      </c>
      <c r="DD475" s="399">
        <v>0</v>
      </c>
      <c r="DE475" s="399">
        <v>0</v>
      </c>
      <c r="DF475" s="399">
        <v>0</v>
      </c>
      <c r="DG475" s="399">
        <v>-0.33191327042948338</v>
      </c>
      <c r="DH475" s="399">
        <v>0</v>
      </c>
      <c r="DI475" s="399">
        <v>4.7920149634605806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0.63387438735595314</v>
      </c>
      <c r="DP475" s="399">
        <v>8.9192556073184881E-2</v>
      </c>
      <c r="DQ475" s="399">
        <v>0</v>
      </c>
      <c r="DR475" s="399">
        <v>0</v>
      </c>
      <c r="DS475" s="399"/>
      <c r="DT475" s="399"/>
      <c r="DU475" s="399"/>
      <c r="DV475" s="399">
        <v>-168.60886694808494</v>
      </c>
      <c r="DW475" s="399">
        <v>0</v>
      </c>
      <c r="DX475" s="399">
        <v>0</v>
      </c>
      <c r="DY475" s="399">
        <v>10.612120000000004</v>
      </c>
      <c r="DZ475" s="399">
        <v>-2.9667199999999951</v>
      </c>
      <c r="EA475" s="399">
        <v>0</v>
      </c>
      <c r="EB475" s="399">
        <v>0</v>
      </c>
      <c r="EC475" s="399">
        <v>7.5936764066650824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0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225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474</v>
      </c>
      <c r="B476" s="399" t="s">
        <v>2360</v>
      </c>
      <c r="C476" s="399" t="s">
        <v>2357</v>
      </c>
      <c r="D476" s="399" t="s">
        <v>2369</v>
      </c>
      <c r="E476" s="399" t="s">
        <v>895</v>
      </c>
      <c r="F476" s="399" t="s">
        <v>1240</v>
      </c>
      <c r="G476" s="399" t="s">
        <v>1240</v>
      </c>
      <c r="H476" s="399" t="s">
        <v>1240</v>
      </c>
      <c r="I476" s="399" t="s">
        <v>1240</v>
      </c>
      <c r="J476" s="399" t="s">
        <v>2358</v>
      </c>
      <c r="K476" s="789">
        <v>44713</v>
      </c>
      <c r="L476" s="399">
        <v>0</v>
      </c>
      <c r="M476" s="399">
        <v>0</v>
      </c>
      <c r="N476" s="399">
        <v>5.6390000000000002</v>
      </c>
      <c r="O476" s="399">
        <v>5.6390000000000002</v>
      </c>
      <c r="P476" s="399">
        <v>5.6390000000000002</v>
      </c>
      <c r="Q476" s="399">
        <v>5.6390000000000002</v>
      </c>
      <c r="R476" s="399"/>
      <c r="S476" s="399">
        <v>522.37</v>
      </c>
      <c r="T476" s="399">
        <v>144.41999999999999</v>
      </c>
      <c r="U476" s="399"/>
      <c r="V476" s="399">
        <v>3760.0288100000002</v>
      </c>
      <c r="W476" s="399">
        <v>3760.0288100000002</v>
      </c>
      <c r="X476" s="399">
        <v>3675.1618600000002</v>
      </c>
      <c r="Y476" s="399">
        <v>0</v>
      </c>
      <c r="Z476" s="399">
        <v>346.24010047839471</v>
      </c>
      <c r="AA476" s="399">
        <v>0</v>
      </c>
      <c r="AB476" s="399">
        <v>0</v>
      </c>
      <c r="AC476" s="399">
        <v>0</v>
      </c>
      <c r="AD476" s="399">
        <v>574.97304186467306</v>
      </c>
      <c r="AE476" s="399">
        <v>1871.6248045674233</v>
      </c>
      <c r="AF476" s="399">
        <v>814.39466345231051</v>
      </c>
      <c r="AG476" s="399">
        <v>0</v>
      </c>
      <c r="AH476" s="399">
        <v>0</v>
      </c>
      <c r="AI476" s="399">
        <v>0</v>
      </c>
      <c r="AJ476" s="399">
        <v>0</v>
      </c>
      <c r="AK476" s="399">
        <v>0</v>
      </c>
      <c r="AL476" s="399">
        <v>53.473259127118865</v>
      </c>
      <c r="AM476" s="399"/>
      <c r="AN476" s="399">
        <v>8.2039284175913139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91.116790763297317</v>
      </c>
      <c r="BH476" s="399">
        <v>0</v>
      </c>
      <c r="BI476" s="399">
        <v>0</v>
      </c>
      <c r="BJ476" s="399">
        <v>0</v>
      </c>
      <c r="BK476" s="399">
        <v>1317.91</v>
      </c>
      <c r="BL476" s="399">
        <v>12</v>
      </c>
      <c r="BM476" s="399"/>
      <c r="BN476" s="399"/>
      <c r="BO476" s="399"/>
      <c r="BP476" s="399"/>
      <c r="BQ476" s="399"/>
      <c r="BR476" s="399">
        <v>440.96980000000013</v>
      </c>
      <c r="BS476" s="399"/>
      <c r="BT476" s="399"/>
      <c r="BU476" s="399"/>
      <c r="BV476" s="399">
        <v>905.51145421560784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3234.7655999999997</v>
      </c>
      <c r="CJ476" s="399">
        <v>-74.060430000001361</v>
      </c>
      <c r="CK476" s="399"/>
      <c r="CL476" s="399"/>
      <c r="CM476" s="399"/>
      <c r="CN476" s="399"/>
      <c r="CO476" s="399">
        <v>-117.79870999999993</v>
      </c>
      <c r="CP476" s="399">
        <v>32.931760000000018</v>
      </c>
      <c r="CQ476" s="399">
        <v>30</v>
      </c>
      <c r="CR476" s="399">
        <v>-0.54122420208796029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24.063398945954646</v>
      </c>
      <c r="DA476" s="399">
        <v>0</v>
      </c>
      <c r="DB476" s="399">
        <v>0</v>
      </c>
      <c r="DC476" s="399">
        <v>32.930589334239357</v>
      </c>
      <c r="DD476" s="399">
        <v>0</v>
      </c>
      <c r="DE476" s="399">
        <v>0</v>
      </c>
      <c r="DF476" s="399">
        <v>0</v>
      </c>
      <c r="DG476" s="399">
        <v>3.6843679762831982</v>
      </c>
      <c r="DH476" s="399">
        <v>0</v>
      </c>
      <c r="DI476" s="399">
        <v>-53.193252714476841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-7.0362552564965029</v>
      </c>
      <c r="DP476" s="399">
        <v>-0.99007248759190869</v>
      </c>
      <c r="DQ476" s="399">
        <v>0</v>
      </c>
      <c r="DR476" s="399">
        <v>0</v>
      </c>
      <c r="DS476" s="399"/>
      <c r="DT476" s="399"/>
      <c r="DU476" s="399"/>
      <c r="DV476" s="399">
        <v>1871.6248045674233</v>
      </c>
      <c r="DW476" s="399">
        <v>0</v>
      </c>
      <c r="DX476" s="399">
        <v>0</v>
      </c>
      <c r="DY476" s="399">
        <v>-117.79871000000003</v>
      </c>
      <c r="DZ476" s="399">
        <v>32.931760000000054</v>
      </c>
      <c r="EA476" s="399">
        <v>0</v>
      </c>
      <c r="EB476" s="399">
        <v>0</v>
      </c>
      <c r="EC476" s="399">
        <v>-84.292797750362979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0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225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475</v>
      </c>
      <c r="B477" s="399" t="s">
        <v>957</v>
      </c>
      <c r="C477" s="399" t="s">
        <v>2366</v>
      </c>
      <c r="D477" s="399" t="s">
        <v>534</v>
      </c>
      <c r="E477" s="399" t="s">
        <v>895</v>
      </c>
      <c r="F477" s="399" t="s">
        <v>1240</v>
      </c>
      <c r="G477" s="399" t="s">
        <v>1240</v>
      </c>
      <c r="H477" s="399" t="s">
        <v>1240</v>
      </c>
      <c r="I477" s="399" t="s">
        <v>2328</v>
      </c>
      <c r="J477" s="399" t="s">
        <v>2358</v>
      </c>
      <c r="K477" s="789">
        <v>44713</v>
      </c>
      <c r="L477" s="399">
        <v>0</v>
      </c>
      <c r="M477" s="399">
        <v>0</v>
      </c>
      <c r="N477" s="399">
        <v>33.51</v>
      </c>
      <c r="O477" s="399">
        <v>32.169599999999996</v>
      </c>
      <c r="P477" s="399">
        <v>33.51</v>
      </c>
      <c r="Q477" s="399">
        <v>32.169599999999996</v>
      </c>
      <c r="R477" s="399"/>
      <c r="S477" s="399">
        <v>69.64</v>
      </c>
      <c r="T477" s="399">
        <v>144.41999999999999</v>
      </c>
      <c r="U477" s="399"/>
      <c r="V477" s="399">
        <v>7173.150599999999</v>
      </c>
      <c r="W477" s="399">
        <v>7173.150599999999</v>
      </c>
      <c r="X477" s="399">
        <v>7058.5463999999993</v>
      </c>
      <c r="Y477" s="399">
        <v>0</v>
      </c>
      <c r="Z477" s="399">
        <v>1790.0656175415811</v>
      </c>
      <c r="AA477" s="399">
        <v>0</v>
      </c>
      <c r="AB477" s="399">
        <v>0</v>
      </c>
      <c r="AC477" s="399">
        <v>0</v>
      </c>
      <c r="AD477" s="399">
        <v>0</v>
      </c>
      <c r="AE477" s="399">
        <v>0</v>
      </c>
      <c r="AF477" s="399">
        <v>4839.5753098575851</v>
      </c>
      <c r="AG477" s="399">
        <v>0</v>
      </c>
      <c r="AH477" s="399">
        <v>0</v>
      </c>
      <c r="AI477" s="399">
        <v>0</v>
      </c>
      <c r="AJ477" s="399">
        <v>0</v>
      </c>
      <c r="AK477" s="399">
        <v>0</v>
      </c>
      <c r="AL477" s="399">
        <v>317.76714193114964</v>
      </c>
      <c r="AM477" s="399"/>
      <c r="AN477" s="399">
        <v>16.677431167614259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209.05556626760446</v>
      </c>
      <c r="BH477" s="399">
        <v>0</v>
      </c>
      <c r="BI477" s="399">
        <v>0</v>
      </c>
      <c r="BJ477" s="399">
        <v>0</v>
      </c>
      <c r="BK477" s="399">
        <v>0</v>
      </c>
      <c r="BL477" s="399">
        <v>0</v>
      </c>
      <c r="BM477" s="399"/>
      <c r="BN477" s="399"/>
      <c r="BO477" s="399"/>
      <c r="BP477" s="399"/>
      <c r="BQ477" s="399"/>
      <c r="BR477" s="399">
        <v>282.34185600000052</v>
      </c>
      <c r="BS477" s="399"/>
      <c r="BT477" s="399"/>
      <c r="BU477" s="399"/>
      <c r="BV477" s="399">
        <v>5048.6308761251894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6776.2888000000003</v>
      </c>
      <c r="CJ477" s="399">
        <v>-109.9657759999991</v>
      </c>
      <c r="CK477" s="399"/>
      <c r="CL477" s="399"/>
      <c r="CM477" s="399"/>
      <c r="CN477" s="399"/>
      <c r="CO477" s="399">
        <v>-310.30259999999993</v>
      </c>
      <c r="CP477" s="399">
        <v>195.69840000000011</v>
      </c>
      <c r="CQ477" s="399">
        <v>30</v>
      </c>
      <c r="CR477" s="399">
        <v>-114.69096024656119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0</v>
      </c>
      <c r="DA477" s="399">
        <v>0</v>
      </c>
      <c r="DB477" s="399">
        <v>0</v>
      </c>
      <c r="DC477" s="399">
        <v>195.69144326837431</v>
      </c>
      <c r="DD477" s="399">
        <v>0</v>
      </c>
      <c r="DE477" s="399">
        <v>0</v>
      </c>
      <c r="DF477" s="399">
        <v>0</v>
      </c>
      <c r="DG477" s="399">
        <v>8.4533007272062548</v>
      </c>
      <c r="DH477" s="399">
        <v>0</v>
      </c>
      <c r="DI477" s="399">
        <v>-275.0097768508665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-41.813249449405475</v>
      </c>
      <c r="DP477" s="399">
        <v>-2.0126779418695833</v>
      </c>
      <c r="DQ477" s="399">
        <v>0</v>
      </c>
      <c r="DR477" s="399">
        <v>0</v>
      </c>
      <c r="DS477" s="399"/>
      <c r="DT477" s="399"/>
      <c r="DU477" s="399"/>
      <c r="DV477" s="399">
        <v>0</v>
      </c>
      <c r="DW477" s="399">
        <v>0</v>
      </c>
      <c r="DX477" s="399">
        <v>0</v>
      </c>
      <c r="DY477" s="399">
        <v>-310.30259999999998</v>
      </c>
      <c r="DZ477" s="399">
        <v>195.69840000000022</v>
      </c>
      <c r="EA477" s="399">
        <v>0</v>
      </c>
      <c r="EB477" s="399">
        <v>0</v>
      </c>
      <c r="EC477" s="399">
        <v>0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0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225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476</v>
      </c>
      <c r="B478" s="399" t="s">
        <v>957</v>
      </c>
      <c r="C478" s="399" t="s">
        <v>2366</v>
      </c>
      <c r="D478" s="399" t="s">
        <v>534</v>
      </c>
      <c r="E478" s="399" t="s">
        <v>895</v>
      </c>
      <c r="F478" s="399" t="s">
        <v>1240</v>
      </c>
      <c r="G478" s="399" t="s">
        <v>1240</v>
      </c>
      <c r="H478" s="399" t="s">
        <v>1240</v>
      </c>
      <c r="I478" s="399" t="s">
        <v>1240</v>
      </c>
      <c r="J478" s="399" t="s">
        <v>2358</v>
      </c>
      <c r="K478" s="789">
        <v>44713</v>
      </c>
      <c r="L478" s="399">
        <v>170</v>
      </c>
      <c r="M478" s="399">
        <v>163.19999999999999</v>
      </c>
      <c r="N478" s="399">
        <v>0</v>
      </c>
      <c r="O478" s="399">
        <v>0</v>
      </c>
      <c r="P478" s="399">
        <v>0</v>
      </c>
      <c r="Q478" s="399">
        <v>0</v>
      </c>
      <c r="R478" s="399">
        <v>34.950000000000003</v>
      </c>
      <c r="S478" s="399"/>
      <c r="T478" s="399"/>
      <c r="U478" s="399">
        <v>5941.5000000000009</v>
      </c>
      <c r="V478" s="399"/>
      <c r="W478" s="399">
        <v>5941.5000000000009</v>
      </c>
      <c r="X478" s="399">
        <v>5861.5999999999995</v>
      </c>
      <c r="Y478" s="399">
        <v>0</v>
      </c>
      <c r="Z478" s="399">
        <v>0</v>
      </c>
      <c r="AA478" s="399">
        <v>0</v>
      </c>
      <c r="AB478" s="399">
        <v>0</v>
      </c>
      <c r="AC478" s="399">
        <v>0</v>
      </c>
      <c r="AD478" s="399">
        <v>2153.8625169442898</v>
      </c>
      <c r="AE478" s="399">
        <v>3788.4173587408613</v>
      </c>
      <c r="AF478" s="399"/>
      <c r="AG478" s="399"/>
      <c r="AH478" s="399"/>
      <c r="AI478" s="399">
        <v>0</v>
      </c>
      <c r="AJ478" s="399">
        <v>0</v>
      </c>
      <c r="AK478" s="399">
        <v>0</v>
      </c>
      <c r="AL478" s="399">
        <v>0</v>
      </c>
      <c r="AM478" s="399"/>
      <c r="AN478" s="399">
        <v>0</v>
      </c>
      <c r="AO478" s="399">
        <v>0</v>
      </c>
      <c r="AP478" s="399">
        <v>0</v>
      </c>
      <c r="AQ478" s="399">
        <v>0</v>
      </c>
      <c r="AR478" s="399">
        <v>0</v>
      </c>
      <c r="AS478" s="399"/>
      <c r="AT478" s="399"/>
      <c r="AU478" s="399">
        <v>0</v>
      </c>
      <c r="AV478" s="399">
        <v>0</v>
      </c>
      <c r="AW478" s="399">
        <v>0</v>
      </c>
      <c r="AX478" s="399"/>
      <c r="AY478" s="399"/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/>
      <c r="BG478" s="399">
        <v>0</v>
      </c>
      <c r="BH478" s="399">
        <v>0</v>
      </c>
      <c r="BI478" s="399">
        <v>0</v>
      </c>
      <c r="BJ478" s="399">
        <v>0</v>
      </c>
      <c r="BK478" s="399">
        <v>3519.12</v>
      </c>
      <c r="BL478" s="399">
        <v>1</v>
      </c>
      <c r="BM478" s="399"/>
      <c r="BN478" s="399"/>
      <c r="BO478" s="399"/>
      <c r="BP478" s="399"/>
      <c r="BQ478" s="399"/>
      <c r="BR478" s="399">
        <v>234.46400000000037</v>
      </c>
      <c r="BS478" s="399"/>
      <c r="BT478" s="399"/>
      <c r="BU478" s="399"/>
      <c r="BV478" s="399">
        <v>0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5627.1359999999995</v>
      </c>
      <c r="CJ478" s="399">
        <v>-76.734000000001288</v>
      </c>
      <c r="CK478" s="399"/>
      <c r="CL478" s="399"/>
      <c r="CM478" s="399"/>
      <c r="CN478" s="399"/>
      <c r="CO478" s="399">
        <v>-79.900000000001015</v>
      </c>
      <c r="CP478" s="399">
        <v>0</v>
      </c>
      <c r="CQ478" s="399">
        <v>30</v>
      </c>
      <c r="CR478" s="399">
        <v>90.142057533469142</v>
      </c>
      <c r="CS478" s="399">
        <v>0</v>
      </c>
      <c r="CT478" s="399">
        <v>0</v>
      </c>
      <c r="CU478" s="399">
        <v>0</v>
      </c>
      <c r="CV478" s="399">
        <v>0</v>
      </c>
      <c r="CW478" s="399"/>
      <c r="CX478" s="399"/>
      <c r="CY478" s="399"/>
      <c r="CZ478" s="399">
        <v>90.142057533469142</v>
      </c>
      <c r="DA478" s="399">
        <v>0</v>
      </c>
      <c r="DB478" s="399">
        <v>0</v>
      </c>
      <c r="DC478" s="399"/>
      <c r="DD478" s="399"/>
      <c r="DE478" s="399">
        <v>0</v>
      </c>
      <c r="DF478" s="399">
        <v>0</v>
      </c>
      <c r="DG478" s="399">
        <v>0</v>
      </c>
      <c r="DH478" s="399">
        <v>0</v>
      </c>
      <c r="DI478" s="399">
        <v>0</v>
      </c>
      <c r="DJ478" s="399"/>
      <c r="DK478" s="399">
        <v>0</v>
      </c>
      <c r="DL478" s="399">
        <v>0</v>
      </c>
      <c r="DM478" s="399"/>
      <c r="DN478" s="399">
        <v>0</v>
      </c>
      <c r="DO478" s="399">
        <v>0</v>
      </c>
      <c r="DP478" s="399">
        <v>0</v>
      </c>
      <c r="DQ478" s="399">
        <v>0</v>
      </c>
      <c r="DR478" s="399">
        <v>0</v>
      </c>
      <c r="DS478" s="399"/>
      <c r="DT478" s="399"/>
      <c r="DU478" s="399">
        <v>3788.4173587408613</v>
      </c>
      <c r="DV478" s="399"/>
      <c r="DW478" s="399">
        <v>0</v>
      </c>
      <c r="DX478" s="399">
        <v>0</v>
      </c>
      <c r="DY478" s="399">
        <v>-79.900000000001455</v>
      </c>
      <c r="DZ478" s="399"/>
      <c r="EA478" s="399">
        <v>0</v>
      </c>
      <c r="EB478" s="399"/>
      <c r="EC478" s="399">
        <v>-170.619825851315</v>
      </c>
      <c r="ED478" s="399"/>
      <c r="EE478" s="399">
        <v>0</v>
      </c>
      <c r="EF478" s="399">
        <v>0</v>
      </c>
      <c r="EG478" s="399"/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/>
      <c r="EN478" s="399"/>
      <c r="EO478" s="399">
        <v>0</v>
      </c>
      <c r="EP478" s="399">
        <v>0</v>
      </c>
      <c r="EQ478" s="399"/>
      <c r="ER478" s="399">
        <v>0</v>
      </c>
      <c r="ES478" s="399"/>
      <c r="ET478" s="399">
        <v>0</v>
      </c>
      <c r="EU478" s="399"/>
      <c r="EV478" s="399">
        <v>225</v>
      </c>
      <c r="EW478" s="399"/>
      <c r="EX478" s="399"/>
      <c r="EY478" s="399"/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477</v>
      </c>
      <c r="B479" s="399" t="s">
        <v>957</v>
      </c>
      <c r="C479" s="399" t="s">
        <v>2357</v>
      </c>
      <c r="D479" s="399" t="s">
        <v>1826</v>
      </c>
      <c r="E479" s="399" t="s">
        <v>2370</v>
      </c>
      <c r="F479" s="399" t="s">
        <v>1240</v>
      </c>
      <c r="G479" s="399" t="s">
        <v>1240</v>
      </c>
      <c r="H479" s="399" t="s">
        <v>1240</v>
      </c>
      <c r="I479" s="399" t="s">
        <v>1240</v>
      </c>
      <c r="J479" s="399" t="s">
        <v>2358</v>
      </c>
      <c r="K479" s="789">
        <v>44713</v>
      </c>
      <c r="L479" s="399">
        <v>0</v>
      </c>
      <c r="M479" s="399">
        <v>0</v>
      </c>
      <c r="N479" s="399">
        <v>71.867999999999995</v>
      </c>
      <c r="O479" s="399">
        <v>71.867999999999995</v>
      </c>
      <c r="P479" s="399">
        <v>71.867999999999995</v>
      </c>
      <c r="Q479" s="399">
        <v>71.867999999999995</v>
      </c>
      <c r="R479" s="399"/>
      <c r="S479" s="399">
        <v>522.37</v>
      </c>
      <c r="T479" s="399">
        <v>144.41999999999999</v>
      </c>
      <c r="U479" s="399"/>
      <c r="V479" s="399">
        <v>47920.863720000001</v>
      </c>
      <c r="W479" s="399">
        <v>47920.863720000001</v>
      </c>
      <c r="X479" s="399">
        <v>46839.250319999999</v>
      </c>
      <c r="Y479" s="399">
        <v>0</v>
      </c>
      <c r="Z479" s="399">
        <v>4412.7653025680556</v>
      </c>
      <c r="AA479" s="399">
        <v>0</v>
      </c>
      <c r="AB479" s="399">
        <v>0</v>
      </c>
      <c r="AC479" s="399">
        <v>0</v>
      </c>
      <c r="AD479" s="399">
        <v>7327.9238469108559</v>
      </c>
      <c r="AE479" s="399">
        <v>23853.507972096391</v>
      </c>
      <c r="AF479" s="399">
        <v>10379.307620675767</v>
      </c>
      <c r="AG479" s="399">
        <v>0</v>
      </c>
      <c r="AH479" s="399">
        <v>0</v>
      </c>
      <c r="AI479" s="399">
        <v>0</v>
      </c>
      <c r="AJ479" s="399">
        <v>0</v>
      </c>
      <c r="AK479" s="399">
        <v>0</v>
      </c>
      <c r="AL479" s="399">
        <v>681.50668326791595</v>
      </c>
      <c r="AM479" s="399"/>
      <c r="AN479" s="399">
        <v>104.55753280997561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1161.266451246081</v>
      </c>
      <c r="BH479" s="399">
        <v>0</v>
      </c>
      <c r="BI479" s="399">
        <v>281.47000000000003</v>
      </c>
      <c r="BJ479" s="399">
        <v>1302.01</v>
      </c>
      <c r="BK479" s="399">
        <v>11706</v>
      </c>
      <c r="BL479" s="399">
        <v>128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11540.574071921848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46840.553800000009</v>
      </c>
      <c r="CJ479" s="399">
        <v>-1080.3399199999985</v>
      </c>
      <c r="CK479" s="399"/>
      <c r="CL479" s="399"/>
      <c r="CM479" s="399"/>
      <c r="CN479" s="399"/>
      <c r="CO479" s="399">
        <v>-1501.3225199999988</v>
      </c>
      <c r="CP479" s="399">
        <v>419.70912000000021</v>
      </c>
      <c r="CQ479" s="399">
        <v>30</v>
      </c>
      <c r="CR479" s="399">
        <v>-6.8978011980216252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306.68351754706055</v>
      </c>
      <c r="DA479" s="399">
        <v>0</v>
      </c>
      <c r="DB479" s="399">
        <v>0</v>
      </c>
      <c r="DC479" s="399">
        <v>419.6942000839008</v>
      </c>
      <c r="DD479" s="399">
        <v>0</v>
      </c>
      <c r="DE479" s="399">
        <v>0</v>
      </c>
      <c r="DF479" s="399">
        <v>0</v>
      </c>
      <c r="DG479" s="399">
        <v>46.956580549657929</v>
      </c>
      <c r="DH479" s="399">
        <v>0</v>
      </c>
      <c r="DI479" s="399">
        <v>-677.93805392516697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-89.675756831688318</v>
      </c>
      <c r="DP479" s="399">
        <v>-12.618288621786704</v>
      </c>
      <c r="DQ479" s="399">
        <v>0</v>
      </c>
      <c r="DR479" s="399">
        <v>0</v>
      </c>
      <c r="DS479" s="399"/>
      <c r="DT479" s="399"/>
      <c r="DU479" s="399"/>
      <c r="DV479" s="399">
        <v>23853.507972096391</v>
      </c>
      <c r="DW479" s="399">
        <v>0</v>
      </c>
      <c r="DX479" s="399">
        <v>0</v>
      </c>
      <c r="DY479" s="399">
        <v>-1501.3225200000015</v>
      </c>
      <c r="DZ479" s="399">
        <v>419.70912000000135</v>
      </c>
      <c r="EA479" s="399">
        <v>0</v>
      </c>
      <c r="EB479" s="399">
        <v>0</v>
      </c>
      <c r="EC479" s="399">
        <v>-1074.2959369964665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225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478</v>
      </c>
      <c r="B480" s="399" t="s">
        <v>2360</v>
      </c>
      <c r="C480" s="399" t="s">
        <v>2357</v>
      </c>
      <c r="D480" s="399" t="s">
        <v>1826</v>
      </c>
      <c r="E480" s="399" t="s">
        <v>2370</v>
      </c>
      <c r="F480" s="399" t="s">
        <v>1240</v>
      </c>
      <c r="G480" s="399" t="s">
        <v>1240</v>
      </c>
      <c r="H480" s="399" t="s">
        <v>1240</v>
      </c>
      <c r="I480" s="399" t="s">
        <v>1240</v>
      </c>
      <c r="J480" s="399" t="s">
        <v>2358</v>
      </c>
      <c r="K480" s="789">
        <v>44713</v>
      </c>
      <c r="L480" s="399">
        <v>0</v>
      </c>
      <c r="M480" s="399">
        <v>0</v>
      </c>
      <c r="N480" s="399">
        <v>0.66300000000000003</v>
      </c>
      <c r="O480" s="399">
        <v>0.66300000000000003</v>
      </c>
      <c r="P480" s="399">
        <v>0.66300000000000003</v>
      </c>
      <c r="Q480" s="399">
        <v>0.66300000000000003</v>
      </c>
      <c r="R480" s="399"/>
      <c r="S480" s="399">
        <v>522.37</v>
      </c>
      <c r="T480" s="399">
        <v>144.41999999999999</v>
      </c>
      <c r="U480" s="399"/>
      <c r="V480" s="399">
        <v>442.08177000000001</v>
      </c>
      <c r="W480" s="399">
        <v>442.08177000000001</v>
      </c>
      <c r="X480" s="399">
        <v>432.10361999999998</v>
      </c>
      <c r="Y480" s="399">
        <v>0</v>
      </c>
      <c r="Z480" s="399">
        <v>40.708846713455522</v>
      </c>
      <c r="AA480" s="399">
        <v>0</v>
      </c>
      <c r="AB480" s="399">
        <v>0</v>
      </c>
      <c r="AC480" s="399">
        <v>0</v>
      </c>
      <c r="AD480" s="399">
        <v>67.601902244418909</v>
      </c>
      <c r="AE480" s="399">
        <v>220.05448580035497</v>
      </c>
      <c r="AF480" s="399">
        <v>95.751669067012216</v>
      </c>
      <c r="AG480" s="399">
        <v>0</v>
      </c>
      <c r="AH480" s="399">
        <v>0</v>
      </c>
      <c r="AI480" s="399">
        <v>0</v>
      </c>
      <c r="AJ480" s="399">
        <v>0</v>
      </c>
      <c r="AK480" s="399">
        <v>0</v>
      </c>
      <c r="AL480" s="399">
        <v>6.287066997921583</v>
      </c>
      <c r="AM480" s="399"/>
      <c r="AN480" s="399">
        <v>0.96456899110889194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10.712969015085321</v>
      </c>
      <c r="BH480" s="399">
        <v>0</v>
      </c>
      <c r="BI480" s="399">
        <v>0.39</v>
      </c>
      <c r="BJ480" s="399">
        <v>1.81</v>
      </c>
      <c r="BK480" s="399">
        <v>363.39</v>
      </c>
      <c r="BL480" s="399">
        <v>2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106.46463808209754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430.14840000000004</v>
      </c>
      <c r="CJ480" s="399">
        <v>-11.963369999999941</v>
      </c>
      <c r="CK480" s="399"/>
      <c r="CL480" s="399"/>
      <c r="CM480" s="399"/>
      <c r="CN480" s="399"/>
      <c r="CO480" s="399">
        <v>-13.850069999999992</v>
      </c>
      <c r="CP480" s="399">
        <v>3.8719200000000025</v>
      </c>
      <c r="CQ480" s="399">
        <v>30</v>
      </c>
      <c r="CR480" s="399">
        <v>-6.3633914875794062E-2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2.8292309808774547</v>
      </c>
      <c r="DA480" s="399">
        <v>0</v>
      </c>
      <c r="DB480" s="399">
        <v>0</v>
      </c>
      <c r="DC480" s="399">
        <v>3.8717823600994308</v>
      </c>
      <c r="DD480" s="399">
        <v>0</v>
      </c>
      <c r="DE480" s="399">
        <v>0</v>
      </c>
      <c r="DF480" s="399">
        <v>0</v>
      </c>
      <c r="DG480" s="399">
        <v>0.43318602026525355</v>
      </c>
      <c r="DH480" s="399">
        <v>0</v>
      </c>
      <c r="DI480" s="399">
        <v>-6.2541455133353665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-0.82728094255314399</v>
      </c>
      <c r="DP480" s="399">
        <v>-0.11640682022937321</v>
      </c>
      <c r="DQ480" s="399">
        <v>0</v>
      </c>
      <c r="DR480" s="399">
        <v>0</v>
      </c>
      <c r="DS480" s="399"/>
      <c r="DT480" s="399"/>
      <c r="DU480" s="399"/>
      <c r="DV480" s="399">
        <v>220.05448580035497</v>
      </c>
      <c r="DW480" s="399">
        <v>0</v>
      </c>
      <c r="DX480" s="399">
        <v>0</v>
      </c>
      <c r="DY480" s="399">
        <v>-13.850070000000017</v>
      </c>
      <c r="DZ480" s="399">
        <v>3.8719200000000029</v>
      </c>
      <c r="EA480" s="399">
        <v>0</v>
      </c>
      <c r="EB480" s="399">
        <v>0</v>
      </c>
      <c r="EC480" s="399">
        <v>-9.9106446016121197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225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479</v>
      </c>
      <c r="B481" s="399" t="s">
        <v>957</v>
      </c>
      <c r="C481" s="399" t="s">
        <v>2366</v>
      </c>
      <c r="D481" s="399" t="s">
        <v>534</v>
      </c>
      <c r="E481" s="399" t="s">
        <v>2370</v>
      </c>
      <c r="F481" s="399" t="s">
        <v>1240</v>
      </c>
      <c r="G481" s="399" t="s">
        <v>1240</v>
      </c>
      <c r="H481" s="399" t="s">
        <v>1240</v>
      </c>
      <c r="I481" s="399" t="s">
        <v>894</v>
      </c>
      <c r="J481" s="399" t="s">
        <v>2358</v>
      </c>
      <c r="K481" s="789">
        <v>44713</v>
      </c>
      <c r="L481" s="399">
        <v>0</v>
      </c>
      <c r="M481" s="399">
        <v>0</v>
      </c>
      <c r="N481" s="399">
        <v>9.0999999999999998E-2</v>
      </c>
      <c r="O481" s="399">
        <v>9.0999999999999998E-2</v>
      </c>
      <c r="P481" s="399">
        <v>9.0999999999999998E-2</v>
      </c>
      <c r="Q481" s="399">
        <v>9.0999999999999998E-2</v>
      </c>
      <c r="R481" s="399"/>
      <c r="S481" s="399">
        <v>2740.31</v>
      </c>
      <c r="T481" s="399">
        <v>144.41999999999999</v>
      </c>
      <c r="U481" s="399"/>
      <c r="V481" s="399">
        <v>262.51042999999999</v>
      </c>
      <c r="W481" s="399">
        <v>262.51042999999999</v>
      </c>
      <c r="X481" s="399">
        <v>257.20421999999996</v>
      </c>
      <c r="Y481" s="399">
        <v>0</v>
      </c>
      <c r="Z481" s="399">
        <v>4.8611152251949834</v>
      </c>
      <c r="AA481" s="399">
        <v>0</v>
      </c>
      <c r="AB481" s="399">
        <v>0</v>
      </c>
      <c r="AC481" s="399">
        <v>0</v>
      </c>
      <c r="AD481" s="399">
        <v>68.492316005509394</v>
      </c>
      <c r="AE481" s="399">
        <v>174.53868850559869</v>
      </c>
      <c r="AF481" s="399">
        <v>13.142385950374225</v>
      </c>
      <c r="AG481" s="399">
        <v>0</v>
      </c>
      <c r="AH481" s="399">
        <v>0</v>
      </c>
      <c r="AI481" s="399">
        <v>0</v>
      </c>
      <c r="AJ481" s="399">
        <v>0</v>
      </c>
      <c r="AK481" s="399">
        <v>0</v>
      </c>
      <c r="AL481" s="399">
        <v>0.86293076442060934</v>
      </c>
      <c r="AM481" s="399"/>
      <c r="AN481" s="399">
        <v>4.5289353513962918E-2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0.56771281797529116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13.710098768349516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254.37779999999998</v>
      </c>
      <c r="CJ481" s="399">
        <v>-8.1626299999999787</v>
      </c>
      <c r="CK481" s="399"/>
      <c r="CL481" s="399"/>
      <c r="CM481" s="399"/>
      <c r="CN481" s="399"/>
      <c r="CO481" s="399">
        <v>-5.837650000000008</v>
      </c>
      <c r="CP481" s="399">
        <v>0.53144000000000025</v>
      </c>
      <c r="CQ481" s="399">
        <v>30</v>
      </c>
      <c r="CR481" s="399">
        <v>2.5550403935206845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2.8664960002779907</v>
      </c>
      <c r="DA481" s="399">
        <v>0</v>
      </c>
      <c r="DB481" s="399">
        <v>0</v>
      </c>
      <c r="DC481" s="399">
        <v>0.53142110824894218</v>
      </c>
      <c r="DD481" s="399">
        <v>0</v>
      </c>
      <c r="DE481" s="399">
        <v>0</v>
      </c>
      <c r="DF481" s="399">
        <v>0</v>
      </c>
      <c r="DG481" s="399">
        <v>2.2955845006737419E-2</v>
      </c>
      <c r="DH481" s="399">
        <v>0</v>
      </c>
      <c r="DI481" s="399">
        <v>-0.74681855247474971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-0.11354836466415696</v>
      </c>
      <c r="DP481" s="399">
        <v>-5.4656428740713775E-3</v>
      </c>
      <c r="DQ481" s="399">
        <v>0</v>
      </c>
      <c r="DR481" s="399">
        <v>0</v>
      </c>
      <c r="DS481" s="399"/>
      <c r="DT481" s="399"/>
      <c r="DU481" s="399"/>
      <c r="DV481" s="399">
        <v>174.53868850559869</v>
      </c>
      <c r="DW481" s="399">
        <v>0</v>
      </c>
      <c r="DX481" s="399">
        <v>0</v>
      </c>
      <c r="DY481" s="399">
        <v>-5.8376499999999965</v>
      </c>
      <c r="DZ481" s="399">
        <v>0.53143999999999991</v>
      </c>
      <c r="EA481" s="399">
        <v>0</v>
      </c>
      <c r="EB481" s="399">
        <v>0</v>
      </c>
      <c r="EC481" s="399">
        <v>-7.8607391470307846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0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225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480</v>
      </c>
      <c r="B482" s="399" t="s">
        <v>957</v>
      </c>
      <c r="C482" s="399" t="s">
        <v>2366</v>
      </c>
      <c r="D482" s="399" t="s">
        <v>534</v>
      </c>
      <c r="E482" s="399" t="s">
        <v>2370</v>
      </c>
      <c r="F482" s="399" t="s">
        <v>1240</v>
      </c>
      <c r="G482" s="399" t="s">
        <v>1240</v>
      </c>
      <c r="H482" s="399" t="s">
        <v>1240</v>
      </c>
      <c r="I482" s="399" t="s">
        <v>2328</v>
      </c>
      <c r="J482" s="399" t="s">
        <v>2358</v>
      </c>
      <c r="K482" s="789">
        <v>44713</v>
      </c>
      <c r="L482" s="399">
        <v>0</v>
      </c>
      <c r="M482" s="399">
        <v>0</v>
      </c>
      <c r="N482" s="399">
        <v>1.6539999999999999</v>
      </c>
      <c r="O482" s="399">
        <v>1.6539999999999999</v>
      </c>
      <c r="P482" s="399">
        <v>1.6539999999999999</v>
      </c>
      <c r="Q482" s="399">
        <v>1.6539999999999999</v>
      </c>
      <c r="R482" s="399"/>
      <c r="S482" s="399">
        <v>69.64</v>
      </c>
      <c r="T482" s="399">
        <v>144.41999999999999</v>
      </c>
      <c r="U482" s="399"/>
      <c r="V482" s="399">
        <v>354.05523999999997</v>
      </c>
      <c r="W482" s="399">
        <v>354.05523999999997</v>
      </c>
      <c r="X482" s="399">
        <v>348.39855999999997</v>
      </c>
      <c r="Y482" s="399">
        <v>0</v>
      </c>
      <c r="Z482" s="399">
        <v>88.354775631565957</v>
      </c>
      <c r="AA482" s="399">
        <v>0</v>
      </c>
      <c r="AB482" s="399">
        <v>0</v>
      </c>
      <c r="AC482" s="399">
        <v>0</v>
      </c>
      <c r="AD482" s="399">
        <v>0</v>
      </c>
      <c r="AE482" s="399">
        <v>0</v>
      </c>
      <c r="AF482" s="399">
        <v>238.87369628482381</v>
      </c>
      <c r="AG482" s="399">
        <v>0</v>
      </c>
      <c r="AH482" s="399">
        <v>0</v>
      </c>
      <c r="AI482" s="399">
        <v>0</v>
      </c>
      <c r="AJ482" s="399">
        <v>0</v>
      </c>
      <c r="AK482" s="399">
        <v>0</v>
      </c>
      <c r="AL482" s="399">
        <v>15.684477850018547</v>
      </c>
      <c r="AM482" s="399"/>
      <c r="AN482" s="399">
        <v>0.8231713265065348</v>
      </c>
      <c r="AO482" s="399">
        <v>0</v>
      </c>
      <c r="AP482" s="399">
        <v>0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10.318648361880566</v>
      </c>
      <c r="BH482" s="399">
        <v>0</v>
      </c>
      <c r="BI482" s="399">
        <v>0</v>
      </c>
      <c r="BJ482" s="399">
        <v>0</v>
      </c>
      <c r="BK482" s="399">
        <v>0</v>
      </c>
      <c r="BL482" s="399">
        <v>0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249.19234464670438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347.55599999999998</v>
      </c>
      <c r="CJ482" s="399">
        <v>-6.5292399999999589</v>
      </c>
      <c r="CK482" s="399"/>
      <c r="CL482" s="399"/>
      <c r="CM482" s="399"/>
      <c r="CN482" s="399"/>
      <c r="CO482" s="399">
        <v>-15.316039999999996</v>
      </c>
      <c r="CP482" s="399">
        <v>9.6593600000000048</v>
      </c>
      <c r="CQ482" s="399">
        <v>30</v>
      </c>
      <c r="CR482" s="399">
        <v>-5.6609623469952339</v>
      </c>
      <c r="CS482" s="399">
        <v>0</v>
      </c>
      <c r="CT482" s="399">
        <v>0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0</v>
      </c>
      <c r="DA482" s="399">
        <v>0</v>
      </c>
      <c r="DB482" s="399">
        <v>0</v>
      </c>
      <c r="DC482" s="399">
        <v>9.6590166268543953</v>
      </c>
      <c r="DD482" s="399">
        <v>0</v>
      </c>
      <c r="DE482" s="399">
        <v>0</v>
      </c>
      <c r="DF482" s="399">
        <v>0</v>
      </c>
      <c r="DG482" s="399">
        <v>0.41724140264993004</v>
      </c>
      <c r="DH482" s="399">
        <v>0</v>
      </c>
      <c r="DI482" s="399">
        <v>-13.574042701024567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-2.0638351115880837</v>
      </c>
      <c r="DP482" s="399">
        <v>-9.9342563886967716E-2</v>
      </c>
      <c r="DQ482" s="399">
        <v>0</v>
      </c>
      <c r="DR482" s="399">
        <v>0</v>
      </c>
      <c r="DS482" s="399"/>
      <c r="DT482" s="399"/>
      <c r="DU482" s="399"/>
      <c r="DV482" s="399">
        <v>0</v>
      </c>
      <c r="DW482" s="399">
        <v>0</v>
      </c>
      <c r="DX482" s="399">
        <v>0</v>
      </c>
      <c r="DY482" s="399">
        <v>-15.316039999999987</v>
      </c>
      <c r="DZ482" s="399">
        <v>9.6593600000000208</v>
      </c>
      <c r="EA482" s="399">
        <v>0</v>
      </c>
      <c r="EB482" s="399">
        <v>0</v>
      </c>
      <c r="EC482" s="399">
        <v>0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0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225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481</v>
      </c>
      <c r="B483" s="399" t="s">
        <v>957</v>
      </c>
      <c r="C483" s="399" t="s">
        <v>2366</v>
      </c>
      <c r="D483" s="399" t="s">
        <v>534</v>
      </c>
      <c r="E483" s="399" t="s">
        <v>2370</v>
      </c>
      <c r="F483" s="399" t="s">
        <v>1240</v>
      </c>
      <c r="G483" s="399" t="s">
        <v>1240</v>
      </c>
      <c r="H483" s="399" t="s">
        <v>1240</v>
      </c>
      <c r="I483" s="399" t="s">
        <v>1240</v>
      </c>
      <c r="J483" s="399" t="s">
        <v>2358</v>
      </c>
      <c r="K483" s="789">
        <v>44713</v>
      </c>
      <c r="L483" s="399">
        <v>75</v>
      </c>
      <c r="M483" s="399">
        <v>75</v>
      </c>
      <c r="N483" s="399">
        <v>0</v>
      </c>
      <c r="O483" s="399">
        <v>0</v>
      </c>
      <c r="P483" s="399">
        <v>0</v>
      </c>
      <c r="Q483" s="399">
        <v>0</v>
      </c>
      <c r="R483" s="399">
        <v>34.950000000000003</v>
      </c>
      <c r="S483" s="399"/>
      <c r="T483" s="399"/>
      <c r="U483" s="399">
        <v>2621.25</v>
      </c>
      <c r="V483" s="399"/>
      <c r="W483" s="399">
        <v>2621.25</v>
      </c>
      <c r="X483" s="399">
        <v>2585.9999999999995</v>
      </c>
      <c r="Y483" s="399">
        <v>0</v>
      </c>
      <c r="Z483" s="399">
        <v>0</v>
      </c>
      <c r="AA483" s="399">
        <v>0</v>
      </c>
      <c r="AB483" s="399">
        <v>0</v>
      </c>
      <c r="AC483" s="399">
        <v>0</v>
      </c>
      <c r="AD483" s="399">
        <v>950.23346335777501</v>
      </c>
      <c r="AE483" s="399">
        <v>1671.3605994444974</v>
      </c>
      <c r="AF483" s="399"/>
      <c r="AG483" s="399"/>
      <c r="AH483" s="399"/>
      <c r="AI483" s="399">
        <v>0</v>
      </c>
      <c r="AJ483" s="399">
        <v>0</v>
      </c>
      <c r="AK483" s="399">
        <v>0</v>
      </c>
      <c r="AL483" s="399">
        <v>0</v>
      </c>
      <c r="AM483" s="399"/>
      <c r="AN483" s="399">
        <v>0</v>
      </c>
      <c r="AO483" s="399">
        <v>0</v>
      </c>
      <c r="AP483" s="399">
        <v>0</v>
      </c>
      <c r="AQ483" s="399">
        <v>0</v>
      </c>
      <c r="AR483" s="399">
        <v>0</v>
      </c>
      <c r="AS483" s="399"/>
      <c r="AT483" s="399"/>
      <c r="AU483" s="399">
        <v>0</v>
      </c>
      <c r="AV483" s="399">
        <v>0</v>
      </c>
      <c r="AW483" s="399">
        <v>0</v>
      </c>
      <c r="AX483" s="399"/>
      <c r="AY483" s="399"/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/>
      <c r="BG483" s="399">
        <v>0</v>
      </c>
      <c r="BH483" s="399">
        <v>0</v>
      </c>
      <c r="BI483" s="399">
        <v>20.010000000000002</v>
      </c>
      <c r="BJ483" s="399">
        <v>92.37</v>
      </c>
      <c r="BK483" s="399">
        <v>339.47</v>
      </c>
      <c r="BL483" s="399">
        <v>1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0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2585.9999999999995</v>
      </c>
      <c r="CJ483" s="399">
        <v>-35.28000000000111</v>
      </c>
      <c r="CK483" s="399"/>
      <c r="CL483" s="399"/>
      <c r="CM483" s="399"/>
      <c r="CN483" s="399"/>
      <c r="CO483" s="399">
        <v>-35.250000000000448</v>
      </c>
      <c r="CP483" s="399">
        <v>0</v>
      </c>
      <c r="CQ483" s="399">
        <v>30</v>
      </c>
      <c r="CR483" s="399">
        <v>39.768554794177476</v>
      </c>
      <c r="CS483" s="399">
        <v>0</v>
      </c>
      <c r="CT483" s="399">
        <v>0</v>
      </c>
      <c r="CU483" s="399">
        <v>0</v>
      </c>
      <c r="CV483" s="399">
        <v>0</v>
      </c>
      <c r="CW483" s="399"/>
      <c r="CX483" s="399"/>
      <c r="CY483" s="399"/>
      <c r="CZ483" s="399">
        <v>39.768554794177476</v>
      </c>
      <c r="DA483" s="399">
        <v>0</v>
      </c>
      <c r="DB483" s="399">
        <v>0</v>
      </c>
      <c r="DC483" s="399"/>
      <c r="DD483" s="399"/>
      <c r="DE483" s="399">
        <v>0</v>
      </c>
      <c r="DF483" s="399">
        <v>0</v>
      </c>
      <c r="DG483" s="399">
        <v>0</v>
      </c>
      <c r="DH483" s="399">
        <v>0</v>
      </c>
      <c r="DI483" s="399">
        <v>0</v>
      </c>
      <c r="DJ483" s="399"/>
      <c r="DK483" s="399">
        <v>0</v>
      </c>
      <c r="DL483" s="399">
        <v>0</v>
      </c>
      <c r="DM483" s="399"/>
      <c r="DN483" s="399">
        <v>0</v>
      </c>
      <c r="DO483" s="399">
        <v>0</v>
      </c>
      <c r="DP483" s="399">
        <v>0</v>
      </c>
      <c r="DQ483" s="399">
        <v>0</v>
      </c>
      <c r="DR483" s="399">
        <v>0</v>
      </c>
      <c r="DS483" s="399"/>
      <c r="DT483" s="399"/>
      <c r="DU483" s="399">
        <v>1671.3605994444974</v>
      </c>
      <c r="DV483" s="399"/>
      <c r="DW483" s="399">
        <v>0</v>
      </c>
      <c r="DX483" s="399">
        <v>0</v>
      </c>
      <c r="DY483" s="399">
        <v>-35.250000000000455</v>
      </c>
      <c r="DZ483" s="399"/>
      <c r="EA483" s="399">
        <v>0</v>
      </c>
      <c r="EB483" s="399"/>
      <c r="EC483" s="399">
        <v>-75.273452581462379</v>
      </c>
      <c r="ED483" s="399"/>
      <c r="EE483" s="399">
        <v>0</v>
      </c>
      <c r="EF483" s="399">
        <v>0</v>
      </c>
      <c r="EG483" s="399"/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/>
      <c r="EN483" s="399"/>
      <c r="EO483" s="399">
        <v>0</v>
      </c>
      <c r="EP483" s="399">
        <v>0</v>
      </c>
      <c r="EQ483" s="399"/>
      <c r="ER483" s="399">
        <v>0</v>
      </c>
      <c r="ES483" s="399"/>
      <c r="ET483" s="399">
        <v>0</v>
      </c>
      <c r="EU483" s="399"/>
      <c r="EV483" s="399">
        <v>225</v>
      </c>
      <c r="EW483" s="399"/>
      <c r="EX483" s="399"/>
      <c r="EY483" s="399"/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482</v>
      </c>
      <c r="B484" s="399" t="s">
        <v>957</v>
      </c>
      <c r="C484" s="399" t="s">
        <v>2357</v>
      </c>
      <c r="D484" s="399" t="s">
        <v>2371</v>
      </c>
      <c r="E484" s="399" t="s">
        <v>2372</v>
      </c>
      <c r="F484" s="399" t="s">
        <v>2373</v>
      </c>
      <c r="G484" s="399" t="s">
        <v>1240</v>
      </c>
      <c r="H484" s="399" t="s">
        <v>1240</v>
      </c>
      <c r="I484" s="399" t="s">
        <v>1240</v>
      </c>
      <c r="J484" s="399" t="s">
        <v>2358</v>
      </c>
      <c r="K484" s="789">
        <v>44713</v>
      </c>
      <c r="L484" s="399">
        <v>0</v>
      </c>
      <c r="M484" s="399">
        <v>0</v>
      </c>
      <c r="N484" s="399">
        <v>492.63400000000001</v>
      </c>
      <c r="O484" s="399">
        <v>492.63400000000001</v>
      </c>
      <c r="P484" s="399">
        <v>492.63400000000001</v>
      </c>
      <c r="Q484" s="399">
        <v>492.63400000000001</v>
      </c>
      <c r="R484" s="399"/>
      <c r="S484" s="399">
        <v>287.3</v>
      </c>
      <c r="T484" s="399">
        <v>79.430000000000007</v>
      </c>
      <c r="U484" s="399"/>
      <c r="V484" s="399">
        <v>180663.66682000001</v>
      </c>
      <c r="W484" s="399">
        <v>180663.66682000001</v>
      </c>
      <c r="X484" s="399">
        <v>176589.58364</v>
      </c>
      <c r="Y484" s="399">
        <v>0</v>
      </c>
      <c r="Z484" s="399">
        <v>16636.514472865827</v>
      </c>
      <c r="AA484" s="399">
        <v>0</v>
      </c>
      <c r="AB484" s="399">
        <v>0</v>
      </c>
      <c r="AC484" s="399">
        <v>0</v>
      </c>
      <c r="AD484" s="399">
        <v>27626.919352416873</v>
      </c>
      <c r="AE484" s="399">
        <v>89929.829346568018</v>
      </c>
      <c r="AF484" s="399">
        <v>39130.905364309561</v>
      </c>
      <c r="AG484" s="399">
        <v>0</v>
      </c>
      <c r="AH484" s="399">
        <v>0</v>
      </c>
      <c r="AI484" s="399">
        <v>0</v>
      </c>
      <c r="AJ484" s="399">
        <v>0</v>
      </c>
      <c r="AK484" s="399">
        <v>0</v>
      </c>
      <c r="AL484" s="399">
        <v>2569.3403165908826</v>
      </c>
      <c r="AM484" s="399"/>
      <c r="AN484" s="399">
        <v>394.19112247551527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4378.0769649738359</v>
      </c>
      <c r="BH484" s="399">
        <v>0</v>
      </c>
      <c r="BI484" s="399">
        <v>1101.79</v>
      </c>
      <c r="BJ484" s="399">
        <v>5085.29</v>
      </c>
      <c r="BK484" s="399">
        <v>56503.31</v>
      </c>
      <c r="BL484" s="399">
        <v>6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43508.982329283397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176588.14980000001</v>
      </c>
      <c r="CJ484" s="399">
        <v>-4075.5470200000273</v>
      </c>
      <c r="CK484" s="399"/>
      <c r="CL484" s="399"/>
      <c r="CM484" s="399"/>
      <c r="CN484" s="399"/>
      <c r="CO484" s="399">
        <v>-5655.4383200000093</v>
      </c>
      <c r="CP484" s="399">
        <v>1581.3551399999969</v>
      </c>
      <c r="CQ484" s="399">
        <v>30</v>
      </c>
      <c r="CR484" s="399">
        <v>-26.005319022180629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1156.2239159402525</v>
      </c>
      <c r="DA484" s="399">
        <v>0</v>
      </c>
      <c r="DB484" s="399">
        <v>0</v>
      </c>
      <c r="DC484" s="399">
        <v>1582.2841585999049</v>
      </c>
      <c r="DD484" s="399">
        <v>0</v>
      </c>
      <c r="DE484" s="399">
        <v>0</v>
      </c>
      <c r="DF484" s="399">
        <v>0</v>
      </c>
      <c r="DG484" s="399">
        <v>177.03045105436468</v>
      </c>
      <c r="DH484" s="399">
        <v>0</v>
      </c>
      <c r="DI484" s="399">
        <v>-2555.8862691539034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-338.08551420746153</v>
      </c>
      <c r="DP484" s="399">
        <v>-47.572061255329345</v>
      </c>
      <c r="DQ484" s="399">
        <v>0</v>
      </c>
      <c r="DR484" s="399">
        <v>0</v>
      </c>
      <c r="DS484" s="399"/>
      <c r="DT484" s="399"/>
      <c r="DU484" s="399"/>
      <c r="DV484" s="399">
        <v>89929.829346568018</v>
      </c>
      <c r="DW484" s="399">
        <v>0</v>
      </c>
      <c r="DX484" s="399">
        <v>0</v>
      </c>
      <c r="DY484" s="399">
        <v>-5655.4383200000157</v>
      </c>
      <c r="DZ484" s="399">
        <v>1581.3551399999997</v>
      </c>
      <c r="EA484" s="399">
        <v>0</v>
      </c>
      <c r="EB484" s="399">
        <v>0</v>
      </c>
      <c r="EC484" s="399">
        <v>-4050.1904539498355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0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225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483</v>
      </c>
      <c r="B485" s="399" t="s">
        <v>957</v>
      </c>
      <c r="C485" s="399" t="s">
        <v>2357</v>
      </c>
      <c r="D485" s="399" t="s">
        <v>1826</v>
      </c>
      <c r="E485" s="399" t="s">
        <v>922</v>
      </c>
      <c r="F485" s="399" t="s">
        <v>2374</v>
      </c>
      <c r="G485" s="399" t="s">
        <v>1240</v>
      </c>
      <c r="H485" s="399" t="s">
        <v>1240</v>
      </c>
      <c r="I485" s="399" t="s">
        <v>1240</v>
      </c>
      <c r="J485" s="399" t="s">
        <v>2358</v>
      </c>
      <c r="K485" s="789">
        <v>44713</v>
      </c>
      <c r="L485" s="399">
        <v>0</v>
      </c>
      <c r="M485" s="399">
        <v>0</v>
      </c>
      <c r="N485" s="399">
        <v>21.469000000000001</v>
      </c>
      <c r="O485" s="399">
        <v>20.180859999999999</v>
      </c>
      <c r="P485" s="399">
        <v>21.469000000000001</v>
      </c>
      <c r="Q485" s="399">
        <v>20.180859999999999</v>
      </c>
      <c r="R485" s="399"/>
      <c r="S485" s="399">
        <v>522.37</v>
      </c>
      <c r="T485" s="399">
        <v>144.41999999999999</v>
      </c>
      <c r="U485" s="399"/>
      <c r="V485" s="399">
        <v>14315.314510000002</v>
      </c>
      <c r="W485" s="399">
        <v>14315.314510000002</v>
      </c>
      <c r="X485" s="399">
        <v>13992.206060000002</v>
      </c>
      <c r="Y485" s="399">
        <v>0</v>
      </c>
      <c r="Z485" s="399">
        <v>1318.217541615651</v>
      </c>
      <c r="AA485" s="399">
        <v>0</v>
      </c>
      <c r="AB485" s="399">
        <v>0</v>
      </c>
      <c r="AC485" s="399">
        <v>0</v>
      </c>
      <c r="AD485" s="399">
        <v>2189.0576761469524</v>
      </c>
      <c r="AE485" s="399">
        <v>7125.7160718669993</v>
      </c>
      <c r="AF485" s="399">
        <v>3100.5921315229039</v>
      </c>
      <c r="AG485" s="399">
        <v>0</v>
      </c>
      <c r="AH485" s="399">
        <v>0</v>
      </c>
      <c r="AI485" s="399">
        <v>0</v>
      </c>
      <c r="AJ485" s="399">
        <v>0</v>
      </c>
      <c r="AK485" s="399">
        <v>0</v>
      </c>
      <c r="AL485" s="399">
        <v>203.58528111369301</v>
      </c>
      <c r="AM485" s="399"/>
      <c r="AN485" s="399">
        <v>31.234286078607543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346.9030645322274</v>
      </c>
      <c r="BH485" s="399">
        <v>0</v>
      </c>
      <c r="BI485" s="399">
        <v>79.09</v>
      </c>
      <c r="BJ485" s="399">
        <v>365.59</v>
      </c>
      <c r="BK485" s="399">
        <v>4321.2299999999996</v>
      </c>
      <c r="BL485" s="399">
        <v>35</v>
      </c>
      <c r="BM485" s="399"/>
      <c r="BN485" s="399"/>
      <c r="BO485" s="399"/>
      <c r="BP485" s="399"/>
      <c r="BQ485" s="399">
        <v>839.53236360000142</v>
      </c>
      <c r="BR485" s="399"/>
      <c r="BS485" s="399"/>
      <c r="BT485" s="399"/>
      <c r="BU485" s="399"/>
      <c r="BV485" s="399">
        <v>3447.4951960551311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13152.1132</v>
      </c>
      <c r="CJ485" s="399">
        <v>-304.31243940000059</v>
      </c>
      <c r="CK485" s="399"/>
      <c r="CL485" s="399"/>
      <c r="CM485" s="399"/>
      <c r="CN485" s="399"/>
      <c r="CO485" s="399">
        <v>-448.48740999999973</v>
      </c>
      <c r="CP485" s="399">
        <v>125.37896000000008</v>
      </c>
      <c r="CQ485" s="399">
        <v>30</v>
      </c>
      <c r="CR485" s="399">
        <v>-2.0605679011569009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91.61502251652837</v>
      </c>
      <c r="DA485" s="399">
        <v>0</v>
      </c>
      <c r="DB485" s="399">
        <v>0</v>
      </c>
      <c r="DC485" s="399">
        <v>125.37450299996181</v>
      </c>
      <c r="DD485" s="399">
        <v>0</v>
      </c>
      <c r="DE485" s="399">
        <v>0</v>
      </c>
      <c r="DF485" s="399">
        <v>0</v>
      </c>
      <c r="DG485" s="399">
        <v>14.027255911123234</v>
      </c>
      <c r="DH485" s="399">
        <v>0</v>
      </c>
      <c r="DI485" s="399">
        <v>-202.51923080814026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-26.788679571151505</v>
      </c>
      <c r="DP485" s="399">
        <v>-3.7694389494787544</v>
      </c>
      <c r="DQ485" s="399">
        <v>0</v>
      </c>
      <c r="DR485" s="399">
        <v>0</v>
      </c>
      <c r="DS485" s="399"/>
      <c r="DT485" s="399"/>
      <c r="DU485" s="399"/>
      <c r="DV485" s="399">
        <v>7125.7160718669993</v>
      </c>
      <c r="DW485" s="399">
        <v>0</v>
      </c>
      <c r="DX485" s="399">
        <v>0</v>
      </c>
      <c r="DY485" s="399">
        <v>-448.48740999999973</v>
      </c>
      <c r="DZ485" s="399">
        <v>125.37896000000001</v>
      </c>
      <c r="EA485" s="399">
        <v>0</v>
      </c>
      <c r="EB485" s="399">
        <v>0</v>
      </c>
      <c r="EC485" s="399">
        <v>-320.92251727301664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0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225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484</v>
      </c>
      <c r="B486" s="399" t="s">
        <v>957</v>
      </c>
      <c r="C486" s="399" t="s">
        <v>2366</v>
      </c>
      <c r="D486" s="399" t="s">
        <v>534</v>
      </c>
      <c r="E486" s="399" t="s">
        <v>922</v>
      </c>
      <c r="F486" s="399" t="s">
        <v>2374</v>
      </c>
      <c r="G486" s="399" t="s">
        <v>1240</v>
      </c>
      <c r="H486" s="399" t="s">
        <v>1240</v>
      </c>
      <c r="I486" s="399" t="s">
        <v>894</v>
      </c>
      <c r="J486" s="399" t="s">
        <v>2358</v>
      </c>
      <c r="K486" s="789">
        <v>44713</v>
      </c>
      <c r="L486" s="399">
        <v>0</v>
      </c>
      <c r="M486" s="399">
        <v>0</v>
      </c>
      <c r="N486" s="399">
        <v>0.69699999999999995</v>
      </c>
      <c r="O486" s="399">
        <v>0.65517999999999998</v>
      </c>
      <c r="P486" s="399">
        <v>0.69699999999999995</v>
      </c>
      <c r="Q486" s="399">
        <v>0.65517999999999998</v>
      </c>
      <c r="R486" s="399"/>
      <c r="S486" s="399">
        <v>2740.31</v>
      </c>
      <c r="T486" s="399">
        <v>144.41999999999999</v>
      </c>
      <c r="U486" s="399"/>
      <c r="V486" s="399">
        <v>2010.65681</v>
      </c>
      <c r="W486" s="399">
        <v>2010.65681</v>
      </c>
      <c r="X486" s="399">
        <v>1970.0147399999996</v>
      </c>
      <c r="Y486" s="399">
        <v>0</v>
      </c>
      <c r="Z486" s="399">
        <v>37.232937494075863</v>
      </c>
      <c r="AA486" s="399">
        <v>0</v>
      </c>
      <c r="AB486" s="399">
        <v>0</v>
      </c>
      <c r="AC486" s="399">
        <v>0</v>
      </c>
      <c r="AD486" s="399">
        <v>524.6059808334071</v>
      </c>
      <c r="AE486" s="399">
        <v>1336.8512734989263</v>
      </c>
      <c r="AF486" s="399">
        <v>100.66201107044873</v>
      </c>
      <c r="AG486" s="399">
        <v>0</v>
      </c>
      <c r="AH486" s="399">
        <v>0</v>
      </c>
      <c r="AI486" s="399">
        <v>0</v>
      </c>
      <c r="AJ486" s="399">
        <v>0</v>
      </c>
      <c r="AK486" s="399">
        <v>0</v>
      </c>
      <c r="AL486" s="399">
        <v>6.6094806901226892</v>
      </c>
      <c r="AM486" s="399"/>
      <c r="AN486" s="399">
        <v>0.34688658680474893</v>
      </c>
      <c r="AO486" s="399">
        <v>0</v>
      </c>
      <c r="AP486" s="399">
        <v>0</v>
      </c>
      <c r="AQ486" s="399">
        <v>0</v>
      </c>
      <c r="AR486" s="399">
        <v>0</v>
      </c>
      <c r="AS486" s="399">
        <v>0</v>
      </c>
      <c r="AT486" s="399">
        <v>0</v>
      </c>
      <c r="AU486" s="399">
        <v>0</v>
      </c>
      <c r="AV486" s="399">
        <v>0</v>
      </c>
      <c r="AW486" s="399">
        <v>0</v>
      </c>
      <c r="AX486" s="399">
        <v>0</v>
      </c>
      <c r="AY486" s="399">
        <v>0</v>
      </c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>
        <v>0</v>
      </c>
      <c r="BG486" s="399">
        <v>4.3483058695470103</v>
      </c>
      <c r="BH486" s="399">
        <v>0</v>
      </c>
      <c r="BI486" s="399">
        <v>0</v>
      </c>
      <c r="BJ486" s="399">
        <v>0</v>
      </c>
      <c r="BK486" s="399">
        <v>0</v>
      </c>
      <c r="BL486" s="399">
        <v>0</v>
      </c>
      <c r="BM486" s="399"/>
      <c r="BN486" s="399"/>
      <c r="BO486" s="399"/>
      <c r="BP486" s="399"/>
      <c r="BQ486" s="399">
        <v>118.20088439999989</v>
      </c>
      <c r="BR486" s="399"/>
      <c r="BS486" s="399"/>
      <c r="BT486" s="399"/>
      <c r="BU486" s="399"/>
      <c r="BV486" s="399">
        <v>105.01031693999573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1865.4371999999998</v>
      </c>
      <c r="CJ486" s="399">
        <v>-24.610201400000051</v>
      </c>
      <c r="CK486" s="399"/>
      <c r="CL486" s="399"/>
      <c r="CM486" s="399"/>
      <c r="CN486" s="399"/>
      <c r="CO486" s="399">
        <v>-44.712550000000057</v>
      </c>
      <c r="CP486" s="399">
        <v>4.0704800000000025</v>
      </c>
      <c r="CQ486" s="399">
        <v>30</v>
      </c>
      <c r="CR486" s="399">
        <v>19.56992477235076</v>
      </c>
      <c r="CS486" s="399">
        <v>0</v>
      </c>
      <c r="CT486" s="399">
        <v>0</v>
      </c>
      <c r="CU486" s="399">
        <v>0</v>
      </c>
      <c r="CV486" s="399">
        <v>0</v>
      </c>
      <c r="CW486" s="399">
        <v>0</v>
      </c>
      <c r="CX486" s="399">
        <v>0</v>
      </c>
      <c r="CY486" s="399">
        <v>0</v>
      </c>
      <c r="CZ486" s="399">
        <v>21.9554693647666</v>
      </c>
      <c r="DA486" s="399">
        <v>0</v>
      </c>
      <c r="DB486" s="399">
        <v>0</v>
      </c>
      <c r="DC486" s="399">
        <v>4.0703353016429986</v>
      </c>
      <c r="DD486" s="399">
        <v>0</v>
      </c>
      <c r="DE486" s="399">
        <v>0</v>
      </c>
      <c r="DF486" s="399">
        <v>0</v>
      </c>
      <c r="DG486" s="399">
        <v>0.17582663702962531</v>
      </c>
      <c r="DH486" s="399">
        <v>0</v>
      </c>
      <c r="DI486" s="399">
        <v>-5.7201377041197858</v>
      </c>
      <c r="DJ486" s="399"/>
      <c r="DK486" s="399">
        <v>0</v>
      </c>
      <c r="DL486" s="399">
        <v>0</v>
      </c>
      <c r="DM486" s="399">
        <v>0</v>
      </c>
      <c r="DN486" s="399">
        <v>0</v>
      </c>
      <c r="DO486" s="399">
        <v>-0.86970560627381843</v>
      </c>
      <c r="DP486" s="399">
        <v>-4.186322069481041E-2</v>
      </c>
      <c r="DQ486" s="399">
        <v>0</v>
      </c>
      <c r="DR486" s="399">
        <v>0</v>
      </c>
      <c r="DS486" s="399"/>
      <c r="DT486" s="399"/>
      <c r="DU486" s="399"/>
      <c r="DV486" s="399">
        <v>1336.8512734989263</v>
      </c>
      <c r="DW486" s="399">
        <v>0</v>
      </c>
      <c r="DX486" s="399">
        <v>0</v>
      </c>
      <c r="DY486" s="399">
        <v>-44.712550000000192</v>
      </c>
      <c r="DZ486" s="399">
        <v>4.0704800000000034</v>
      </c>
      <c r="EA486" s="399">
        <v>0</v>
      </c>
      <c r="EB486" s="399">
        <v>0</v>
      </c>
      <c r="EC486" s="399">
        <v>-60.208078961323736</v>
      </c>
      <c r="ED486" s="399">
        <v>0</v>
      </c>
      <c r="EE486" s="399">
        <v>0</v>
      </c>
      <c r="EF486" s="399">
        <v>0</v>
      </c>
      <c r="EG486" s="399">
        <v>0</v>
      </c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>
        <v>0</v>
      </c>
      <c r="EN486" s="399">
        <v>0</v>
      </c>
      <c r="EO486" s="399">
        <v>0</v>
      </c>
      <c r="EP486" s="399">
        <v>0</v>
      </c>
      <c r="EQ486" s="399">
        <v>0</v>
      </c>
      <c r="ER486" s="399">
        <v>0</v>
      </c>
      <c r="ES486" s="399">
        <v>0</v>
      </c>
      <c r="ET486" s="399">
        <v>0</v>
      </c>
      <c r="EU486" s="399">
        <v>0</v>
      </c>
      <c r="EV486" s="399">
        <v>225</v>
      </c>
      <c r="EW486" s="399">
        <v>0</v>
      </c>
      <c r="EX486" s="399">
        <v>0</v>
      </c>
      <c r="EY486" s="399">
        <v>0</v>
      </c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485</v>
      </c>
      <c r="B487" s="399" t="s">
        <v>957</v>
      </c>
      <c r="C487" s="399" t="s">
        <v>2366</v>
      </c>
      <c r="D487" s="399" t="s">
        <v>534</v>
      </c>
      <c r="E487" s="399" t="s">
        <v>922</v>
      </c>
      <c r="F487" s="399" t="s">
        <v>2374</v>
      </c>
      <c r="G487" s="399" t="s">
        <v>1240</v>
      </c>
      <c r="H487" s="399" t="s">
        <v>1240</v>
      </c>
      <c r="I487" s="399" t="s">
        <v>2328</v>
      </c>
      <c r="J487" s="399" t="s">
        <v>2358</v>
      </c>
      <c r="K487" s="789">
        <v>44713</v>
      </c>
      <c r="L487" s="399">
        <v>0</v>
      </c>
      <c r="M487" s="399">
        <v>0</v>
      </c>
      <c r="N487" s="399">
        <v>5.3840000000000003</v>
      </c>
      <c r="O487" s="399">
        <v>5.0609599999999997</v>
      </c>
      <c r="P487" s="399">
        <v>5.3840000000000003</v>
      </c>
      <c r="Q487" s="399">
        <v>5.0609599999999997</v>
      </c>
      <c r="R487" s="399"/>
      <c r="S487" s="399">
        <v>69.64</v>
      </c>
      <c r="T487" s="399">
        <v>144.41999999999999</v>
      </c>
      <c r="U487" s="399"/>
      <c r="V487" s="399">
        <v>1152.4990400000002</v>
      </c>
      <c r="W487" s="399">
        <v>1152.4990400000002</v>
      </c>
      <c r="X487" s="399">
        <v>1134.0857599999999</v>
      </c>
      <c r="Y487" s="399">
        <v>0</v>
      </c>
      <c r="Z487" s="399">
        <v>287.60708101593178</v>
      </c>
      <c r="AA487" s="399">
        <v>0</v>
      </c>
      <c r="AB487" s="399">
        <v>0</v>
      </c>
      <c r="AC487" s="399">
        <v>0</v>
      </c>
      <c r="AD487" s="399">
        <v>0</v>
      </c>
      <c r="AE487" s="399">
        <v>0</v>
      </c>
      <c r="AF487" s="399">
        <v>777.56709842653663</v>
      </c>
      <c r="AG487" s="399">
        <v>0</v>
      </c>
      <c r="AH487" s="399">
        <v>0</v>
      </c>
      <c r="AI487" s="399">
        <v>0</v>
      </c>
      <c r="AJ487" s="399">
        <v>0</v>
      </c>
      <c r="AK487" s="399">
        <v>0</v>
      </c>
      <c r="AL487" s="399">
        <v>51.055156435610563</v>
      </c>
      <c r="AM487" s="399"/>
      <c r="AN487" s="399">
        <v>2.6795371353755648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33.58863529647217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>
        <v>68.045145600000126</v>
      </c>
      <c r="BR487" s="399"/>
      <c r="BS487" s="399"/>
      <c r="BT487" s="399"/>
      <c r="BU487" s="399"/>
      <c r="BV487" s="399">
        <v>811.15573372300878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1065.8383999999999</v>
      </c>
      <c r="CJ487" s="399">
        <v>-17.54069759999993</v>
      </c>
      <c r="CK487" s="399"/>
      <c r="CL487" s="399"/>
      <c r="CM487" s="399"/>
      <c r="CN487" s="399"/>
      <c r="CO487" s="399">
        <v>-49.855839999999993</v>
      </c>
      <c r="CP487" s="399">
        <v>31.442560000000022</v>
      </c>
      <c r="CQ487" s="399">
        <v>30</v>
      </c>
      <c r="CR487" s="399">
        <v>-18.427219634959329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0</v>
      </c>
      <c r="DA487" s="399">
        <v>0</v>
      </c>
      <c r="DB487" s="399">
        <v>0</v>
      </c>
      <c r="DC487" s="399">
        <v>31.441442272662698</v>
      </c>
      <c r="DD487" s="399">
        <v>0</v>
      </c>
      <c r="DE487" s="399">
        <v>0</v>
      </c>
      <c r="DF487" s="399">
        <v>0</v>
      </c>
      <c r="DG487" s="399">
        <v>1.3581787858931236</v>
      </c>
      <c r="DH487" s="399">
        <v>0</v>
      </c>
      <c r="DI487" s="399">
        <v>-44.185396555209337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-6.7180702785914477</v>
      </c>
      <c r="DP487" s="399">
        <v>-0.32337385971428922</v>
      </c>
      <c r="DQ487" s="399">
        <v>0</v>
      </c>
      <c r="DR487" s="399">
        <v>0</v>
      </c>
      <c r="DS487" s="399"/>
      <c r="DT487" s="399"/>
      <c r="DU487" s="399"/>
      <c r="DV487" s="399">
        <v>0</v>
      </c>
      <c r="DW487" s="399">
        <v>0</v>
      </c>
      <c r="DX487" s="399">
        <v>0</v>
      </c>
      <c r="DY487" s="399">
        <v>-49.855840000000001</v>
      </c>
      <c r="DZ487" s="399">
        <v>31.442559999999958</v>
      </c>
      <c r="EA487" s="399">
        <v>0</v>
      </c>
      <c r="EB487" s="399">
        <v>0</v>
      </c>
      <c r="EC487" s="399">
        <v>0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0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225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486</v>
      </c>
      <c r="B488" s="399" t="s">
        <v>957</v>
      </c>
      <c r="C488" s="399" t="s">
        <v>2366</v>
      </c>
      <c r="D488" s="399" t="s">
        <v>534</v>
      </c>
      <c r="E488" s="399" t="s">
        <v>922</v>
      </c>
      <c r="F488" s="399" t="s">
        <v>2374</v>
      </c>
      <c r="G488" s="399" t="s">
        <v>1240</v>
      </c>
      <c r="H488" s="399" t="s">
        <v>1240</v>
      </c>
      <c r="I488" s="399" t="s">
        <v>1240</v>
      </c>
      <c r="J488" s="399" t="s">
        <v>2358</v>
      </c>
      <c r="K488" s="789">
        <v>44713</v>
      </c>
      <c r="L488" s="399">
        <v>78</v>
      </c>
      <c r="M488" s="399">
        <v>73.319999999999993</v>
      </c>
      <c r="N488" s="399">
        <v>0</v>
      </c>
      <c r="O488" s="399">
        <v>0</v>
      </c>
      <c r="P488" s="399">
        <v>0</v>
      </c>
      <c r="Q488" s="399">
        <v>0</v>
      </c>
      <c r="R488" s="399">
        <v>34.950000000000003</v>
      </c>
      <c r="S488" s="399"/>
      <c r="T488" s="399"/>
      <c r="U488" s="399">
        <v>2726.1000000000004</v>
      </c>
      <c r="V488" s="399"/>
      <c r="W488" s="399">
        <v>2726.1000000000004</v>
      </c>
      <c r="X488" s="399">
        <v>2689.4399999999996</v>
      </c>
      <c r="Y488" s="399">
        <v>0</v>
      </c>
      <c r="Z488" s="399">
        <v>0</v>
      </c>
      <c r="AA488" s="399">
        <v>0</v>
      </c>
      <c r="AB488" s="399">
        <v>0</v>
      </c>
      <c r="AC488" s="399">
        <v>0</v>
      </c>
      <c r="AD488" s="399">
        <v>988.24280189208594</v>
      </c>
      <c r="AE488" s="399">
        <v>1738.2150234222775</v>
      </c>
      <c r="AF488" s="399"/>
      <c r="AG488" s="399"/>
      <c r="AH488" s="399"/>
      <c r="AI488" s="399">
        <v>0</v>
      </c>
      <c r="AJ488" s="399">
        <v>0</v>
      </c>
      <c r="AK488" s="399">
        <v>0</v>
      </c>
      <c r="AL488" s="399">
        <v>0</v>
      </c>
      <c r="AM488" s="399"/>
      <c r="AN488" s="399">
        <v>0</v>
      </c>
      <c r="AO488" s="399">
        <v>0</v>
      </c>
      <c r="AP488" s="399">
        <v>0</v>
      </c>
      <c r="AQ488" s="399">
        <v>0</v>
      </c>
      <c r="AR488" s="399">
        <v>0</v>
      </c>
      <c r="AS488" s="399"/>
      <c r="AT488" s="399"/>
      <c r="AU488" s="399">
        <v>0</v>
      </c>
      <c r="AV488" s="399">
        <v>0</v>
      </c>
      <c r="AW488" s="399">
        <v>0</v>
      </c>
      <c r="AX488" s="399"/>
      <c r="AY488" s="399"/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/>
      <c r="BG488" s="399">
        <v>0</v>
      </c>
      <c r="BH488" s="399">
        <v>0</v>
      </c>
      <c r="BI488" s="399">
        <v>34.21</v>
      </c>
      <c r="BJ488" s="399">
        <v>157.88999999999999</v>
      </c>
      <c r="BK488" s="399">
        <v>1146.21</v>
      </c>
      <c r="BL488" s="399">
        <v>1</v>
      </c>
      <c r="BM488" s="399"/>
      <c r="BN488" s="399"/>
      <c r="BO488" s="399"/>
      <c r="BP488" s="399"/>
      <c r="BQ488" s="399">
        <v>161.36640000000023</v>
      </c>
      <c r="BR488" s="399"/>
      <c r="BS488" s="399"/>
      <c r="BT488" s="399"/>
      <c r="BU488" s="399"/>
      <c r="BV488" s="399">
        <v>0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2528.0735999999997</v>
      </c>
      <c r="CJ488" s="399">
        <v>-34.490400000001046</v>
      </c>
      <c r="CK488" s="399"/>
      <c r="CL488" s="399"/>
      <c r="CM488" s="399"/>
      <c r="CN488" s="399"/>
      <c r="CO488" s="399">
        <v>-36.660000000000466</v>
      </c>
      <c r="CP488" s="399">
        <v>0</v>
      </c>
      <c r="CQ488" s="399">
        <v>30</v>
      </c>
      <c r="CR488" s="399">
        <v>41.359296985944638</v>
      </c>
      <c r="CS488" s="399">
        <v>0</v>
      </c>
      <c r="CT488" s="399">
        <v>0</v>
      </c>
      <c r="CU488" s="399">
        <v>0</v>
      </c>
      <c r="CV488" s="399">
        <v>0</v>
      </c>
      <c r="CW488" s="399"/>
      <c r="CX488" s="399"/>
      <c r="CY488" s="399"/>
      <c r="CZ488" s="399">
        <v>41.359296985944638</v>
      </c>
      <c r="DA488" s="399">
        <v>0</v>
      </c>
      <c r="DB488" s="399">
        <v>0</v>
      </c>
      <c r="DC488" s="399"/>
      <c r="DD488" s="399"/>
      <c r="DE488" s="399">
        <v>0</v>
      </c>
      <c r="DF488" s="399">
        <v>0</v>
      </c>
      <c r="DG488" s="399">
        <v>0</v>
      </c>
      <c r="DH488" s="399">
        <v>0</v>
      </c>
      <c r="DI488" s="399">
        <v>0</v>
      </c>
      <c r="DJ488" s="399"/>
      <c r="DK488" s="399">
        <v>0</v>
      </c>
      <c r="DL488" s="399">
        <v>0</v>
      </c>
      <c r="DM488" s="399"/>
      <c r="DN488" s="399">
        <v>0</v>
      </c>
      <c r="DO488" s="399">
        <v>0</v>
      </c>
      <c r="DP488" s="399">
        <v>0</v>
      </c>
      <c r="DQ488" s="399">
        <v>0</v>
      </c>
      <c r="DR488" s="399">
        <v>0</v>
      </c>
      <c r="DS488" s="399"/>
      <c r="DT488" s="399"/>
      <c r="DU488" s="399">
        <v>1738.2150234222775</v>
      </c>
      <c r="DV488" s="399"/>
      <c r="DW488" s="399">
        <v>0</v>
      </c>
      <c r="DX488" s="399">
        <v>0</v>
      </c>
      <c r="DY488" s="399">
        <v>-36.660000000000764</v>
      </c>
      <c r="DZ488" s="399"/>
      <c r="EA488" s="399">
        <v>0</v>
      </c>
      <c r="EB488" s="399"/>
      <c r="EC488" s="399">
        <v>-78.284390684721075</v>
      </c>
      <c r="ED488" s="399"/>
      <c r="EE488" s="399">
        <v>0</v>
      </c>
      <c r="EF488" s="399">
        <v>0</v>
      </c>
      <c r="EG488" s="399"/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/>
      <c r="EN488" s="399"/>
      <c r="EO488" s="399">
        <v>0</v>
      </c>
      <c r="EP488" s="399">
        <v>0</v>
      </c>
      <c r="EQ488" s="399"/>
      <c r="ER488" s="399">
        <v>0</v>
      </c>
      <c r="ES488" s="399"/>
      <c r="ET488" s="399">
        <v>0</v>
      </c>
      <c r="EU488" s="399"/>
      <c r="EV488" s="399">
        <v>225</v>
      </c>
      <c r="EW488" s="399"/>
      <c r="EX488" s="399"/>
      <c r="EY488" s="399"/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487</v>
      </c>
      <c r="B489" s="399" t="s">
        <v>957</v>
      </c>
      <c r="C489" s="399" t="s">
        <v>2357</v>
      </c>
      <c r="D489" s="399" t="s">
        <v>1826</v>
      </c>
      <c r="E489" s="399" t="s">
        <v>2375</v>
      </c>
      <c r="F489" s="399" t="s">
        <v>1240</v>
      </c>
      <c r="G489" s="399" t="s">
        <v>1240</v>
      </c>
      <c r="H489" s="399" t="s">
        <v>1240</v>
      </c>
      <c r="I489" s="399" t="s">
        <v>1240</v>
      </c>
      <c r="J489" s="399" t="s">
        <v>2358</v>
      </c>
      <c r="K489" s="789">
        <v>44713</v>
      </c>
      <c r="L489" s="399">
        <v>0</v>
      </c>
      <c r="M489" s="399">
        <v>0</v>
      </c>
      <c r="N489" s="399">
        <v>5.4729999999999999</v>
      </c>
      <c r="O489" s="399">
        <v>5.4729999999999999</v>
      </c>
      <c r="P489" s="399">
        <v>5.4729999999999999</v>
      </c>
      <c r="Q489" s="399">
        <v>5.4729999999999999</v>
      </c>
      <c r="R489" s="399"/>
      <c r="S489" s="399">
        <v>522.37</v>
      </c>
      <c r="T489" s="399">
        <v>144.41999999999999</v>
      </c>
      <c r="U489" s="399"/>
      <c r="V489" s="399">
        <v>3649.3416699999998</v>
      </c>
      <c r="W489" s="399">
        <v>3649.3416699999998</v>
      </c>
      <c r="X489" s="399">
        <v>3566.9730199999999</v>
      </c>
      <c r="Y489" s="399">
        <v>0</v>
      </c>
      <c r="Z489" s="399">
        <v>336.04753855617201</v>
      </c>
      <c r="AA489" s="399">
        <v>0</v>
      </c>
      <c r="AB489" s="399">
        <v>0</v>
      </c>
      <c r="AC489" s="399">
        <v>0</v>
      </c>
      <c r="AD489" s="399">
        <v>558.04707539020308</v>
      </c>
      <c r="AE489" s="399">
        <v>1816.528206312734</v>
      </c>
      <c r="AF489" s="399">
        <v>790.42064072964979</v>
      </c>
      <c r="AG489" s="399">
        <v>0</v>
      </c>
      <c r="AH489" s="399">
        <v>0</v>
      </c>
      <c r="AI489" s="399">
        <v>0</v>
      </c>
      <c r="AJ489" s="399">
        <v>0</v>
      </c>
      <c r="AK489" s="399">
        <v>0</v>
      </c>
      <c r="AL489" s="399">
        <v>51.899121688725216</v>
      </c>
      <c r="AM489" s="399"/>
      <c r="AN489" s="399">
        <v>7.9624224560165384</v>
      </c>
      <c r="AO489" s="399">
        <v>0</v>
      </c>
      <c r="AP489" s="399">
        <v>0</v>
      </c>
      <c r="AQ489" s="399">
        <v>0</v>
      </c>
      <c r="AR489" s="399">
        <v>0</v>
      </c>
      <c r="AS489" s="399">
        <v>0</v>
      </c>
      <c r="AT489" s="399">
        <v>0</v>
      </c>
      <c r="AU489" s="399">
        <v>0</v>
      </c>
      <c r="AV489" s="399">
        <v>0</v>
      </c>
      <c r="AW489" s="399">
        <v>0</v>
      </c>
      <c r="AX489" s="399">
        <v>0</v>
      </c>
      <c r="AY489" s="399">
        <v>0</v>
      </c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>
        <v>0</v>
      </c>
      <c r="BG489" s="399">
        <v>88.434508928449404</v>
      </c>
      <c r="BH489" s="399">
        <v>0</v>
      </c>
      <c r="BI489" s="399">
        <v>0</v>
      </c>
      <c r="BJ489" s="399">
        <v>0</v>
      </c>
      <c r="BK489" s="399">
        <v>0</v>
      </c>
      <c r="BL489" s="399">
        <v>4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878.85514965809921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3565.0178000000001</v>
      </c>
      <c r="CJ489" s="399">
        <v>-84.35387000000037</v>
      </c>
      <c r="CK489" s="399"/>
      <c r="CL489" s="399"/>
      <c r="CM489" s="399"/>
      <c r="CN489" s="399"/>
      <c r="CO489" s="399">
        <v>-114.33096999999992</v>
      </c>
      <c r="CP489" s="399">
        <v>31.96232000000002</v>
      </c>
      <c r="CQ489" s="399">
        <v>30</v>
      </c>
      <c r="CR489" s="399">
        <v>-0.52529172868003116</v>
      </c>
      <c r="CS489" s="399">
        <v>0</v>
      </c>
      <c r="CT489" s="399">
        <v>0</v>
      </c>
      <c r="CU489" s="399">
        <v>0</v>
      </c>
      <c r="CV489" s="399">
        <v>0</v>
      </c>
      <c r="CW489" s="399">
        <v>0</v>
      </c>
      <c r="CX489" s="399">
        <v>0</v>
      </c>
      <c r="CY489" s="399">
        <v>0</v>
      </c>
      <c r="CZ489" s="399">
        <v>23.355024371557079</v>
      </c>
      <c r="DA489" s="399">
        <v>0</v>
      </c>
      <c r="DB489" s="399">
        <v>0</v>
      </c>
      <c r="DC489" s="399">
        <v>31.961183796114938</v>
      </c>
      <c r="DD489" s="399">
        <v>0</v>
      </c>
      <c r="DE489" s="399">
        <v>0</v>
      </c>
      <c r="DF489" s="399">
        <v>0</v>
      </c>
      <c r="DG489" s="399">
        <v>3.5759081280719869</v>
      </c>
      <c r="DH489" s="399">
        <v>0</v>
      </c>
      <c r="DI489" s="399">
        <v>-51.627358061062523</v>
      </c>
      <c r="DJ489" s="399"/>
      <c r="DK489" s="399">
        <v>0</v>
      </c>
      <c r="DL489" s="399">
        <v>0</v>
      </c>
      <c r="DM489" s="399">
        <v>0</v>
      </c>
      <c r="DN489" s="399">
        <v>0</v>
      </c>
      <c r="DO489" s="399">
        <v>-6.8291230748014371</v>
      </c>
      <c r="DP489" s="399">
        <v>-0.96092688856012032</v>
      </c>
      <c r="DQ489" s="399">
        <v>0</v>
      </c>
      <c r="DR489" s="399">
        <v>0</v>
      </c>
      <c r="DS489" s="399"/>
      <c r="DT489" s="399"/>
      <c r="DU489" s="399"/>
      <c r="DV489" s="399">
        <v>1816.528206312734</v>
      </c>
      <c r="DW489" s="399">
        <v>0</v>
      </c>
      <c r="DX489" s="399">
        <v>0</v>
      </c>
      <c r="DY489" s="399">
        <v>-114.33096999999998</v>
      </c>
      <c r="DZ489" s="399">
        <v>31.962320000000091</v>
      </c>
      <c r="EA489" s="399">
        <v>0</v>
      </c>
      <c r="EB489" s="399">
        <v>0</v>
      </c>
      <c r="EC489" s="399">
        <v>-81.811399554484296</v>
      </c>
      <c r="ED489" s="399">
        <v>0</v>
      </c>
      <c r="EE489" s="399">
        <v>0</v>
      </c>
      <c r="EF489" s="399">
        <v>0</v>
      </c>
      <c r="EG489" s="399">
        <v>0</v>
      </c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>
        <v>0</v>
      </c>
      <c r="EN489" s="399">
        <v>0</v>
      </c>
      <c r="EO489" s="399">
        <v>0</v>
      </c>
      <c r="EP489" s="399">
        <v>0</v>
      </c>
      <c r="EQ489" s="399">
        <v>0</v>
      </c>
      <c r="ER489" s="399">
        <v>0</v>
      </c>
      <c r="ES489" s="399">
        <v>0</v>
      </c>
      <c r="ET489" s="399">
        <v>0</v>
      </c>
      <c r="EU489" s="399">
        <v>0</v>
      </c>
      <c r="EV489" s="399">
        <v>225</v>
      </c>
      <c r="EW489" s="399">
        <v>0</v>
      </c>
      <c r="EX489" s="399">
        <v>0</v>
      </c>
      <c r="EY489" s="399">
        <v>0</v>
      </c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488</v>
      </c>
      <c r="B490" s="399" t="s">
        <v>957</v>
      </c>
      <c r="C490" s="399" t="s">
        <v>2357</v>
      </c>
      <c r="D490" s="399" t="s">
        <v>2369</v>
      </c>
      <c r="E490" s="399" t="s">
        <v>895</v>
      </c>
      <c r="F490" s="399" t="s">
        <v>2376</v>
      </c>
      <c r="G490" s="399" t="s">
        <v>2377</v>
      </c>
      <c r="H490" s="399" t="s">
        <v>1240</v>
      </c>
      <c r="I490" s="399" t="s">
        <v>1240</v>
      </c>
      <c r="J490" s="399" t="s">
        <v>2358</v>
      </c>
      <c r="K490" s="789">
        <v>44713</v>
      </c>
      <c r="L490" s="399">
        <v>0</v>
      </c>
      <c r="M490" s="399">
        <v>0</v>
      </c>
      <c r="N490" s="399">
        <v>0</v>
      </c>
      <c r="O490" s="399">
        <v>0</v>
      </c>
      <c r="P490" s="399">
        <v>0</v>
      </c>
      <c r="Q490" s="399">
        <v>0</v>
      </c>
      <c r="R490" s="399"/>
      <c r="S490" s="399"/>
      <c r="T490" s="399"/>
      <c r="U490" s="399"/>
      <c r="V490" s="399"/>
      <c r="W490" s="399"/>
      <c r="X490" s="399"/>
      <c r="Y490" s="399"/>
      <c r="Z490" s="399"/>
      <c r="AA490" s="399">
        <v>0</v>
      </c>
      <c r="AB490" s="399"/>
      <c r="AC490" s="399"/>
      <c r="AD490" s="399"/>
      <c r="AE490" s="399"/>
      <c r="AF490" s="399"/>
      <c r="AG490" s="399"/>
      <c r="AH490" s="399"/>
      <c r="AI490" s="399"/>
      <c r="AJ490" s="399"/>
      <c r="AK490" s="399"/>
      <c r="AL490" s="399"/>
      <c r="AM490" s="399"/>
      <c r="AN490" s="399"/>
      <c r="AO490" s="399"/>
      <c r="AP490" s="399"/>
      <c r="AQ490" s="399"/>
      <c r="AR490" s="399"/>
      <c r="AS490" s="399"/>
      <c r="AT490" s="399"/>
      <c r="AU490" s="399"/>
      <c r="AV490" s="399"/>
      <c r="AW490" s="399"/>
      <c r="AX490" s="399"/>
      <c r="AY490" s="399"/>
      <c r="AZ490" s="399">
        <v>0</v>
      </c>
      <c r="BA490" s="399"/>
      <c r="BB490" s="399"/>
      <c r="BC490" s="399"/>
      <c r="BD490" s="399"/>
      <c r="BE490" s="399"/>
      <c r="BF490" s="399"/>
      <c r="BG490" s="399"/>
      <c r="BH490" s="399"/>
      <c r="BI490" s="399">
        <v>0</v>
      </c>
      <c r="BJ490" s="399">
        <v>0</v>
      </c>
      <c r="BK490" s="399">
        <v>325.5</v>
      </c>
      <c r="BL490" s="399">
        <v>2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/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/>
      <c r="CJ490" s="399">
        <v>-0.03</v>
      </c>
      <c r="CK490" s="399"/>
      <c r="CL490" s="399"/>
      <c r="CM490" s="399"/>
      <c r="CN490" s="399"/>
      <c r="CO490" s="399">
        <v>0</v>
      </c>
      <c r="CP490" s="399">
        <v>0</v>
      </c>
      <c r="CQ490" s="399">
        <v>30</v>
      </c>
      <c r="CR490" s="399"/>
      <c r="CS490" s="399"/>
      <c r="CT490" s="399"/>
      <c r="CU490" s="399"/>
      <c r="CV490" s="399"/>
      <c r="CW490" s="399"/>
      <c r="CX490" s="399"/>
      <c r="CY490" s="399"/>
      <c r="CZ490" s="399"/>
      <c r="DA490" s="399"/>
      <c r="DB490" s="399"/>
      <c r="DC490" s="399"/>
      <c r="DD490" s="399"/>
      <c r="DE490" s="399"/>
      <c r="DF490" s="399"/>
      <c r="DG490" s="399"/>
      <c r="DH490" s="399"/>
      <c r="DI490" s="399"/>
      <c r="DJ490" s="399"/>
      <c r="DK490" s="399">
        <v>0</v>
      </c>
      <c r="DL490" s="399"/>
      <c r="DM490" s="399"/>
      <c r="DN490" s="399"/>
      <c r="DO490" s="399"/>
      <c r="DP490" s="399"/>
      <c r="DQ490" s="399"/>
      <c r="DR490" s="399"/>
      <c r="DS490" s="399"/>
      <c r="DT490" s="399"/>
      <c r="DU490" s="399"/>
      <c r="DV490" s="399"/>
      <c r="DW490" s="399"/>
      <c r="DX490" s="399"/>
      <c r="DY490" s="399"/>
      <c r="DZ490" s="399"/>
      <c r="EA490" s="399"/>
      <c r="EB490" s="399"/>
      <c r="EC490" s="399"/>
      <c r="ED490" s="399"/>
      <c r="EE490" s="399"/>
      <c r="EF490" s="399"/>
      <c r="EG490" s="399"/>
      <c r="EH490" s="399"/>
      <c r="EI490" s="399"/>
      <c r="EJ490" s="399"/>
      <c r="EK490" s="399"/>
      <c r="EL490" s="399"/>
      <c r="EM490" s="399"/>
      <c r="EN490" s="399"/>
      <c r="EO490" s="399"/>
      <c r="EP490" s="399"/>
      <c r="EQ490" s="399"/>
      <c r="ER490" s="399"/>
      <c r="ES490" s="399"/>
      <c r="ET490" s="399"/>
      <c r="EU490" s="399"/>
      <c r="EV490" s="399">
        <v>225</v>
      </c>
      <c r="EW490" s="399"/>
      <c r="EX490" s="399"/>
      <c r="EY490" s="399"/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489</v>
      </c>
      <c r="B491" s="399" t="s">
        <v>957</v>
      </c>
      <c r="C491" s="399" t="s">
        <v>2357</v>
      </c>
      <c r="D491" s="399" t="s">
        <v>2369</v>
      </c>
      <c r="E491" s="399" t="s">
        <v>895</v>
      </c>
      <c r="F491" s="399" t="s">
        <v>2376</v>
      </c>
      <c r="G491" s="399" t="s">
        <v>2377</v>
      </c>
      <c r="H491" s="399" t="s">
        <v>1240</v>
      </c>
      <c r="I491" s="399" t="s">
        <v>1240</v>
      </c>
      <c r="J491" s="399" t="s">
        <v>2358</v>
      </c>
      <c r="K491" s="789">
        <v>44713</v>
      </c>
      <c r="L491" s="399">
        <v>0</v>
      </c>
      <c r="M491" s="399">
        <v>0</v>
      </c>
      <c r="N491" s="399">
        <v>1.764</v>
      </c>
      <c r="O491" s="399">
        <v>1.764</v>
      </c>
      <c r="P491" s="399">
        <v>1.764</v>
      </c>
      <c r="Q491" s="399">
        <v>1.764</v>
      </c>
      <c r="R491" s="399"/>
      <c r="S491" s="399">
        <v>522.37</v>
      </c>
      <c r="T491" s="399">
        <v>144.41999999999999</v>
      </c>
      <c r="U491" s="399"/>
      <c r="V491" s="399">
        <v>1176.21756</v>
      </c>
      <c r="W491" s="399">
        <v>1176.21756</v>
      </c>
      <c r="X491" s="399">
        <v>1149.6693599999999</v>
      </c>
      <c r="Y491" s="399">
        <v>0</v>
      </c>
      <c r="Z491" s="399">
        <v>108.31132066747442</v>
      </c>
      <c r="AA491" s="399">
        <v>0</v>
      </c>
      <c r="AB491" s="399">
        <v>0</v>
      </c>
      <c r="AC491" s="399">
        <v>0</v>
      </c>
      <c r="AD491" s="399">
        <v>179.86388470460778</v>
      </c>
      <c r="AE491" s="399">
        <v>585.48433326067288</v>
      </c>
      <c r="AF491" s="399">
        <v>254.76009688417727</v>
      </c>
      <c r="AG491" s="399">
        <v>0</v>
      </c>
      <c r="AH491" s="399">
        <v>0</v>
      </c>
      <c r="AI491" s="399">
        <v>0</v>
      </c>
      <c r="AJ491" s="399">
        <v>0</v>
      </c>
      <c r="AK491" s="399">
        <v>0</v>
      </c>
      <c r="AL491" s="399">
        <v>16.727580971845658</v>
      </c>
      <c r="AM491" s="399"/>
      <c r="AN491" s="399">
        <v>2.5663645555295402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28.503284076335603</v>
      </c>
      <c r="BH491" s="399">
        <v>0</v>
      </c>
      <c r="BI491" s="399">
        <v>0</v>
      </c>
      <c r="BJ491" s="399">
        <v>0</v>
      </c>
      <c r="BK491" s="399">
        <v>0</v>
      </c>
      <c r="BL491" s="399">
        <v>0</v>
      </c>
      <c r="BM491" s="399"/>
      <c r="BN491" s="399"/>
      <c r="BO491" s="399"/>
      <c r="BP491" s="399"/>
      <c r="BQ491" s="399"/>
      <c r="BR491" s="399">
        <v>137.94480000000004</v>
      </c>
      <c r="BS491" s="399"/>
      <c r="BT491" s="399"/>
      <c r="BU491" s="399"/>
      <c r="BV491" s="399">
        <v>283.2633809605129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1009.4304</v>
      </c>
      <c r="CJ491" s="399">
        <v>-25.66188000000011</v>
      </c>
      <c r="CK491" s="399"/>
      <c r="CL491" s="399"/>
      <c r="CM491" s="399"/>
      <c r="CN491" s="399"/>
      <c r="CO491" s="399">
        <v>-36.849959999999975</v>
      </c>
      <c r="CP491" s="399">
        <v>10.301760000000007</v>
      </c>
      <c r="CQ491" s="399">
        <v>30</v>
      </c>
      <c r="CR491" s="399">
        <v>-0.16930652464668583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7.5275466821535701</v>
      </c>
      <c r="DA491" s="399">
        <v>0</v>
      </c>
      <c r="DB491" s="399">
        <v>0</v>
      </c>
      <c r="DC491" s="399">
        <v>10.301393790671824</v>
      </c>
      <c r="DD491" s="399">
        <v>0</v>
      </c>
      <c r="DE491" s="399">
        <v>0</v>
      </c>
      <c r="DF491" s="399">
        <v>0</v>
      </c>
      <c r="DG491" s="399">
        <v>1.152549230388999</v>
      </c>
      <c r="DH491" s="399">
        <v>0</v>
      </c>
      <c r="DI491" s="399">
        <v>-16.639988967607223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-2.201091376566735</v>
      </c>
      <c r="DP491" s="399">
        <v>-0.30971588368720093</v>
      </c>
      <c r="DQ491" s="399">
        <v>0</v>
      </c>
      <c r="DR491" s="399">
        <v>0</v>
      </c>
      <c r="DS491" s="399"/>
      <c r="DT491" s="399"/>
      <c r="DU491" s="399"/>
      <c r="DV491" s="399">
        <v>585.48433326067288</v>
      </c>
      <c r="DW491" s="399">
        <v>0</v>
      </c>
      <c r="DX491" s="399">
        <v>0</v>
      </c>
      <c r="DY491" s="399">
        <v>-36.84996000000001</v>
      </c>
      <c r="DZ491" s="399">
        <v>10.301760000000002</v>
      </c>
      <c r="EA491" s="399">
        <v>0</v>
      </c>
      <c r="EB491" s="399">
        <v>0</v>
      </c>
      <c r="EC491" s="399">
        <v>-26.368592876687444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0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225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490</v>
      </c>
      <c r="B492" s="399" t="s">
        <v>957</v>
      </c>
      <c r="C492" s="399" t="s">
        <v>2357</v>
      </c>
      <c r="D492" s="399" t="s">
        <v>2369</v>
      </c>
      <c r="E492" s="399" t="s">
        <v>895</v>
      </c>
      <c r="F492" s="399" t="s">
        <v>2376</v>
      </c>
      <c r="G492" s="399" t="s">
        <v>2378</v>
      </c>
      <c r="H492" s="399" t="s">
        <v>1240</v>
      </c>
      <c r="I492" s="399" t="s">
        <v>1240</v>
      </c>
      <c r="J492" s="399" t="s">
        <v>2358</v>
      </c>
      <c r="K492" s="789">
        <v>44713</v>
      </c>
      <c r="L492" s="399">
        <v>0</v>
      </c>
      <c r="M492" s="399">
        <v>0</v>
      </c>
      <c r="N492" s="399">
        <v>0.26900000000000002</v>
      </c>
      <c r="O492" s="399">
        <v>0.1076</v>
      </c>
      <c r="P492" s="399">
        <v>0.26900000000000002</v>
      </c>
      <c r="Q492" s="399">
        <v>0.1076</v>
      </c>
      <c r="R492" s="399"/>
      <c r="S492" s="399">
        <v>522.37</v>
      </c>
      <c r="T492" s="399">
        <v>144.41999999999999</v>
      </c>
      <c r="U492" s="399"/>
      <c r="V492" s="399">
        <v>179.36651000000001</v>
      </c>
      <c r="W492" s="399">
        <v>179.36651000000001</v>
      </c>
      <c r="X492" s="399">
        <v>175.31806</v>
      </c>
      <c r="Y492" s="399">
        <v>0</v>
      </c>
      <c r="Z492" s="399">
        <v>16.516862392035499</v>
      </c>
      <c r="AA492" s="399">
        <v>0</v>
      </c>
      <c r="AB492" s="399">
        <v>0</v>
      </c>
      <c r="AC492" s="399">
        <v>0</v>
      </c>
      <c r="AD492" s="399">
        <v>27.42822278091808</v>
      </c>
      <c r="AE492" s="399">
        <v>89.283041750068605</v>
      </c>
      <c r="AF492" s="399">
        <v>38.849470556600735</v>
      </c>
      <c r="AG492" s="399">
        <v>0</v>
      </c>
      <c r="AH492" s="399">
        <v>0</v>
      </c>
      <c r="AI492" s="399">
        <v>0</v>
      </c>
      <c r="AJ492" s="399">
        <v>0</v>
      </c>
      <c r="AK492" s="399">
        <v>0</v>
      </c>
      <c r="AL492" s="399">
        <v>2.5508612706499334</v>
      </c>
      <c r="AM492" s="399"/>
      <c r="AN492" s="399">
        <v>0.39135604616635283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4.3465892383981162</v>
      </c>
      <c r="BH492" s="399">
        <v>0</v>
      </c>
      <c r="BI492" s="399">
        <v>0</v>
      </c>
      <c r="BJ492" s="399">
        <v>0</v>
      </c>
      <c r="BK492" s="399">
        <v>0</v>
      </c>
      <c r="BL492" s="399">
        <v>0</v>
      </c>
      <c r="BM492" s="399"/>
      <c r="BN492" s="399"/>
      <c r="BO492" s="399"/>
      <c r="BP492" s="399"/>
      <c r="BQ492" s="399"/>
      <c r="BR492" s="399"/>
      <c r="BS492" s="399">
        <v>113.60515600000001</v>
      </c>
      <c r="BT492" s="399"/>
      <c r="BU492" s="399"/>
      <c r="BV492" s="399">
        <v>43.196059794998853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63.089399999999998</v>
      </c>
      <c r="CJ492" s="399">
        <v>-7.7051999999994791E-2</v>
      </c>
      <c r="CK492" s="399"/>
      <c r="CL492" s="399"/>
      <c r="CM492" s="399"/>
      <c r="CN492" s="399"/>
      <c r="CO492" s="399">
        <v>-5.6194099999999967</v>
      </c>
      <c r="CP492" s="399">
        <v>1.570960000000001</v>
      </c>
      <c r="CQ492" s="399">
        <v>30</v>
      </c>
      <c r="CR492" s="399">
        <v>-2.5818285221077986E-2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1.1479081958612909</v>
      </c>
      <c r="DA492" s="399">
        <v>0</v>
      </c>
      <c r="DB492" s="399">
        <v>0</v>
      </c>
      <c r="DC492" s="399">
        <v>1.5709041551534639</v>
      </c>
      <c r="DD492" s="399">
        <v>0</v>
      </c>
      <c r="DE492" s="399">
        <v>0</v>
      </c>
      <c r="DF492" s="399">
        <v>0</v>
      </c>
      <c r="DG492" s="399">
        <v>0.17575722390852722</v>
      </c>
      <c r="DH492" s="399">
        <v>0</v>
      </c>
      <c r="DI492" s="399">
        <v>-2.5375039865568834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-0.33565395708415657</v>
      </c>
      <c r="DP492" s="399">
        <v>-4.7229916503320368E-2</v>
      </c>
      <c r="DQ492" s="399">
        <v>0</v>
      </c>
      <c r="DR492" s="399">
        <v>0</v>
      </c>
      <c r="DS492" s="399"/>
      <c r="DT492" s="399"/>
      <c r="DU492" s="399"/>
      <c r="DV492" s="399">
        <v>89.283041750068605</v>
      </c>
      <c r="DW492" s="399">
        <v>0</v>
      </c>
      <c r="DX492" s="399">
        <v>0</v>
      </c>
      <c r="DY492" s="399">
        <v>-5.6194100000000162</v>
      </c>
      <c r="DZ492" s="399">
        <v>1.5709599999999995</v>
      </c>
      <c r="EA492" s="399">
        <v>0</v>
      </c>
      <c r="EB492" s="399">
        <v>0</v>
      </c>
      <c r="EC492" s="399">
        <v>-4.0210609318758088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0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225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491</v>
      </c>
      <c r="B493" s="399" t="s">
        <v>957</v>
      </c>
      <c r="C493" s="399" t="s">
        <v>2357</v>
      </c>
      <c r="D493" s="399" t="s">
        <v>1823</v>
      </c>
      <c r="E493" s="399" t="s">
        <v>890</v>
      </c>
      <c r="F493" s="399" t="s">
        <v>890</v>
      </c>
      <c r="G493" s="399" t="s">
        <v>1240</v>
      </c>
      <c r="H493" s="399" t="s">
        <v>1240</v>
      </c>
      <c r="I493" s="399" t="s">
        <v>1240</v>
      </c>
      <c r="J493" s="399" t="s">
        <v>2358</v>
      </c>
      <c r="K493" s="789">
        <v>44743</v>
      </c>
      <c r="L493" s="399">
        <v>0</v>
      </c>
      <c r="M493" s="399">
        <v>0</v>
      </c>
      <c r="N493" s="399">
        <v>2394.3290000000002</v>
      </c>
      <c r="O493" s="399">
        <v>2394.3290000000002</v>
      </c>
      <c r="P493" s="399">
        <v>2394.3290000000002</v>
      </c>
      <c r="Q493" s="399">
        <v>2394.3290000000002</v>
      </c>
      <c r="R493" s="399"/>
      <c r="S493" s="399">
        <v>522.37</v>
      </c>
      <c r="T493" s="399">
        <v>144.41999999999999</v>
      </c>
      <c r="U493" s="399"/>
      <c r="V493" s="399">
        <v>1596514.6339100001</v>
      </c>
      <c r="W493" s="399">
        <v>1596514.6339100001</v>
      </c>
      <c r="X493" s="399">
        <v>1560479.9824600001</v>
      </c>
      <c r="Y493" s="399">
        <v>0</v>
      </c>
      <c r="Z493" s="399">
        <v>147014.13611249058</v>
      </c>
      <c r="AA493" s="399">
        <v>0</v>
      </c>
      <c r="AB493" s="399">
        <v>0</v>
      </c>
      <c r="AC493" s="399">
        <v>0</v>
      </c>
      <c r="AD493" s="399">
        <v>244134.53242681341</v>
      </c>
      <c r="AE493" s="399">
        <v>794695.0783286246</v>
      </c>
      <c r="AF493" s="399">
        <v>345793.36055135791</v>
      </c>
      <c r="AG493" s="399">
        <v>0</v>
      </c>
      <c r="AH493" s="399">
        <v>0</v>
      </c>
      <c r="AI493" s="399">
        <v>0</v>
      </c>
      <c r="AJ493" s="399">
        <v>0</v>
      </c>
      <c r="AK493" s="399">
        <v>0</v>
      </c>
      <c r="AL493" s="399">
        <v>22704.836859828938</v>
      </c>
      <c r="AM493" s="399"/>
      <c r="AN493" s="399">
        <v>3483.401972719098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38688.344478009385</v>
      </c>
      <c r="BH493" s="399">
        <v>0</v>
      </c>
      <c r="BI493" s="399">
        <v>486.25</v>
      </c>
      <c r="BJ493" s="399">
        <v>2243.3000000000002</v>
      </c>
      <c r="BK493" s="399">
        <v>224084.5</v>
      </c>
      <c r="BL493" s="399">
        <v>12091</v>
      </c>
      <c r="BM493" s="399"/>
      <c r="BN493" s="399"/>
      <c r="BO493" s="399"/>
      <c r="BP493" s="399"/>
      <c r="BQ493" s="399"/>
      <c r="BR493" s="399"/>
      <c r="BS493" s="399"/>
      <c r="BT493" s="399"/>
      <c r="BU493" s="399"/>
      <c r="BV493" s="399">
        <v>384481.70502936729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1560480.6342</v>
      </c>
      <c r="CJ493" s="399">
        <v>-36034.029710000148</v>
      </c>
      <c r="CK493" s="399"/>
      <c r="CL493" s="399"/>
      <c r="CM493" s="399"/>
      <c r="CN493" s="399"/>
      <c r="CO493" s="399">
        <v>-50017.532809999968</v>
      </c>
      <c r="CP493" s="399">
        <v>13982.881360000008</v>
      </c>
      <c r="CQ493" s="399">
        <v>31</v>
      </c>
      <c r="CR493" s="399">
        <v>-229.80471760267392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10217.360158692813</v>
      </c>
      <c r="DA493" s="399">
        <v>0</v>
      </c>
      <c r="DB493" s="399">
        <v>0</v>
      </c>
      <c r="DC493" s="399">
        <v>13982.384293325071</v>
      </c>
      <c r="DD493" s="399">
        <v>0</v>
      </c>
      <c r="DE493" s="399">
        <v>0</v>
      </c>
      <c r="DF493" s="399">
        <v>0</v>
      </c>
      <c r="DG493" s="399">
        <v>1564.3889151066105</v>
      </c>
      <c r="DH493" s="399">
        <v>0</v>
      </c>
      <c r="DI493" s="399">
        <v>-22585.945660329962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-2987.6059606369927</v>
      </c>
      <c r="DP493" s="399">
        <v>-420.38646376014322</v>
      </c>
      <c r="DQ493" s="399">
        <v>0</v>
      </c>
      <c r="DR493" s="399">
        <v>0</v>
      </c>
      <c r="DS493" s="399"/>
      <c r="DT493" s="399"/>
      <c r="DU493" s="399"/>
      <c r="DV493" s="399">
        <v>794695.0783286246</v>
      </c>
      <c r="DW493" s="399">
        <v>0</v>
      </c>
      <c r="DX493" s="399">
        <v>0</v>
      </c>
      <c r="DY493" s="399">
        <v>-50017.532810000004</v>
      </c>
      <c r="DZ493" s="399">
        <v>13982.881359999999</v>
      </c>
      <c r="EA493" s="399">
        <v>0</v>
      </c>
      <c r="EB493" s="399">
        <v>0</v>
      </c>
      <c r="EC493" s="399">
        <v>-35790.865427350393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225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492</v>
      </c>
      <c r="B494" s="399" t="s">
        <v>2359</v>
      </c>
      <c r="C494" s="399" t="s">
        <v>2357</v>
      </c>
      <c r="D494" s="399" t="s">
        <v>1823</v>
      </c>
      <c r="E494" s="399" t="s">
        <v>890</v>
      </c>
      <c r="F494" s="399" t="s">
        <v>890</v>
      </c>
      <c r="G494" s="399" t="s">
        <v>1240</v>
      </c>
      <c r="H494" s="399" t="s">
        <v>1240</v>
      </c>
      <c r="I494" s="399" t="s">
        <v>1240</v>
      </c>
      <c r="J494" s="399" t="s">
        <v>2358</v>
      </c>
      <c r="K494" s="789">
        <v>44743</v>
      </c>
      <c r="L494" s="399">
        <v>0</v>
      </c>
      <c r="M494" s="399">
        <v>0</v>
      </c>
      <c r="N494" s="399">
        <v>-2.63</v>
      </c>
      <c r="O494" s="399">
        <v>-2.63</v>
      </c>
      <c r="P494" s="399">
        <v>-2.63</v>
      </c>
      <c r="Q494" s="399">
        <v>-2.63</v>
      </c>
      <c r="R494" s="399"/>
      <c r="S494" s="399">
        <v>522.37</v>
      </c>
      <c r="T494" s="399">
        <v>144.41999999999999</v>
      </c>
      <c r="U494" s="399"/>
      <c r="V494" s="399">
        <v>-1753.6577</v>
      </c>
      <c r="W494" s="399">
        <v>-1753.6577</v>
      </c>
      <c r="X494" s="399">
        <v>-1714.0762</v>
      </c>
      <c r="Y494" s="399">
        <v>0</v>
      </c>
      <c r="Z494" s="399">
        <v>-161.48456539425038</v>
      </c>
      <c r="AA494" s="399">
        <v>0</v>
      </c>
      <c r="AB494" s="399">
        <v>0</v>
      </c>
      <c r="AC494" s="399">
        <v>0</v>
      </c>
      <c r="AD494" s="399">
        <v>-268.16440860154103</v>
      </c>
      <c r="AE494" s="399">
        <v>-872.91598439658139</v>
      </c>
      <c r="AF494" s="399">
        <v>-379.82939614817815</v>
      </c>
      <c r="AG494" s="399">
        <v>0</v>
      </c>
      <c r="AH494" s="399">
        <v>0</v>
      </c>
      <c r="AI494" s="399">
        <v>0</v>
      </c>
      <c r="AJ494" s="399">
        <v>0</v>
      </c>
      <c r="AK494" s="399">
        <v>0</v>
      </c>
      <c r="AL494" s="399">
        <v>-24.939647367320909</v>
      </c>
      <c r="AM494" s="399"/>
      <c r="AN494" s="399">
        <v>-3.8262691502509583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-42.4963929256024</v>
      </c>
      <c r="BH494" s="399">
        <v>0</v>
      </c>
      <c r="BI494" s="399">
        <v>-0.65</v>
      </c>
      <c r="BJ494" s="399">
        <v>-3.02</v>
      </c>
      <c r="BK494" s="399">
        <v>-500.39</v>
      </c>
      <c r="BL494" s="399">
        <v>0</v>
      </c>
      <c r="BM494" s="399"/>
      <c r="BN494" s="399"/>
      <c r="BO494" s="399"/>
      <c r="BP494" s="399"/>
      <c r="BQ494" s="399"/>
      <c r="BR494" s="399"/>
      <c r="BS494" s="399"/>
      <c r="BT494" s="399"/>
      <c r="BU494" s="399"/>
      <c r="BV494" s="399">
        <v>-422.32578907378053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-1714.0762</v>
      </c>
      <c r="CJ494" s="399">
        <v>39.551500000000033</v>
      </c>
      <c r="CK494" s="399"/>
      <c r="CL494" s="399"/>
      <c r="CM494" s="399"/>
      <c r="CN494" s="399"/>
      <c r="CO494" s="399">
        <v>54.940699999999964</v>
      </c>
      <c r="CP494" s="399">
        <v>-15.359200000000008</v>
      </c>
      <c r="CQ494" s="399">
        <v>31</v>
      </c>
      <c r="CR494" s="399">
        <v>0.25242412688260174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-11.223042955818585</v>
      </c>
      <c r="DA494" s="399">
        <v>0</v>
      </c>
      <c r="DB494" s="399">
        <v>0</v>
      </c>
      <c r="DC494" s="399">
        <v>-15.358654007634243</v>
      </c>
      <c r="DD494" s="399">
        <v>0</v>
      </c>
      <c r="DE494" s="399">
        <v>0</v>
      </c>
      <c r="DF494" s="399">
        <v>0</v>
      </c>
      <c r="DG494" s="399">
        <v>-1.7183698843101283</v>
      </c>
      <c r="DH494" s="399">
        <v>0</v>
      </c>
      <c r="DI494" s="399">
        <v>24.809053846262458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3.2816725172168475</v>
      </c>
      <c r="DP494" s="399">
        <v>0.46176461116629186</v>
      </c>
      <c r="DQ494" s="399">
        <v>0</v>
      </c>
      <c r="DR494" s="399">
        <v>0</v>
      </c>
      <c r="DS494" s="399"/>
      <c r="DT494" s="399"/>
      <c r="DU494" s="399"/>
      <c r="DV494" s="399">
        <v>-872.91598439658139</v>
      </c>
      <c r="DW494" s="399">
        <v>0</v>
      </c>
      <c r="DX494" s="399">
        <v>0</v>
      </c>
      <c r="DY494" s="399">
        <v>54.940700000000106</v>
      </c>
      <c r="DZ494" s="399">
        <v>-15.359199999999987</v>
      </c>
      <c r="EA494" s="399">
        <v>0</v>
      </c>
      <c r="EB494" s="399">
        <v>0</v>
      </c>
      <c r="EC494" s="399">
        <v>39.313718404584961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0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225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493</v>
      </c>
      <c r="B495" s="399" t="s">
        <v>2360</v>
      </c>
      <c r="C495" s="399" t="s">
        <v>2357</v>
      </c>
      <c r="D495" s="399" t="s">
        <v>1823</v>
      </c>
      <c r="E495" s="399" t="s">
        <v>890</v>
      </c>
      <c r="F495" s="399" t="s">
        <v>890</v>
      </c>
      <c r="G495" s="399" t="s">
        <v>1240</v>
      </c>
      <c r="H495" s="399" t="s">
        <v>1240</v>
      </c>
      <c r="I495" s="399" t="s">
        <v>1240</v>
      </c>
      <c r="J495" s="399" t="s">
        <v>2358</v>
      </c>
      <c r="K495" s="789">
        <v>44743</v>
      </c>
      <c r="L495" s="399">
        <v>0</v>
      </c>
      <c r="M495" s="399">
        <v>0</v>
      </c>
      <c r="N495" s="399">
        <v>23.007999999999999</v>
      </c>
      <c r="O495" s="399">
        <v>23.007999999999999</v>
      </c>
      <c r="P495" s="399">
        <v>23.007999999999999</v>
      </c>
      <c r="Q495" s="399">
        <v>23.007999999999999</v>
      </c>
      <c r="R495" s="399"/>
      <c r="S495" s="399">
        <v>522.37</v>
      </c>
      <c r="T495" s="399">
        <v>144.41999999999999</v>
      </c>
      <c r="U495" s="399"/>
      <c r="V495" s="399">
        <v>15341.50432</v>
      </c>
      <c r="W495" s="399">
        <v>15341.50432</v>
      </c>
      <c r="X495" s="399">
        <v>14995.233919999999</v>
      </c>
      <c r="Y495" s="399">
        <v>0</v>
      </c>
      <c r="Z495" s="399">
        <v>1412.7136428102331</v>
      </c>
      <c r="AA495" s="399">
        <v>0</v>
      </c>
      <c r="AB495" s="399">
        <v>0</v>
      </c>
      <c r="AC495" s="399">
        <v>0</v>
      </c>
      <c r="AD495" s="399">
        <v>2345.9797388229113</v>
      </c>
      <c r="AE495" s="399">
        <v>7636.5212809872801</v>
      </c>
      <c r="AF495" s="399">
        <v>3322.8573180902217</v>
      </c>
      <c r="AG495" s="399">
        <v>0</v>
      </c>
      <c r="AH495" s="399">
        <v>0</v>
      </c>
      <c r="AI495" s="399">
        <v>0</v>
      </c>
      <c r="AJ495" s="399">
        <v>0</v>
      </c>
      <c r="AK495" s="399">
        <v>0</v>
      </c>
      <c r="AL495" s="399">
        <v>218.17924206361957</v>
      </c>
      <c r="AM495" s="399"/>
      <c r="AN495" s="399">
        <v>33.473308216339944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371.77072563964259</v>
      </c>
      <c r="BH495" s="399">
        <v>0</v>
      </c>
      <c r="BI495" s="399">
        <v>3.24</v>
      </c>
      <c r="BJ495" s="399">
        <v>14.9</v>
      </c>
      <c r="BK495" s="399">
        <v>5000.0600000000004</v>
      </c>
      <c r="BL495" s="399">
        <v>128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3694.6280437298642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14996.537400000001</v>
      </c>
      <c r="CJ495" s="399">
        <v>-344.99691999999959</v>
      </c>
      <c r="CK495" s="399"/>
      <c r="CL495" s="399"/>
      <c r="CM495" s="399"/>
      <c r="CN495" s="399"/>
      <c r="CO495" s="399">
        <v>-480.63711999999964</v>
      </c>
      <c r="CP495" s="399">
        <v>134.36672000000007</v>
      </c>
      <c r="CQ495" s="399">
        <v>31</v>
      </c>
      <c r="CR495" s="399">
        <v>-2.2082792058236009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98.182422938202762</v>
      </c>
      <c r="DA495" s="399">
        <v>0</v>
      </c>
      <c r="DB495" s="399">
        <v>0</v>
      </c>
      <c r="DC495" s="399">
        <v>134.36194350100686</v>
      </c>
      <c r="DD495" s="399">
        <v>0</v>
      </c>
      <c r="DE495" s="399">
        <v>0</v>
      </c>
      <c r="DF495" s="399">
        <v>0</v>
      </c>
      <c r="DG495" s="399">
        <v>15.032796311105471</v>
      </c>
      <c r="DH495" s="399">
        <v>0</v>
      </c>
      <c r="DI495" s="399">
        <v>-217.03677220334839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-28.709019496625558</v>
      </c>
      <c r="DP495" s="399">
        <v>-4.0396502561650358</v>
      </c>
      <c r="DQ495" s="399">
        <v>0</v>
      </c>
      <c r="DR495" s="399">
        <v>0</v>
      </c>
      <c r="DS495" s="399"/>
      <c r="DT495" s="399"/>
      <c r="DU495" s="399"/>
      <c r="DV495" s="399">
        <v>7636.5212809872801</v>
      </c>
      <c r="DW495" s="399">
        <v>0</v>
      </c>
      <c r="DX495" s="399">
        <v>0</v>
      </c>
      <c r="DY495" s="399">
        <v>-480.63711999999941</v>
      </c>
      <c r="DZ495" s="399">
        <v>134.36671999999999</v>
      </c>
      <c r="EA495" s="399">
        <v>0</v>
      </c>
      <c r="EB495" s="399">
        <v>0</v>
      </c>
      <c r="EC495" s="399">
        <v>-343.92776922155554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225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494</v>
      </c>
      <c r="B496" s="399" t="s">
        <v>957</v>
      </c>
      <c r="C496" s="399" t="s">
        <v>2357</v>
      </c>
      <c r="D496" s="399" t="s">
        <v>1823</v>
      </c>
      <c r="E496" s="399" t="s">
        <v>890</v>
      </c>
      <c r="F496" s="399" t="s">
        <v>2361</v>
      </c>
      <c r="G496" s="399" t="s">
        <v>1240</v>
      </c>
      <c r="H496" s="399" t="s">
        <v>1240</v>
      </c>
      <c r="I496" s="399" t="s">
        <v>1240</v>
      </c>
      <c r="J496" s="399" t="s">
        <v>2358</v>
      </c>
      <c r="K496" s="789">
        <v>44743</v>
      </c>
      <c r="L496" s="399">
        <v>0</v>
      </c>
      <c r="M496" s="399">
        <v>0</v>
      </c>
      <c r="N496" s="399">
        <v>15.99</v>
      </c>
      <c r="O496" s="399">
        <v>15.99</v>
      </c>
      <c r="P496" s="399">
        <v>15.99</v>
      </c>
      <c r="Q496" s="399">
        <v>15.99</v>
      </c>
      <c r="R496" s="399"/>
      <c r="S496" s="399">
        <v>451.48</v>
      </c>
      <c r="T496" s="399">
        <v>144.41999999999999</v>
      </c>
      <c r="U496" s="399"/>
      <c r="V496" s="399">
        <v>9528.4410000000007</v>
      </c>
      <c r="W496" s="399">
        <v>9528.4410000000007</v>
      </c>
      <c r="X496" s="399">
        <v>9458.7245999999996</v>
      </c>
      <c r="Y496" s="399">
        <v>0</v>
      </c>
      <c r="Z496" s="399">
        <v>0</v>
      </c>
      <c r="AA496" s="399">
        <v>0</v>
      </c>
      <c r="AB496" s="399">
        <v>0</v>
      </c>
      <c r="AC496" s="399">
        <v>0</v>
      </c>
      <c r="AD496" s="399">
        <v>1630.3988188359854</v>
      </c>
      <c r="AE496" s="399">
        <v>5307.1964222438546</v>
      </c>
      <c r="AF496" s="399">
        <v>2309.3049598514708</v>
      </c>
      <c r="AG496" s="399">
        <v>0</v>
      </c>
      <c r="AH496" s="399">
        <v>0</v>
      </c>
      <c r="AI496" s="399">
        <v>0</v>
      </c>
      <c r="AJ496" s="399">
        <v>0</v>
      </c>
      <c r="AK496" s="399">
        <v>0</v>
      </c>
      <c r="AL496" s="399">
        <v>0</v>
      </c>
      <c r="AM496" s="399"/>
      <c r="AN496" s="399">
        <v>23.263134491449744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258.37160565794005</v>
      </c>
      <c r="BH496" s="399">
        <v>0</v>
      </c>
      <c r="BI496" s="399">
        <v>0.96</v>
      </c>
      <c r="BJ496" s="399">
        <v>4.08</v>
      </c>
      <c r="BK496" s="399">
        <v>400.47</v>
      </c>
      <c r="BL496" s="399">
        <v>10</v>
      </c>
      <c r="BM496" s="399"/>
      <c r="BN496" s="399"/>
      <c r="BO496" s="399"/>
      <c r="BP496" s="399"/>
      <c r="BQ496" s="399"/>
      <c r="BR496" s="399"/>
      <c r="BS496" s="399"/>
      <c r="BT496" s="399">
        <v>6148.1549999999997</v>
      </c>
      <c r="BU496" s="399"/>
      <c r="BV496" s="399">
        <v>2567.6765655094109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3310.5695999999998</v>
      </c>
      <c r="CJ496" s="399">
        <v>-24.494700000001103</v>
      </c>
      <c r="CK496" s="399"/>
      <c r="CL496" s="399"/>
      <c r="CM496" s="399"/>
      <c r="CN496" s="399"/>
      <c r="CO496" s="399">
        <v>-163.09800000000072</v>
      </c>
      <c r="CP496" s="399">
        <v>93.381600000000063</v>
      </c>
      <c r="CQ496" s="399">
        <v>31</v>
      </c>
      <c r="CR496" s="399">
        <v>169.25264363619044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68.234394244691657</v>
      </c>
      <c r="DA496" s="399">
        <v>0</v>
      </c>
      <c r="DB496" s="399">
        <v>0</v>
      </c>
      <c r="DC496" s="399">
        <v>93.378280449457179</v>
      </c>
      <c r="DD496" s="399">
        <v>0</v>
      </c>
      <c r="DE496" s="399">
        <v>0</v>
      </c>
      <c r="DF496" s="399">
        <v>0</v>
      </c>
      <c r="DG496" s="399">
        <v>10.447427547573795</v>
      </c>
      <c r="DH496" s="399">
        <v>0</v>
      </c>
      <c r="DI496" s="399">
        <v>0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0</v>
      </c>
      <c r="DP496" s="399">
        <v>-2.8074586055319415</v>
      </c>
      <c r="DQ496" s="399">
        <v>0</v>
      </c>
      <c r="DR496" s="399">
        <v>0</v>
      </c>
      <c r="DS496" s="399"/>
      <c r="DT496" s="399"/>
      <c r="DU496" s="399"/>
      <c r="DV496" s="399">
        <v>5307.1964222438546</v>
      </c>
      <c r="DW496" s="399">
        <v>0</v>
      </c>
      <c r="DX496" s="399">
        <v>0</v>
      </c>
      <c r="DY496" s="399">
        <v>-163.09800000000087</v>
      </c>
      <c r="DZ496" s="399">
        <v>93.381600000000162</v>
      </c>
      <c r="EA496" s="399">
        <v>0</v>
      </c>
      <c r="EB496" s="399">
        <v>0</v>
      </c>
      <c r="EC496" s="399">
        <v>-239.02142862711571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225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495</v>
      </c>
      <c r="B497" s="399" t="s">
        <v>2359</v>
      </c>
      <c r="C497" s="399" t="s">
        <v>2357</v>
      </c>
      <c r="D497" s="399" t="s">
        <v>1823</v>
      </c>
      <c r="E497" s="399" t="s">
        <v>890</v>
      </c>
      <c r="F497" s="399" t="s">
        <v>2361</v>
      </c>
      <c r="G497" s="399" t="s">
        <v>1240</v>
      </c>
      <c r="H497" s="399" t="s">
        <v>1240</v>
      </c>
      <c r="I497" s="399" t="s">
        <v>1240</v>
      </c>
      <c r="J497" s="399" t="s">
        <v>2358</v>
      </c>
      <c r="K497" s="789">
        <v>44743</v>
      </c>
      <c r="L497" s="399">
        <v>0</v>
      </c>
      <c r="M497" s="399">
        <v>0</v>
      </c>
      <c r="N497" s="399">
        <v>0.06</v>
      </c>
      <c r="O497" s="399">
        <v>0.06</v>
      </c>
      <c r="P497" s="399">
        <v>0.06</v>
      </c>
      <c r="Q497" s="399">
        <v>0.06</v>
      </c>
      <c r="R497" s="399"/>
      <c r="S497" s="399">
        <v>451.48</v>
      </c>
      <c r="T497" s="399">
        <v>144.41999999999999</v>
      </c>
      <c r="U497" s="399"/>
      <c r="V497" s="399">
        <v>35.753999999999998</v>
      </c>
      <c r="W497" s="399">
        <v>35.753999999999998</v>
      </c>
      <c r="X497" s="399">
        <v>35.492399999999996</v>
      </c>
      <c r="Y497" s="399">
        <v>0</v>
      </c>
      <c r="Z497" s="399">
        <v>0</v>
      </c>
      <c r="AA497" s="399">
        <v>0</v>
      </c>
      <c r="AB497" s="399">
        <v>0</v>
      </c>
      <c r="AC497" s="399">
        <v>0</v>
      </c>
      <c r="AD497" s="399">
        <v>6.1178192076397195</v>
      </c>
      <c r="AE497" s="399">
        <v>19.914433104104518</v>
      </c>
      <c r="AF497" s="399">
        <v>8.6653094178291585</v>
      </c>
      <c r="AG497" s="399">
        <v>0</v>
      </c>
      <c r="AH497" s="399">
        <v>0</v>
      </c>
      <c r="AI497" s="399">
        <v>0</v>
      </c>
      <c r="AJ497" s="399">
        <v>0</v>
      </c>
      <c r="AK497" s="399">
        <v>0</v>
      </c>
      <c r="AL497" s="399">
        <v>0</v>
      </c>
      <c r="AM497" s="399"/>
      <c r="AN497" s="399">
        <v>8.7291311412569392E-2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0.96949945837876195</v>
      </c>
      <c r="BH497" s="399">
        <v>0</v>
      </c>
      <c r="BI497" s="399">
        <v>0</v>
      </c>
      <c r="BJ497" s="399">
        <v>0</v>
      </c>
      <c r="BK497" s="399">
        <v>1.5</v>
      </c>
      <c r="BL497" s="399">
        <v>0</v>
      </c>
      <c r="BM497" s="399"/>
      <c r="BN497" s="399"/>
      <c r="BO497" s="399"/>
      <c r="BP497" s="399"/>
      <c r="BQ497" s="399"/>
      <c r="BR497" s="399"/>
      <c r="BS497" s="399"/>
      <c r="BT497" s="399">
        <v>23.069999999999997</v>
      </c>
      <c r="BU497" s="399"/>
      <c r="BV497" s="399">
        <v>9.63480887620792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12.4224</v>
      </c>
      <c r="CJ497" s="399">
        <v>-0.12179999999999858</v>
      </c>
      <c r="CK497" s="399"/>
      <c r="CL497" s="399"/>
      <c r="CM497" s="399"/>
      <c r="CN497" s="399"/>
      <c r="CO497" s="399">
        <v>-0.61200000000000265</v>
      </c>
      <c r="CP497" s="399">
        <v>0.35040000000000021</v>
      </c>
      <c r="CQ497" s="399">
        <v>31</v>
      </c>
      <c r="CR497" s="399">
        <v>0.63509434760296379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0.25603900279434022</v>
      </c>
      <c r="DA497" s="399">
        <v>0</v>
      </c>
      <c r="DB497" s="399">
        <v>0</v>
      </c>
      <c r="DC497" s="399">
        <v>0.35038754390040161</v>
      </c>
      <c r="DD497" s="399">
        <v>0</v>
      </c>
      <c r="DE497" s="399">
        <v>0</v>
      </c>
      <c r="DF497" s="399">
        <v>0</v>
      </c>
      <c r="DG497" s="399">
        <v>3.9202354775136117E-2</v>
      </c>
      <c r="DH497" s="399">
        <v>0</v>
      </c>
      <c r="DI497" s="399">
        <v>0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0</v>
      </c>
      <c r="DP497" s="399">
        <v>-1.05345538669116E-2</v>
      </c>
      <c r="DQ497" s="399">
        <v>0</v>
      </c>
      <c r="DR497" s="399">
        <v>0</v>
      </c>
      <c r="DS497" s="399"/>
      <c r="DT497" s="399"/>
      <c r="DU497" s="399"/>
      <c r="DV497" s="399">
        <v>19.914433104104518</v>
      </c>
      <c r="DW497" s="399">
        <v>0</v>
      </c>
      <c r="DX497" s="399">
        <v>0</v>
      </c>
      <c r="DY497" s="399">
        <v>-0.61200000000000188</v>
      </c>
      <c r="DZ497" s="399">
        <v>0.35040000000000049</v>
      </c>
      <c r="EA497" s="399">
        <v>0</v>
      </c>
      <c r="EB497" s="399">
        <v>0</v>
      </c>
      <c r="EC497" s="399">
        <v>-0.89689091417303857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0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225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496</v>
      </c>
      <c r="B498" s="399" t="s">
        <v>957</v>
      </c>
      <c r="C498" s="399" t="s">
        <v>2357</v>
      </c>
      <c r="D498" s="399" t="s">
        <v>1823</v>
      </c>
      <c r="E498" s="399" t="s">
        <v>890</v>
      </c>
      <c r="F498" s="399" t="s">
        <v>2362</v>
      </c>
      <c r="G498" s="399" t="s">
        <v>1240</v>
      </c>
      <c r="H498" s="399" t="s">
        <v>1240</v>
      </c>
      <c r="I498" s="399" t="s">
        <v>1240</v>
      </c>
      <c r="J498" s="399" t="s">
        <v>2358</v>
      </c>
      <c r="K498" s="789">
        <v>44743</v>
      </c>
      <c r="L498" s="399">
        <v>0</v>
      </c>
      <c r="M498" s="399">
        <v>0</v>
      </c>
      <c r="N498" s="399">
        <v>34.805</v>
      </c>
      <c r="O498" s="399">
        <v>34.805</v>
      </c>
      <c r="P498" s="399">
        <v>34.805</v>
      </c>
      <c r="Q498" s="399">
        <v>34.805</v>
      </c>
      <c r="R498" s="399"/>
      <c r="S498" s="399">
        <v>451.48</v>
      </c>
      <c r="T498" s="399">
        <v>144.41999999999999</v>
      </c>
      <c r="U498" s="399"/>
      <c r="V498" s="399">
        <v>20740.299500000001</v>
      </c>
      <c r="W498" s="399">
        <v>20740.299500000001</v>
      </c>
      <c r="X498" s="399">
        <v>20588.5497</v>
      </c>
      <c r="Y498" s="399">
        <v>0</v>
      </c>
      <c r="Z498" s="399">
        <v>0</v>
      </c>
      <c r="AA498" s="399">
        <v>0</v>
      </c>
      <c r="AB498" s="399">
        <v>0</v>
      </c>
      <c r="AC498" s="399">
        <v>0</v>
      </c>
      <c r="AD498" s="399">
        <v>3548.8449586983411</v>
      </c>
      <c r="AE498" s="399">
        <v>11552.03073647263</v>
      </c>
      <c r="AF498" s="399">
        <v>5026.6015714590649</v>
      </c>
      <c r="AG498" s="399">
        <v>0</v>
      </c>
      <c r="AH498" s="399">
        <v>0</v>
      </c>
      <c r="AI498" s="399">
        <v>0</v>
      </c>
      <c r="AJ498" s="399">
        <v>0</v>
      </c>
      <c r="AK498" s="399">
        <v>0</v>
      </c>
      <c r="AL498" s="399">
        <v>0</v>
      </c>
      <c r="AM498" s="399"/>
      <c r="AN498" s="399">
        <v>50.636234895241294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562.39047748121357</v>
      </c>
      <c r="BH498" s="399">
        <v>0</v>
      </c>
      <c r="BI498" s="399">
        <v>3.2</v>
      </c>
      <c r="BJ498" s="399">
        <v>14.8</v>
      </c>
      <c r="BK498" s="399">
        <v>1499.3</v>
      </c>
      <c r="BL498" s="399">
        <v>72</v>
      </c>
      <c r="BM498" s="399"/>
      <c r="BN498" s="399"/>
      <c r="BO498" s="399"/>
      <c r="BP498" s="399"/>
      <c r="BQ498" s="399"/>
      <c r="BR498" s="399"/>
      <c r="BS498" s="399"/>
      <c r="BT498" s="399">
        <v>8235.2110499999999</v>
      </c>
      <c r="BU498" s="399"/>
      <c r="BV498" s="399">
        <v>5588.9920489402784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12355.113300000001</v>
      </c>
      <c r="CJ498" s="399">
        <v>-89.096399999998539</v>
      </c>
      <c r="CK498" s="399"/>
      <c r="CL498" s="399"/>
      <c r="CM498" s="399"/>
      <c r="CN498" s="399"/>
      <c r="CO498" s="399">
        <v>-355.01100000000156</v>
      </c>
      <c r="CP498" s="399">
        <v>203.26120000000012</v>
      </c>
      <c r="CQ498" s="399">
        <v>31</v>
      </c>
      <c r="CR498" s="399">
        <v>368.40764613868669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148.52395820428319</v>
      </c>
      <c r="DA498" s="399">
        <v>0</v>
      </c>
      <c r="DB498" s="399">
        <v>0</v>
      </c>
      <c r="DC498" s="399">
        <v>203.253974424224</v>
      </c>
      <c r="DD498" s="399">
        <v>0</v>
      </c>
      <c r="DE498" s="399">
        <v>0</v>
      </c>
      <c r="DF498" s="399">
        <v>0</v>
      </c>
      <c r="DG498" s="399">
        <v>22.740632632476718</v>
      </c>
      <c r="DH498" s="399">
        <v>0</v>
      </c>
      <c r="DI498" s="399">
        <v>0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0</v>
      </c>
      <c r="DP498" s="399">
        <v>-6.1109191222976378</v>
      </c>
      <c r="DQ498" s="399">
        <v>0</v>
      </c>
      <c r="DR498" s="399">
        <v>0</v>
      </c>
      <c r="DS498" s="399"/>
      <c r="DT498" s="399"/>
      <c r="DU498" s="399"/>
      <c r="DV498" s="399">
        <v>11552.03073647263</v>
      </c>
      <c r="DW498" s="399">
        <v>0</v>
      </c>
      <c r="DX498" s="399">
        <v>0</v>
      </c>
      <c r="DY498" s="399">
        <v>-355.01100000000224</v>
      </c>
      <c r="DZ498" s="399">
        <v>203.26119999999992</v>
      </c>
      <c r="EA498" s="399">
        <v>0</v>
      </c>
      <c r="EB498" s="399">
        <v>0</v>
      </c>
      <c r="EC498" s="399">
        <v>-520.27147112987768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225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497</v>
      </c>
      <c r="B499" s="399" t="s">
        <v>2359</v>
      </c>
      <c r="C499" s="399" t="s">
        <v>2357</v>
      </c>
      <c r="D499" s="399" t="s">
        <v>1823</v>
      </c>
      <c r="E499" s="399" t="s">
        <v>890</v>
      </c>
      <c r="F499" s="399" t="s">
        <v>2362</v>
      </c>
      <c r="G499" s="399" t="s">
        <v>1240</v>
      </c>
      <c r="H499" s="399" t="s">
        <v>1240</v>
      </c>
      <c r="I499" s="399" t="s">
        <v>1240</v>
      </c>
      <c r="J499" s="399" t="s">
        <v>2358</v>
      </c>
      <c r="K499" s="789">
        <v>44743</v>
      </c>
      <c r="L499" s="399">
        <v>0</v>
      </c>
      <c r="M499" s="399">
        <v>0</v>
      </c>
      <c r="N499" s="399">
        <v>0.14000000000000001</v>
      </c>
      <c r="O499" s="399">
        <v>0.14000000000000001</v>
      </c>
      <c r="P499" s="399">
        <v>0.14000000000000001</v>
      </c>
      <c r="Q499" s="399">
        <v>0.14000000000000001</v>
      </c>
      <c r="R499" s="399"/>
      <c r="S499" s="399">
        <v>451.48</v>
      </c>
      <c r="T499" s="399">
        <v>144.41999999999999</v>
      </c>
      <c r="U499" s="399"/>
      <c r="V499" s="399">
        <v>83.426000000000016</v>
      </c>
      <c r="W499" s="399">
        <v>83.426000000000016</v>
      </c>
      <c r="X499" s="399">
        <v>82.815600000000003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14.274911484492682</v>
      </c>
      <c r="AE499" s="399">
        <v>46.467010576243887</v>
      </c>
      <c r="AF499" s="399">
        <v>20.21905530826804</v>
      </c>
      <c r="AG499" s="399">
        <v>0</v>
      </c>
      <c r="AH499" s="399">
        <v>0</v>
      </c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0.20367972662932862</v>
      </c>
      <c r="AO499" s="399">
        <v>0</v>
      </c>
      <c r="AP499" s="399">
        <v>0</v>
      </c>
      <c r="AQ499" s="399">
        <v>0</v>
      </c>
      <c r="AR499" s="399">
        <v>0</v>
      </c>
      <c r="AS499" s="399">
        <v>0</v>
      </c>
      <c r="AT499" s="399">
        <v>0</v>
      </c>
      <c r="AU499" s="399">
        <v>0</v>
      </c>
      <c r="AV499" s="399">
        <v>0</v>
      </c>
      <c r="AW499" s="399">
        <v>0</v>
      </c>
      <c r="AX499" s="399">
        <v>0</v>
      </c>
      <c r="AY499" s="399">
        <v>0</v>
      </c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>
        <v>0</v>
      </c>
      <c r="BG499" s="399">
        <v>2.2621654028837783</v>
      </c>
      <c r="BH499" s="399">
        <v>0</v>
      </c>
      <c r="BI499" s="399">
        <v>0</v>
      </c>
      <c r="BJ499" s="399">
        <v>0</v>
      </c>
      <c r="BK499" s="399">
        <v>6.02</v>
      </c>
      <c r="BL499" s="399">
        <v>0</v>
      </c>
      <c r="BM499" s="399"/>
      <c r="BN499" s="399"/>
      <c r="BO499" s="399"/>
      <c r="BP499" s="399"/>
      <c r="BQ499" s="399"/>
      <c r="BR499" s="399"/>
      <c r="BS499" s="399"/>
      <c r="BT499" s="399">
        <v>33.125399999999999</v>
      </c>
      <c r="BU499" s="399"/>
      <c r="BV499" s="399">
        <v>22.481220711151817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49.690199999999997</v>
      </c>
      <c r="CJ499" s="399">
        <v>-0.39540000000000219</v>
      </c>
      <c r="CK499" s="399"/>
      <c r="CL499" s="399"/>
      <c r="CM499" s="399"/>
      <c r="CN499" s="399"/>
      <c r="CO499" s="399">
        <v>-1.4280000000000066</v>
      </c>
      <c r="CP499" s="399">
        <v>0.81760000000000055</v>
      </c>
      <c r="CQ499" s="399">
        <v>31</v>
      </c>
      <c r="CR499" s="399">
        <v>1.4818868110735792</v>
      </c>
      <c r="CS499" s="399">
        <v>0</v>
      </c>
      <c r="CT499" s="399">
        <v>0</v>
      </c>
      <c r="CU499" s="399">
        <v>0</v>
      </c>
      <c r="CV499" s="399">
        <v>0</v>
      </c>
      <c r="CW499" s="399">
        <v>0</v>
      </c>
      <c r="CX499" s="399">
        <v>0</v>
      </c>
      <c r="CY499" s="399">
        <v>0</v>
      </c>
      <c r="CZ499" s="399">
        <v>0.59742433985345933</v>
      </c>
      <c r="DA499" s="399">
        <v>0</v>
      </c>
      <c r="DB499" s="399">
        <v>0</v>
      </c>
      <c r="DC499" s="399">
        <v>0.81757093576760553</v>
      </c>
      <c r="DD499" s="399">
        <v>0</v>
      </c>
      <c r="DE499" s="399">
        <v>0</v>
      </c>
      <c r="DF499" s="399">
        <v>0</v>
      </c>
      <c r="DG499" s="399">
        <v>9.1472161141983754E-2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>
        <v>0</v>
      </c>
      <c r="DN499" s="399">
        <v>0</v>
      </c>
      <c r="DO499" s="399">
        <v>0</v>
      </c>
      <c r="DP499" s="399">
        <v>-2.45806256894604E-2</v>
      </c>
      <c r="DQ499" s="399">
        <v>0</v>
      </c>
      <c r="DR499" s="399">
        <v>0</v>
      </c>
      <c r="DS499" s="399"/>
      <c r="DT499" s="399"/>
      <c r="DU499" s="399"/>
      <c r="DV499" s="399">
        <v>46.467010576243887</v>
      </c>
      <c r="DW499" s="399">
        <v>0</v>
      </c>
      <c r="DX499" s="399">
        <v>0</v>
      </c>
      <c r="DY499" s="399">
        <v>-1.4280000000000044</v>
      </c>
      <c r="DZ499" s="399">
        <v>0.81759999999999877</v>
      </c>
      <c r="EA499" s="399">
        <v>0</v>
      </c>
      <c r="EB499" s="399">
        <v>0</v>
      </c>
      <c r="EC499" s="399">
        <v>-2.0927454664037626</v>
      </c>
      <c r="ED499" s="399">
        <v>0</v>
      </c>
      <c r="EE499" s="399">
        <v>0</v>
      </c>
      <c r="EF499" s="399">
        <v>0</v>
      </c>
      <c r="EG499" s="399">
        <v>0</v>
      </c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>
        <v>0</v>
      </c>
      <c r="EN499" s="399">
        <v>0</v>
      </c>
      <c r="EO499" s="399">
        <v>0</v>
      </c>
      <c r="EP499" s="399">
        <v>0</v>
      </c>
      <c r="EQ499" s="399">
        <v>0</v>
      </c>
      <c r="ER499" s="399">
        <v>0</v>
      </c>
      <c r="ES499" s="399">
        <v>0</v>
      </c>
      <c r="ET499" s="399">
        <v>0</v>
      </c>
      <c r="EU499" s="399">
        <v>0</v>
      </c>
      <c r="EV499" s="399">
        <v>225</v>
      </c>
      <c r="EW499" s="399">
        <v>0</v>
      </c>
      <c r="EX499" s="399">
        <v>0</v>
      </c>
      <c r="EY499" s="399">
        <v>0</v>
      </c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498</v>
      </c>
      <c r="B500" s="399" t="s">
        <v>957</v>
      </c>
      <c r="C500" s="399" t="s">
        <v>2357</v>
      </c>
      <c r="D500" s="399" t="s">
        <v>1823</v>
      </c>
      <c r="E500" s="399" t="s">
        <v>890</v>
      </c>
      <c r="F500" s="399" t="s">
        <v>2363</v>
      </c>
      <c r="G500" s="399" t="s">
        <v>1240</v>
      </c>
      <c r="H500" s="399" t="s">
        <v>1240</v>
      </c>
      <c r="I500" s="399" t="s">
        <v>1240</v>
      </c>
      <c r="J500" s="399" t="s">
        <v>2358</v>
      </c>
      <c r="K500" s="789">
        <v>44743</v>
      </c>
      <c r="L500" s="399">
        <v>0</v>
      </c>
      <c r="M500" s="399">
        <v>0</v>
      </c>
      <c r="N500" s="399">
        <v>37.328000000000003</v>
      </c>
      <c r="O500" s="399">
        <v>37.328000000000003</v>
      </c>
      <c r="P500" s="399">
        <v>37.328000000000003</v>
      </c>
      <c r="Q500" s="399">
        <v>37.328000000000003</v>
      </c>
      <c r="R500" s="399"/>
      <c r="S500" s="399">
        <v>451.48</v>
      </c>
      <c r="T500" s="399">
        <v>144.41999999999999</v>
      </c>
      <c r="U500" s="399"/>
      <c r="V500" s="399">
        <v>22243.7552</v>
      </c>
      <c r="W500" s="399">
        <v>22243.7552</v>
      </c>
      <c r="X500" s="399">
        <v>22081.005119999998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3806.0992563795917</v>
      </c>
      <c r="AE500" s="399">
        <v>12389.432648500226</v>
      </c>
      <c r="AF500" s="399">
        <v>5390.9778324787812</v>
      </c>
      <c r="AG500" s="399">
        <v>0</v>
      </c>
      <c r="AH500" s="399">
        <v>0</v>
      </c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54.306834540139846</v>
      </c>
      <c r="AO500" s="399">
        <v>0</v>
      </c>
      <c r="AP500" s="399">
        <v>0</v>
      </c>
      <c r="AQ500" s="399">
        <v>0</v>
      </c>
      <c r="AR500" s="399">
        <v>0</v>
      </c>
      <c r="AS500" s="399">
        <v>0</v>
      </c>
      <c r="AT500" s="399">
        <v>0</v>
      </c>
      <c r="AU500" s="399">
        <v>0</v>
      </c>
      <c r="AV500" s="399">
        <v>0</v>
      </c>
      <c r="AW500" s="399">
        <v>0</v>
      </c>
      <c r="AX500" s="399">
        <v>0</v>
      </c>
      <c r="AY500" s="399">
        <v>0</v>
      </c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>
        <v>0</v>
      </c>
      <c r="BG500" s="399">
        <v>603.15792970604048</v>
      </c>
      <c r="BH500" s="399">
        <v>0</v>
      </c>
      <c r="BI500" s="399">
        <v>4.87</v>
      </c>
      <c r="BJ500" s="399">
        <v>22.88</v>
      </c>
      <c r="BK500" s="399">
        <v>2993.46</v>
      </c>
      <c r="BL500" s="399">
        <v>262</v>
      </c>
      <c r="BM500" s="399"/>
      <c r="BN500" s="399"/>
      <c r="BO500" s="399"/>
      <c r="BP500" s="399"/>
      <c r="BQ500" s="399"/>
      <c r="BR500" s="399"/>
      <c r="BS500" s="399"/>
      <c r="BT500" s="399">
        <v>2207.9511999999991</v>
      </c>
      <c r="BU500" s="399"/>
      <c r="BV500" s="399">
        <v>5994.1357621848219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19874.118699999999</v>
      </c>
      <c r="CJ500" s="399">
        <v>-145.66426000000138</v>
      </c>
      <c r="CK500" s="399"/>
      <c r="CL500" s="399"/>
      <c r="CM500" s="399"/>
      <c r="CN500" s="399"/>
      <c r="CO500" s="399">
        <v>-380.74560000000173</v>
      </c>
      <c r="CP500" s="399">
        <v>217.99552000000014</v>
      </c>
      <c r="CQ500" s="399">
        <v>31</v>
      </c>
      <c r="CR500" s="399">
        <v>395.11336345538984</v>
      </c>
      <c r="CS500" s="399">
        <v>0</v>
      </c>
      <c r="CT500" s="399">
        <v>0</v>
      </c>
      <c r="CU500" s="399">
        <v>0</v>
      </c>
      <c r="CV500" s="399">
        <v>0</v>
      </c>
      <c r="CW500" s="399">
        <v>0</v>
      </c>
      <c r="CX500" s="399">
        <v>0</v>
      </c>
      <c r="CY500" s="399">
        <v>0</v>
      </c>
      <c r="CZ500" s="399">
        <v>159.29039827178531</v>
      </c>
      <c r="DA500" s="399">
        <v>0</v>
      </c>
      <c r="DB500" s="399">
        <v>0</v>
      </c>
      <c r="DC500" s="399">
        <v>217.9877706452362</v>
      </c>
      <c r="DD500" s="399">
        <v>0</v>
      </c>
      <c r="DE500" s="399">
        <v>0</v>
      </c>
      <c r="DF500" s="399">
        <v>0</v>
      </c>
      <c r="DG500" s="399">
        <v>24.38909165077132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>
        <v>0</v>
      </c>
      <c r="DN500" s="399">
        <v>0</v>
      </c>
      <c r="DO500" s="399">
        <v>0</v>
      </c>
      <c r="DP500" s="399">
        <v>-6.5538971124012733</v>
      </c>
      <c r="DQ500" s="399">
        <v>0</v>
      </c>
      <c r="DR500" s="399">
        <v>0</v>
      </c>
      <c r="DS500" s="399"/>
      <c r="DT500" s="399"/>
      <c r="DU500" s="399"/>
      <c r="DV500" s="399">
        <v>12389.432648500226</v>
      </c>
      <c r="DW500" s="399">
        <v>0</v>
      </c>
      <c r="DX500" s="399">
        <v>0</v>
      </c>
      <c r="DY500" s="399">
        <v>-380.74560000000201</v>
      </c>
      <c r="DZ500" s="399">
        <v>217.9955200000004</v>
      </c>
      <c r="EA500" s="399">
        <v>0</v>
      </c>
      <c r="EB500" s="399">
        <v>0</v>
      </c>
      <c r="EC500" s="399">
        <v>-557.98573407085314</v>
      </c>
      <c r="ED500" s="399">
        <v>0</v>
      </c>
      <c r="EE500" s="399">
        <v>0</v>
      </c>
      <c r="EF500" s="399">
        <v>0</v>
      </c>
      <c r="EG500" s="399">
        <v>0</v>
      </c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>
        <v>0</v>
      </c>
      <c r="EN500" s="399">
        <v>0</v>
      </c>
      <c r="EO500" s="399">
        <v>0</v>
      </c>
      <c r="EP500" s="399">
        <v>0</v>
      </c>
      <c r="EQ500" s="399">
        <v>0</v>
      </c>
      <c r="ER500" s="399">
        <v>0</v>
      </c>
      <c r="ES500" s="399">
        <v>0</v>
      </c>
      <c r="ET500" s="399">
        <v>0</v>
      </c>
      <c r="EU500" s="399">
        <v>0</v>
      </c>
      <c r="EV500" s="399">
        <v>225</v>
      </c>
      <c r="EW500" s="399">
        <v>0</v>
      </c>
      <c r="EX500" s="399">
        <v>0</v>
      </c>
      <c r="EY500" s="399">
        <v>0</v>
      </c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499</v>
      </c>
      <c r="B501" s="399" t="s">
        <v>2359</v>
      </c>
      <c r="C501" s="399" t="s">
        <v>2357</v>
      </c>
      <c r="D501" s="399" t="s">
        <v>1823</v>
      </c>
      <c r="E501" s="399" t="s">
        <v>890</v>
      </c>
      <c r="F501" s="399" t="s">
        <v>2363</v>
      </c>
      <c r="G501" s="399" t="s">
        <v>1240</v>
      </c>
      <c r="H501" s="399" t="s">
        <v>1240</v>
      </c>
      <c r="I501" s="399" t="s">
        <v>1240</v>
      </c>
      <c r="J501" s="399" t="s">
        <v>2358</v>
      </c>
      <c r="K501" s="789">
        <v>44743</v>
      </c>
      <c r="L501" s="399">
        <v>0</v>
      </c>
      <c r="M501" s="399">
        <v>0</v>
      </c>
      <c r="N501" s="399">
        <v>0.13200000000000001</v>
      </c>
      <c r="O501" s="399">
        <v>0.13200000000000001</v>
      </c>
      <c r="P501" s="399">
        <v>0.13200000000000001</v>
      </c>
      <c r="Q501" s="399">
        <v>0.13200000000000001</v>
      </c>
      <c r="R501" s="399"/>
      <c r="S501" s="399">
        <v>451.48</v>
      </c>
      <c r="T501" s="399">
        <v>144.41999999999999</v>
      </c>
      <c r="U501" s="399"/>
      <c r="V501" s="399">
        <v>78.658800000000014</v>
      </c>
      <c r="W501" s="399">
        <v>78.658800000000014</v>
      </c>
      <c r="X501" s="399">
        <v>78.083280000000002</v>
      </c>
      <c r="Y501" s="399">
        <v>0</v>
      </c>
      <c r="Z501" s="399">
        <v>0</v>
      </c>
      <c r="AA501" s="399">
        <v>0</v>
      </c>
      <c r="AB501" s="399">
        <v>0</v>
      </c>
      <c r="AC501" s="399">
        <v>0</v>
      </c>
      <c r="AD501" s="399">
        <v>13.459202256807385</v>
      </c>
      <c r="AE501" s="399">
        <v>43.811752829029949</v>
      </c>
      <c r="AF501" s="399">
        <v>19.063680719224152</v>
      </c>
      <c r="AG501" s="399">
        <v>0</v>
      </c>
      <c r="AH501" s="399">
        <v>0</v>
      </c>
      <c r="AI501" s="399">
        <v>0</v>
      </c>
      <c r="AJ501" s="399">
        <v>0</v>
      </c>
      <c r="AK501" s="399">
        <v>0</v>
      </c>
      <c r="AL501" s="399">
        <v>0</v>
      </c>
      <c r="AM501" s="399"/>
      <c r="AN501" s="399">
        <v>0.19204088510765269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2.1328988084332763</v>
      </c>
      <c r="BH501" s="399">
        <v>0</v>
      </c>
      <c r="BI501" s="399">
        <v>0</v>
      </c>
      <c r="BJ501" s="399">
        <v>0</v>
      </c>
      <c r="BK501" s="399">
        <v>15.05</v>
      </c>
      <c r="BL501" s="399">
        <v>0</v>
      </c>
      <c r="BM501" s="399"/>
      <c r="BN501" s="399"/>
      <c r="BO501" s="399"/>
      <c r="BP501" s="399"/>
      <c r="BQ501" s="399"/>
      <c r="BR501" s="399"/>
      <c r="BS501" s="399"/>
      <c r="BT501" s="399">
        <v>7.8077999999999967</v>
      </c>
      <c r="BU501" s="399"/>
      <c r="BV501" s="399">
        <v>21.196579527657427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69.210700000000003</v>
      </c>
      <c r="CJ501" s="399">
        <v>-1.6135400000000004</v>
      </c>
      <c r="CK501" s="399"/>
      <c r="CL501" s="399"/>
      <c r="CM501" s="399"/>
      <c r="CN501" s="399"/>
      <c r="CO501" s="399">
        <v>-1.346400000000006</v>
      </c>
      <c r="CP501" s="399">
        <v>0.77088000000000045</v>
      </c>
      <c r="CQ501" s="399">
        <v>31</v>
      </c>
      <c r="CR501" s="399">
        <v>1.3972075647265214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0.56328580614754742</v>
      </c>
      <c r="DA501" s="399">
        <v>0</v>
      </c>
      <c r="DB501" s="399">
        <v>0</v>
      </c>
      <c r="DC501" s="399">
        <v>0.7708525965808839</v>
      </c>
      <c r="DD501" s="399">
        <v>0</v>
      </c>
      <c r="DE501" s="399">
        <v>0</v>
      </c>
      <c r="DF501" s="399">
        <v>0</v>
      </c>
      <c r="DG501" s="399">
        <v>8.6245180505299501E-2</v>
      </c>
      <c r="DH501" s="399">
        <v>0</v>
      </c>
      <c r="DI501" s="399">
        <v>0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0</v>
      </c>
      <c r="DP501" s="399">
        <v>-2.317601850720552E-2</v>
      </c>
      <c r="DQ501" s="399">
        <v>0</v>
      </c>
      <c r="DR501" s="399">
        <v>0</v>
      </c>
      <c r="DS501" s="399"/>
      <c r="DT501" s="399"/>
      <c r="DU501" s="399"/>
      <c r="DV501" s="399">
        <v>43.811752829029949</v>
      </c>
      <c r="DW501" s="399">
        <v>0</v>
      </c>
      <c r="DX501" s="399">
        <v>0</v>
      </c>
      <c r="DY501" s="399">
        <v>-1.3464000000000098</v>
      </c>
      <c r="DZ501" s="399">
        <v>0.77087999999999823</v>
      </c>
      <c r="EA501" s="399">
        <v>0</v>
      </c>
      <c r="EB501" s="399">
        <v>0</v>
      </c>
      <c r="EC501" s="399">
        <v>-1.9731600111806955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0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225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500</v>
      </c>
      <c r="B502" s="399" t="s">
        <v>957</v>
      </c>
      <c r="C502" s="399" t="s">
        <v>2357</v>
      </c>
      <c r="D502" s="399" t="s">
        <v>1823</v>
      </c>
      <c r="E502" s="399" t="s">
        <v>890</v>
      </c>
      <c r="F502" s="399" t="s">
        <v>2364</v>
      </c>
      <c r="G502" s="399" t="s">
        <v>1240</v>
      </c>
      <c r="H502" s="399" t="s">
        <v>1240</v>
      </c>
      <c r="I502" s="399" t="s">
        <v>1240</v>
      </c>
      <c r="J502" s="399" t="s">
        <v>2358</v>
      </c>
      <c r="K502" s="789">
        <v>44743</v>
      </c>
      <c r="L502" s="399">
        <v>0</v>
      </c>
      <c r="M502" s="399">
        <v>0</v>
      </c>
      <c r="N502" s="399">
        <v>18.992000000000001</v>
      </c>
      <c r="O502" s="399">
        <v>18.992000000000001</v>
      </c>
      <c r="P502" s="399">
        <v>18.992000000000001</v>
      </c>
      <c r="Q502" s="399">
        <v>18.992000000000001</v>
      </c>
      <c r="R502" s="399"/>
      <c r="S502" s="399">
        <v>451.48</v>
      </c>
      <c r="T502" s="399">
        <v>144.41999999999999</v>
      </c>
      <c r="U502" s="399"/>
      <c r="V502" s="399">
        <v>11317.3328</v>
      </c>
      <c r="W502" s="399">
        <v>11317.3328</v>
      </c>
      <c r="X502" s="399">
        <v>11234.527679999999</v>
      </c>
      <c r="Y502" s="399">
        <v>0</v>
      </c>
      <c r="Z502" s="399">
        <v>0</v>
      </c>
      <c r="AA502" s="399">
        <v>0</v>
      </c>
      <c r="AB502" s="399">
        <v>0</v>
      </c>
      <c r="AC502" s="399">
        <v>0</v>
      </c>
      <c r="AD502" s="399">
        <v>1936.4937065248928</v>
      </c>
      <c r="AE502" s="399">
        <v>6303.581891885884</v>
      </c>
      <c r="AF502" s="399">
        <v>2742.85927439019</v>
      </c>
      <c r="AG502" s="399">
        <v>0</v>
      </c>
      <c r="AH502" s="399">
        <v>0</v>
      </c>
      <c r="AI502" s="399">
        <v>0</v>
      </c>
      <c r="AJ502" s="399">
        <v>0</v>
      </c>
      <c r="AK502" s="399">
        <v>0</v>
      </c>
      <c r="AL502" s="399">
        <v>0</v>
      </c>
      <c r="AM502" s="399"/>
      <c r="AN502" s="399">
        <v>27.630609772458634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306.87889522549079</v>
      </c>
      <c r="BH502" s="399">
        <v>0</v>
      </c>
      <c r="BI502" s="399">
        <v>1.99</v>
      </c>
      <c r="BJ502" s="399">
        <v>9.2200000000000006</v>
      </c>
      <c r="BK502" s="399">
        <v>2047.51</v>
      </c>
      <c r="BL502" s="399">
        <v>189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>
        <v>3049.7381696156808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11233.3446</v>
      </c>
      <c r="CJ502" s="399">
        <v>-84.018200000000434</v>
      </c>
      <c r="CK502" s="399"/>
      <c r="CL502" s="399"/>
      <c r="CM502" s="399"/>
      <c r="CN502" s="399"/>
      <c r="CO502" s="399">
        <v>-193.71840000000088</v>
      </c>
      <c r="CP502" s="399">
        <v>110.91328000000007</v>
      </c>
      <c r="CQ502" s="399">
        <v>31</v>
      </c>
      <c r="CR502" s="399">
        <v>201.02853082792626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81.044879017835001</v>
      </c>
      <c r="DA502" s="399">
        <v>0</v>
      </c>
      <c r="DB502" s="399">
        <v>0</v>
      </c>
      <c r="DC502" s="399">
        <v>110.90933722927366</v>
      </c>
      <c r="DD502" s="399">
        <v>0</v>
      </c>
      <c r="DE502" s="399">
        <v>0</v>
      </c>
      <c r="DF502" s="399">
        <v>0</v>
      </c>
      <c r="DG502" s="399">
        <v>12.408852031489744</v>
      </c>
      <c r="DH502" s="399">
        <v>0</v>
      </c>
      <c r="DI502" s="399">
        <v>0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0</v>
      </c>
      <c r="DP502" s="399">
        <v>-3.3345374506730856</v>
      </c>
      <c r="DQ502" s="399">
        <v>0</v>
      </c>
      <c r="DR502" s="399">
        <v>0</v>
      </c>
      <c r="DS502" s="399"/>
      <c r="DT502" s="399"/>
      <c r="DU502" s="399"/>
      <c r="DV502" s="399">
        <v>6303.581891885884</v>
      </c>
      <c r="DW502" s="399">
        <v>0</v>
      </c>
      <c r="DX502" s="399">
        <v>0</v>
      </c>
      <c r="DY502" s="399">
        <v>-193.71840000000157</v>
      </c>
      <c r="DZ502" s="399">
        <v>110.91328000000021</v>
      </c>
      <c r="EA502" s="399">
        <v>0</v>
      </c>
      <c r="EB502" s="399">
        <v>0</v>
      </c>
      <c r="EC502" s="399">
        <v>-283.8958706995727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0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225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501</v>
      </c>
      <c r="B503" s="399" t="s">
        <v>2359</v>
      </c>
      <c r="C503" s="399" t="s">
        <v>2357</v>
      </c>
      <c r="D503" s="399" t="s">
        <v>1823</v>
      </c>
      <c r="E503" s="399" t="s">
        <v>890</v>
      </c>
      <c r="F503" s="399" t="s">
        <v>2364</v>
      </c>
      <c r="G503" s="399" t="s">
        <v>1240</v>
      </c>
      <c r="H503" s="399" t="s">
        <v>1240</v>
      </c>
      <c r="I503" s="399" t="s">
        <v>1240</v>
      </c>
      <c r="J503" s="399" t="s">
        <v>2358</v>
      </c>
      <c r="K503" s="789">
        <v>44743</v>
      </c>
      <c r="L503" s="399">
        <v>0</v>
      </c>
      <c r="M503" s="399">
        <v>0</v>
      </c>
      <c r="N503" s="399">
        <v>0.313</v>
      </c>
      <c r="O503" s="399">
        <v>0.313</v>
      </c>
      <c r="P503" s="399">
        <v>0.313</v>
      </c>
      <c r="Q503" s="399">
        <v>0.313</v>
      </c>
      <c r="R503" s="399"/>
      <c r="S503" s="399">
        <v>451.48</v>
      </c>
      <c r="T503" s="399">
        <v>144.41999999999999</v>
      </c>
      <c r="U503" s="399"/>
      <c r="V503" s="399">
        <v>186.51670000000001</v>
      </c>
      <c r="W503" s="399">
        <v>186.51670000000001</v>
      </c>
      <c r="X503" s="399">
        <v>185.15201999999999</v>
      </c>
      <c r="Y503" s="399">
        <v>0</v>
      </c>
      <c r="Z503" s="399">
        <v>0</v>
      </c>
      <c r="AA503" s="399">
        <v>0</v>
      </c>
      <c r="AB503" s="399">
        <v>0</v>
      </c>
      <c r="AC503" s="399">
        <v>0</v>
      </c>
      <c r="AD503" s="399">
        <v>31.914623533187207</v>
      </c>
      <c r="AE503" s="399">
        <v>103.88695935974525</v>
      </c>
      <c r="AF503" s="399">
        <v>45.204030796342117</v>
      </c>
      <c r="AG503" s="399">
        <v>0</v>
      </c>
      <c r="AH503" s="399">
        <v>0</v>
      </c>
      <c r="AI503" s="399">
        <v>0</v>
      </c>
      <c r="AJ503" s="399">
        <v>0</v>
      </c>
      <c r="AK503" s="399">
        <v>0</v>
      </c>
      <c r="AL503" s="399">
        <v>0</v>
      </c>
      <c r="AM503" s="399"/>
      <c r="AN503" s="399">
        <v>0.45536967453557037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5.0575555078758754</v>
      </c>
      <c r="BH503" s="399">
        <v>0</v>
      </c>
      <c r="BI503" s="399">
        <v>0</v>
      </c>
      <c r="BJ503" s="399">
        <v>0</v>
      </c>
      <c r="BK503" s="399">
        <v>54.84</v>
      </c>
      <c r="BL503" s="399">
        <v>0</v>
      </c>
      <c r="BM503" s="399"/>
      <c r="BN503" s="399"/>
      <c r="BO503" s="399"/>
      <c r="BP503" s="399"/>
      <c r="BQ503" s="399"/>
      <c r="BR503" s="399"/>
      <c r="BS503" s="399"/>
      <c r="BT503" s="399"/>
      <c r="BU503" s="399"/>
      <c r="BV503" s="399">
        <v>50.261586304217992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183.37739999999999</v>
      </c>
      <c r="CJ503" s="399">
        <v>-3.1692999999999927</v>
      </c>
      <c r="CK503" s="399"/>
      <c r="CL503" s="399"/>
      <c r="CM503" s="399"/>
      <c r="CN503" s="399"/>
      <c r="CO503" s="399">
        <v>-3.1926000000000143</v>
      </c>
      <c r="CP503" s="399">
        <v>1.8279200000000011</v>
      </c>
      <c r="CQ503" s="399">
        <v>31</v>
      </c>
      <c r="CR503" s="399">
        <v>3.3130755133287977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1.3356701312438055</v>
      </c>
      <c r="DA503" s="399">
        <v>0</v>
      </c>
      <c r="DB503" s="399">
        <v>0</v>
      </c>
      <c r="DC503" s="399">
        <v>1.827855020680424</v>
      </c>
      <c r="DD503" s="399">
        <v>0</v>
      </c>
      <c r="DE503" s="399">
        <v>0</v>
      </c>
      <c r="DF503" s="399">
        <v>0</v>
      </c>
      <c r="DG503" s="399">
        <v>0.20450561741029283</v>
      </c>
      <c r="DH503" s="399">
        <v>0</v>
      </c>
      <c r="DI503" s="399">
        <v>0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0</v>
      </c>
      <c r="DP503" s="399">
        <v>-5.4955256005722208E-2</v>
      </c>
      <c r="DQ503" s="399">
        <v>0</v>
      </c>
      <c r="DR503" s="399">
        <v>0</v>
      </c>
      <c r="DS503" s="399"/>
      <c r="DT503" s="399"/>
      <c r="DU503" s="399"/>
      <c r="DV503" s="399">
        <v>103.88695935974525</v>
      </c>
      <c r="DW503" s="399">
        <v>0</v>
      </c>
      <c r="DX503" s="399">
        <v>0</v>
      </c>
      <c r="DY503" s="399">
        <v>-3.1926000000000272</v>
      </c>
      <c r="DZ503" s="399">
        <v>1.827920000000006</v>
      </c>
      <c r="EA503" s="399">
        <v>0</v>
      </c>
      <c r="EB503" s="399">
        <v>0</v>
      </c>
      <c r="EC503" s="399">
        <v>-4.6787809356027026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0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225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502</v>
      </c>
      <c r="B504" s="399" t="s">
        <v>957</v>
      </c>
      <c r="C504" s="399" t="s">
        <v>2357</v>
      </c>
      <c r="D504" s="399" t="s">
        <v>1826</v>
      </c>
      <c r="E504" s="399" t="s">
        <v>891</v>
      </c>
      <c r="F504" s="399" t="s">
        <v>1240</v>
      </c>
      <c r="G504" s="399" t="s">
        <v>1240</v>
      </c>
      <c r="H504" s="399" t="s">
        <v>1240</v>
      </c>
      <c r="I504" s="399" t="s">
        <v>1240</v>
      </c>
      <c r="J504" s="399" t="s">
        <v>2358</v>
      </c>
      <c r="K504" s="789">
        <v>44743</v>
      </c>
      <c r="L504" s="399">
        <v>0</v>
      </c>
      <c r="M504" s="399">
        <v>0</v>
      </c>
      <c r="N504" s="399">
        <v>353.32600000000002</v>
      </c>
      <c r="O504" s="399">
        <v>353.32600000000002</v>
      </c>
      <c r="P504" s="399">
        <v>353.32600000000002</v>
      </c>
      <c r="Q504" s="399">
        <v>353.32600000000002</v>
      </c>
      <c r="R504" s="399"/>
      <c r="S504" s="399">
        <v>522.37</v>
      </c>
      <c r="T504" s="399">
        <v>144.41999999999999</v>
      </c>
      <c r="U504" s="399"/>
      <c r="V504" s="399">
        <v>235594.24354</v>
      </c>
      <c r="W504" s="399">
        <v>235594.24354</v>
      </c>
      <c r="X504" s="399">
        <v>230276.68724</v>
      </c>
      <c r="Y504" s="399">
        <v>0</v>
      </c>
      <c r="Z504" s="399">
        <v>21694.561046573734</v>
      </c>
      <c r="AA504" s="399">
        <v>0</v>
      </c>
      <c r="AB504" s="399">
        <v>0</v>
      </c>
      <c r="AC504" s="399">
        <v>0</v>
      </c>
      <c r="AD504" s="399">
        <v>36026.409822641865</v>
      </c>
      <c r="AE504" s="399">
        <v>117271.44984901389</v>
      </c>
      <c r="AF504" s="399">
        <v>51027.985256065098</v>
      </c>
      <c r="AG504" s="399">
        <v>0</v>
      </c>
      <c r="AH504" s="399">
        <v>0</v>
      </c>
      <c r="AI504" s="399">
        <v>0</v>
      </c>
      <c r="AJ504" s="399">
        <v>0</v>
      </c>
      <c r="AK504" s="399">
        <v>0</v>
      </c>
      <c r="AL504" s="399">
        <v>3350.5041238425961</v>
      </c>
      <c r="AM504" s="399"/>
      <c r="AN504" s="399">
        <v>514.03816493595832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5709.1560938522416</v>
      </c>
      <c r="BH504" s="399">
        <v>0</v>
      </c>
      <c r="BI504" s="399">
        <v>25.91</v>
      </c>
      <c r="BJ504" s="399">
        <v>119.1</v>
      </c>
      <c r="BK504" s="399">
        <v>42135.12</v>
      </c>
      <c r="BL504" s="399">
        <v>575</v>
      </c>
      <c r="BM504" s="399"/>
      <c r="BN504" s="399"/>
      <c r="BO504" s="399"/>
      <c r="BP504" s="399"/>
      <c r="BQ504" s="399"/>
      <c r="BR504" s="399"/>
      <c r="BS504" s="399"/>
      <c r="BT504" s="399"/>
      <c r="BU504" s="399"/>
      <c r="BV504" s="399">
        <v>56737.141349917336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230279.2942</v>
      </c>
      <c r="CJ504" s="399">
        <v>-5314.9793400000199</v>
      </c>
      <c r="CK504" s="399"/>
      <c r="CL504" s="399"/>
      <c r="CM504" s="399"/>
      <c r="CN504" s="399"/>
      <c r="CO504" s="399">
        <v>-7380.980139999996</v>
      </c>
      <c r="CP504" s="399">
        <v>2063.4238400000013</v>
      </c>
      <c r="CQ504" s="399">
        <v>31</v>
      </c>
      <c r="CR504" s="399">
        <v>-33.911789754740312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1507.7539450218828</v>
      </c>
      <c r="DA504" s="399">
        <v>0</v>
      </c>
      <c r="DB504" s="399">
        <v>0</v>
      </c>
      <c r="DC504" s="399">
        <v>2063.3504889358883</v>
      </c>
      <c r="DD504" s="399">
        <v>0</v>
      </c>
      <c r="DE504" s="399">
        <v>0</v>
      </c>
      <c r="DF504" s="399">
        <v>0</v>
      </c>
      <c r="DG504" s="399">
        <v>230.8535200546612</v>
      </c>
      <c r="DH504" s="399">
        <v>0</v>
      </c>
      <c r="DI504" s="399">
        <v>-3332.959604290696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-440.87460981679078</v>
      </c>
      <c r="DP504" s="399">
        <v>-62.0355296596735</v>
      </c>
      <c r="DQ504" s="399">
        <v>0</v>
      </c>
      <c r="DR504" s="399">
        <v>0</v>
      </c>
      <c r="DS504" s="399"/>
      <c r="DT504" s="399"/>
      <c r="DU504" s="399"/>
      <c r="DV504" s="399">
        <v>117271.44984901389</v>
      </c>
      <c r="DW504" s="399">
        <v>0</v>
      </c>
      <c r="DX504" s="399">
        <v>0</v>
      </c>
      <c r="DY504" s="399">
        <v>-7380.9801399999997</v>
      </c>
      <c r="DZ504" s="399">
        <v>2063.4238399999958</v>
      </c>
      <c r="EA504" s="399">
        <v>0</v>
      </c>
      <c r="EB504" s="399">
        <v>0</v>
      </c>
      <c r="EC504" s="399">
        <v>-5281.5813190183981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0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225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503</v>
      </c>
      <c r="B505" s="399" t="s">
        <v>2360</v>
      </c>
      <c r="C505" s="399" t="s">
        <v>2357</v>
      </c>
      <c r="D505" s="399" t="s">
        <v>1826</v>
      </c>
      <c r="E505" s="399" t="s">
        <v>891</v>
      </c>
      <c r="F505" s="399" t="s">
        <v>1240</v>
      </c>
      <c r="G505" s="399" t="s">
        <v>1240</v>
      </c>
      <c r="H505" s="399" t="s">
        <v>1240</v>
      </c>
      <c r="I505" s="399" t="s">
        <v>1240</v>
      </c>
      <c r="J505" s="399" t="s">
        <v>2358</v>
      </c>
      <c r="K505" s="789">
        <v>44743</v>
      </c>
      <c r="L505" s="399">
        <v>0</v>
      </c>
      <c r="M505" s="399">
        <v>0</v>
      </c>
      <c r="N505" s="399">
        <v>15.151</v>
      </c>
      <c r="O505" s="399">
        <v>15.151</v>
      </c>
      <c r="P505" s="399">
        <v>15.151</v>
      </c>
      <c r="Q505" s="399">
        <v>15.151</v>
      </c>
      <c r="R505" s="399"/>
      <c r="S505" s="399">
        <v>522.37</v>
      </c>
      <c r="T505" s="399">
        <v>144.41999999999999</v>
      </c>
      <c r="U505" s="399"/>
      <c r="V505" s="399">
        <v>10102.53529</v>
      </c>
      <c r="W505" s="399">
        <v>10102.53529</v>
      </c>
      <c r="X505" s="399">
        <v>9874.5127400000001</v>
      </c>
      <c r="Y505" s="399">
        <v>0</v>
      </c>
      <c r="Z505" s="399">
        <v>930.28617881683942</v>
      </c>
      <c r="AA505" s="399">
        <v>0</v>
      </c>
      <c r="AB505" s="399">
        <v>0</v>
      </c>
      <c r="AC505" s="399">
        <v>0</v>
      </c>
      <c r="AD505" s="399">
        <v>1544.8513135824899</v>
      </c>
      <c r="AE505" s="399">
        <v>5028.7262660047927</v>
      </c>
      <c r="AF505" s="399">
        <v>2188.1350498254933</v>
      </c>
      <c r="AG505" s="399">
        <v>0</v>
      </c>
      <c r="AH505" s="399">
        <v>0</v>
      </c>
      <c r="AI505" s="399">
        <v>0</v>
      </c>
      <c r="AJ505" s="399">
        <v>0</v>
      </c>
      <c r="AK505" s="399">
        <v>0</v>
      </c>
      <c r="AL505" s="399">
        <v>143.67323089820496</v>
      </c>
      <c r="AM505" s="399"/>
      <c r="AN505" s="399">
        <v>22.042510986863981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244.81477156494373</v>
      </c>
      <c r="BH505" s="399">
        <v>0</v>
      </c>
      <c r="BI505" s="399">
        <v>0</v>
      </c>
      <c r="BJ505" s="399">
        <v>0</v>
      </c>
      <c r="BK505" s="399">
        <v>4498.63</v>
      </c>
      <c r="BL505" s="399">
        <v>11</v>
      </c>
      <c r="BM505" s="399"/>
      <c r="BN505" s="399"/>
      <c r="BO505" s="399"/>
      <c r="BP505" s="399"/>
      <c r="BQ505" s="399"/>
      <c r="BR505" s="399"/>
      <c r="BS505" s="399"/>
      <c r="BT505" s="399"/>
      <c r="BU505" s="399"/>
      <c r="BV505" s="399">
        <v>2432.9498213904371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9873.8610000000008</v>
      </c>
      <c r="CJ505" s="399">
        <v>-228.70428999999967</v>
      </c>
      <c r="CK505" s="399"/>
      <c r="CL505" s="399"/>
      <c r="CM505" s="399"/>
      <c r="CN505" s="399"/>
      <c r="CO505" s="399">
        <v>-316.50438999999977</v>
      </c>
      <c r="CP505" s="399">
        <v>88.481840000000048</v>
      </c>
      <c r="CQ505" s="399">
        <v>31</v>
      </c>
      <c r="CR505" s="399">
        <v>-1.4541741241046111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64.654115522284201</v>
      </c>
      <c r="DA505" s="399">
        <v>0</v>
      </c>
      <c r="DB505" s="399">
        <v>0</v>
      </c>
      <c r="DC505" s="399">
        <v>88.478694627249752</v>
      </c>
      <c r="DD505" s="399">
        <v>0</v>
      </c>
      <c r="DE505" s="399">
        <v>0</v>
      </c>
      <c r="DF505" s="399">
        <v>0</v>
      </c>
      <c r="DG505" s="399">
        <v>9.8992479533014262</v>
      </c>
      <c r="DH505" s="399">
        <v>0</v>
      </c>
      <c r="DI505" s="399">
        <v>-142.92090297517962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-18.905178824468592</v>
      </c>
      <c r="DP505" s="399">
        <v>-2.6601504272929581</v>
      </c>
      <c r="DQ505" s="399">
        <v>0</v>
      </c>
      <c r="DR505" s="399">
        <v>0</v>
      </c>
      <c r="DS505" s="399"/>
      <c r="DT505" s="399"/>
      <c r="DU505" s="399"/>
      <c r="DV505" s="399">
        <v>5028.7262660047927</v>
      </c>
      <c r="DW505" s="399">
        <v>0</v>
      </c>
      <c r="DX505" s="399">
        <v>0</v>
      </c>
      <c r="DY505" s="399">
        <v>-316.50438999999915</v>
      </c>
      <c r="DZ505" s="399">
        <v>88.48183999999992</v>
      </c>
      <c r="EA505" s="399">
        <v>0</v>
      </c>
      <c r="EB505" s="399">
        <v>0</v>
      </c>
      <c r="EC505" s="399">
        <v>-226.47990401059542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0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225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504</v>
      </c>
      <c r="B506" s="399" t="s">
        <v>957</v>
      </c>
      <c r="C506" s="399" t="s">
        <v>2365</v>
      </c>
      <c r="D506" s="399" t="s">
        <v>534</v>
      </c>
      <c r="E506" s="399" t="s">
        <v>891</v>
      </c>
      <c r="F506" s="399" t="s">
        <v>1240</v>
      </c>
      <c r="G506" s="399" t="s">
        <v>1240</v>
      </c>
      <c r="H506" s="399" t="s">
        <v>1240</v>
      </c>
      <c r="I506" s="399" t="s">
        <v>894</v>
      </c>
      <c r="J506" s="399" t="s">
        <v>2358</v>
      </c>
      <c r="K506" s="789">
        <v>44743</v>
      </c>
      <c r="L506" s="399">
        <v>105</v>
      </c>
      <c r="M506" s="399">
        <v>105</v>
      </c>
      <c r="N506" s="399">
        <v>3.5680000000000001</v>
      </c>
      <c r="O506" s="399">
        <v>3.5680000000000001</v>
      </c>
      <c r="P506" s="399">
        <v>3.5680000000000001</v>
      </c>
      <c r="Q506" s="399">
        <v>3.5680000000000001</v>
      </c>
      <c r="R506" s="399">
        <v>111</v>
      </c>
      <c r="S506" s="399">
        <v>69.64</v>
      </c>
      <c r="T506" s="399">
        <v>144.41999999999999</v>
      </c>
      <c r="U506" s="399">
        <v>11655</v>
      </c>
      <c r="V506" s="399">
        <v>763.76607999999987</v>
      </c>
      <c r="W506" s="399">
        <v>12418.766079999999</v>
      </c>
      <c r="X506" s="399">
        <v>12166.113519999999</v>
      </c>
      <c r="Y506" s="399">
        <v>0</v>
      </c>
      <c r="Z506" s="399">
        <v>190.59845190654616</v>
      </c>
      <c r="AA506" s="399">
        <v>0</v>
      </c>
      <c r="AB506" s="399">
        <v>0</v>
      </c>
      <c r="AC506" s="399">
        <v>0</v>
      </c>
      <c r="AD506" s="399">
        <v>3280.7576257730502</v>
      </c>
      <c r="AE506" s="399">
        <v>8373.8629100487578</v>
      </c>
      <c r="AF506" s="399">
        <v>515.29706671357405</v>
      </c>
      <c r="AG506" s="399">
        <v>0</v>
      </c>
      <c r="AH506" s="399">
        <v>0</v>
      </c>
      <c r="AI506" s="399">
        <v>0</v>
      </c>
      <c r="AJ506" s="399">
        <v>0</v>
      </c>
      <c r="AK506" s="399">
        <v>0</v>
      </c>
      <c r="AL506" s="399">
        <v>33.834472169810269</v>
      </c>
      <c r="AM506" s="399"/>
      <c r="AN506" s="399">
        <v>1.7757408059101067</v>
      </c>
      <c r="AO506" s="399">
        <v>0</v>
      </c>
      <c r="AP506" s="399">
        <v>0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22.259333346547681</v>
      </c>
      <c r="BH506" s="399">
        <v>0</v>
      </c>
      <c r="BI506" s="399">
        <v>0</v>
      </c>
      <c r="BJ506" s="399">
        <v>0</v>
      </c>
      <c r="BK506" s="399">
        <v>0</v>
      </c>
      <c r="BL506" s="399">
        <v>0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>
        <v>537.55640006012175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12166.534799999999</v>
      </c>
      <c r="CJ506" s="399">
        <v>-252.26128000000062</v>
      </c>
      <c r="CK506" s="399"/>
      <c r="CL506" s="399"/>
      <c r="CM506" s="399"/>
      <c r="CN506" s="399"/>
      <c r="CO506" s="399">
        <v>-273.48968000000065</v>
      </c>
      <c r="CP506" s="399">
        <v>20.837120000000013</v>
      </c>
      <c r="CQ506" s="399">
        <v>31</v>
      </c>
      <c r="CR506" s="399">
        <v>125.09234311352384</v>
      </c>
      <c r="CS506" s="399">
        <v>0</v>
      </c>
      <c r="CT506" s="399">
        <v>0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137.30414096967797</v>
      </c>
      <c r="DA506" s="399">
        <v>0</v>
      </c>
      <c r="DB506" s="399">
        <v>0</v>
      </c>
      <c r="DC506" s="399">
        <v>20.83637927727716</v>
      </c>
      <c r="DD506" s="399">
        <v>0</v>
      </c>
      <c r="DE506" s="399">
        <v>0</v>
      </c>
      <c r="DF506" s="399">
        <v>0</v>
      </c>
      <c r="DG506" s="399">
        <v>0.90007093389053594</v>
      </c>
      <c r="DH506" s="399">
        <v>0</v>
      </c>
      <c r="DI506" s="399">
        <v>-29.281852694834129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-4.4520941222166215</v>
      </c>
      <c r="DP506" s="399">
        <v>-0.21430125027128222</v>
      </c>
      <c r="DQ506" s="399">
        <v>0</v>
      </c>
      <c r="DR506" s="399">
        <v>0</v>
      </c>
      <c r="DS506" s="399"/>
      <c r="DT506" s="399"/>
      <c r="DU506" s="399">
        <v>8373.8629100487578</v>
      </c>
      <c r="DV506" s="399">
        <v>0</v>
      </c>
      <c r="DW506" s="399">
        <v>0</v>
      </c>
      <c r="DX506" s="399">
        <v>0</v>
      </c>
      <c r="DY506" s="399">
        <v>-273.48968000000059</v>
      </c>
      <c r="DZ506" s="399">
        <v>20.837120000000027</v>
      </c>
      <c r="EA506" s="399">
        <v>0</v>
      </c>
      <c r="EB506" s="399">
        <v>0</v>
      </c>
      <c r="EC506" s="399">
        <v>-377.13559413377425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0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225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505</v>
      </c>
      <c r="B507" s="399" t="s">
        <v>957</v>
      </c>
      <c r="C507" s="399" t="s">
        <v>2365</v>
      </c>
      <c r="D507" s="399" t="s">
        <v>534</v>
      </c>
      <c r="E507" s="399" t="s">
        <v>891</v>
      </c>
      <c r="F507" s="399" t="s">
        <v>1240</v>
      </c>
      <c r="G507" s="399" t="s">
        <v>1240</v>
      </c>
      <c r="H507" s="399" t="s">
        <v>1240</v>
      </c>
      <c r="I507" s="399" t="s">
        <v>2328</v>
      </c>
      <c r="J507" s="399" t="s">
        <v>2358</v>
      </c>
      <c r="K507" s="789">
        <v>44743</v>
      </c>
      <c r="L507" s="399">
        <v>3995</v>
      </c>
      <c r="M507" s="399">
        <v>3995</v>
      </c>
      <c r="N507" s="399">
        <v>1469.89</v>
      </c>
      <c r="O507" s="399">
        <v>1469.89</v>
      </c>
      <c r="P507" s="399">
        <v>1469.89</v>
      </c>
      <c r="Q507" s="399">
        <v>1469.89</v>
      </c>
      <c r="R507" s="399">
        <v>34.950000000000003</v>
      </c>
      <c r="S507" s="399">
        <v>69.64</v>
      </c>
      <c r="T507" s="399">
        <v>144.41999999999999</v>
      </c>
      <c r="U507" s="399">
        <v>139625.25</v>
      </c>
      <c r="V507" s="399">
        <v>314644.65340000001</v>
      </c>
      <c r="W507" s="399">
        <v>454269.90339999995</v>
      </c>
      <c r="X507" s="399">
        <v>447365.22959999996</v>
      </c>
      <c r="Y507" s="399">
        <v>0</v>
      </c>
      <c r="Z507" s="399">
        <v>78519.831410569837</v>
      </c>
      <c r="AA507" s="399">
        <v>0</v>
      </c>
      <c r="AB507" s="399">
        <v>0</v>
      </c>
      <c r="AC507" s="399">
        <v>0</v>
      </c>
      <c r="AD507" s="399">
        <v>50615.769148190811</v>
      </c>
      <c r="AE507" s="399">
        <v>89027.807930410243</v>
      </c>
      <c r="AF507" s="399">
        <v>212284.19433621506</v>
      </c>
      <c r="AG507" s="399">
        <v>0</v>
      </c>
      <c r="AH507" s="399">
        <v>0</v>
      </c>
      <c r="AI507" s="399">
        <v>0</v>
      </c>
      <c r="AJ507" s="399">
        <v>0</v>
      </c>
      <c r="AK507" s="399">
        <v>0</v>
      </c>
      <c r="AL507" s="399">
        <v>13938.607706749555</v>
      </c>
      <c r="AM507" s="399"/>
      <c r="AN507" s="399">
        <v>731.54250369932925</v>
      </c>
      <c r="AO507" s="399">
        <v>0</v>
      </c>
      <c r="AP507" s="399">
        <v>0</v>
      </c>
      <c r="AQ507" s="399">
        <v>0</v>
      </c>
      <c r="AR507" s="399">
        <v>0</v>
      </c>
      <c r="AS507" s="399">
        <v>0</v>
      </c>
      <c r="AT507" s="399">
        <v>0</v>
      </c>
      <c r="AU507" s="399">
        <v>0</v>
      </c>
      <c r="AV507" s="399">
        <v>0</v>
      </c>
      <c r="AW507" s="399">
        <v>0</v>
      </c>
      <c r="AX507" s="399">
        <v>0</v>
      </c>
      <c r="AY507" s="399">
        <v>0</v>
      </c>
      <c r="AZ507" s="399">
        <v>0</v>
      </c>
      <c r="BA507" s="399"/>
      <c r="BB507" s="399">
        <v>0</v>
      </c>
      <c r="BC507" s="399">
        <v>0</v>
      </c>
      <c r="BD507" s="399">
        <v>0</v>
      </c>
      <c r="BE507" s="399">
        <v>0</v>
      </c>
      <c r="BF507" s="399">
        <v>0</v>
      </c>
      <c r="BG507" s="399">
        <v>9170.0592748758318</v>
      </c>
      <c r="BH507" s="399">
        <v>0</v>
      </c>
      <c r="BI507" s="399">
        <v>0</v>
      </c>
      <c r="BJ507" s="399">
        <v>0</v>
      </c>
      <c r="BK507" s="399">
        <v>0</v>
      </c>
      <c r="BL507" s="399">
        <v>0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>
        <v>221454.25361109088</v>
      </c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>
        <v>447365.22959999996</v>
      </c>
      <c r="CJ507" s="399">
        <v>-6904.7038000000175</v>
      </c>
      <c r="CK507" s="399"/>
      <c r="CL507" s="399"/>
      <c r="CM507" s="399"/>
      <c r="CN507" s="399"/>
      <c r="CO507" s="399">
        <v>-15488.831400000021</v>
      </c>
      <c r="CP507" s="399">
        <v>8584.1576000000059</v>
      </c>
      <c r="CQ507" s="399">
        <v>31</v>
      </c>
      <c r="CR507" s="399">
        <v>-2912.4911184743396</v>
      </c>
      <c r="CS507" s="399">
        <v>0</v>
      </c>
      <c r="CT507" s="399">
        <v>0</v>
      </c>
      <c r="CU507" s="399">
        <v>0</v>
      </c>
      <c r="CV507" s="399">
        <v>0</v>
      </c>
      <c r="CW507" s="399">
        <v>0</v>
      </c>
      <c r="CX507" s="399">
        <v>0</v>
      </c>
      <c r="CY507" s="399">
        <v>0</v>
      </c>
      <c r="CZ507" s="399">
        <v>2118.3383520365242</v>
      </c>
      <c r="DA507" s="399">
        <v>0</v>
      </c>
      <c r="DB507" s="399">
        <v>0</v>
      </c>
      <c r="DC507" s="399">
        <v>8583.8524483960064</v>
      </c>
      <c r="DD507" s="399">
        <v>0</v>
      </c>
      <c r="DE507" s="399">
        <v>0</v>
      </c>
      <c r="DF507" s="399">
        <v>0</v>
      </c>
      <c r="DG507" s="399">
        <v>370.79743974673875</v>
      </c>
      <c r="DH507" s="399">
        <v>0</v>
      </c>
      <c r="DI507" s="399">
        <v>-12063.089253814396</v>
      </c>
      <c r="DJ507" s="399"/>
      <c r="DK507" s="399">
        <v>0</v>
      </c>
      <c r="DL507" s="399">
        <v>0</v>
      </c>
      <c r="DM507" s="399">
        <v>0</v>
      </c>
      <c r="DN507" s="399">
        <v>0</v>
      </c>
      <c r="DO507" s="399">
        <v>-1834.1055575406335</v>
      </c>
      <c r="DP507" s="399">
        <v>-88.284547298557982</v>
      </c>
      <c r="DQ507" s="399">
        <v>0</v>
      </c>
      <c r="DR507" s="399">
        <v>0</v>
      </c>
      <c r="DS507" s="399"/>
      <c r="DT507" s="399"/>
      <c r="DU507" s="399">
        <v>89027.807930410243</v>
      </c>
      <c r="DV507" s="399">
        <v>0</v>
      </c>
      <c r="DW507" s="399">
        <v>0</v>
      </c>
      <c r="DX507" s="399">
        <v>0</v>
      </c>
      <c r="DY507" s="399">
        <v>-15488.831400000025</v>
      </c>
      <c r="DZ507" s="399">
        <v>8584.1576000000059</v>
      </c>
      <c r="EA507" s="399">
        <v>0</v>
      </c>
      <c r="EB507" s="399">
        <v>0</v>
      </c>
      <c r="EC507" s="399">
        <v>-4009.5659075059084</v>
      </c>
      <c r="ED507" s="399">
        <v>0</v>
      </c>
      <c r="EE507" s="399">
        <v>0</v>
      </c>
      <c r="EF507" s="399">
        <v>0</v>
      </c>
      <c r="EG507" s="399">
        <v>0</v>
      </c>
      <c r="EH507" s="399">
        <v>0</v>
      </c>
      <c r="EI507" s="399">
        <v>0</v>
      </c>
      <c r="EJ507" s="399">
        <v>0</v>
      </c>
      <c r="EK507" s="399">
        <v>0</v>
      </c>
      <c r="EL507" s="399">
        <v>0</v>
      </c>
      <c r="EM507" s="399">
        <v>0</v>
      </c>
      <c r="EN507" s="399">
        <v>0</v>
      </c>
      <c r="EO507" s="399">
        <v>0</v>
      </c>
      <c r="EP507" s="399">
        <v>0</v>
      </c>
      <c r="EQ507" s="399">
        <v>0</v>
      </c>
      <c r="ER507" s="399">
        <v>0</v>
      </c>
      <c r="ES507" s="399">
        <v>0</v>
      </c>
      <c r="ET507" s="399">
        <v>0</v>
      </c>
      <c r="EU507" s="399">
        <v>0</v>
      </c>
      <c r="EV507" s="399">
        <v>225</v>
      </c>
      <c r="EW507" s="399">
        <v>0</v>
      </c>
      <c r="EX507" s="399">
        <v>0</v>
      </c>
      <c r="EY507" s="399">
        <v>0</v>
      </c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506</v>
      </c>
      <c r="B508" s="399" t="s">
        <v>957</v>
      </c>
      <c r="C508" s="399" t="s">
        <v>2365</v>
      </c>
      <c r="D508" s="399" t="s">
        <v>534</v>
      </c>
      <c r="E508" s="399" t="s">
        <v>891</v>
      </c>
      <c r="F508" s="399" t="s">
        <v>1240</v>
      </c>
      <c r="G508" s="399" t="s">
        <v>1240</v>
      </c>
      <c r="H508" s="399" t="s">
        <v>1240</v>
      </c>
      <c r="I508" s="399" t="s">
        <v>1240</v>
      </c>
      <c r="J508" s="399" t="s">
        <v>2358</v>
      </c>
      <c r="K508" s="789">
        <v>44743</v>
      </c>
      <c r="L508" s="399">
        <v>0</v>
      </c>
      <c r="M508" s="399">
        <v>0</v>
      </c>
      <c r="N508" s="399">
        <v>0</v>
      </c>
      <c r="O508" s="399">
        <v>0</v>
      </c>
      <c r="P508" s="399">
        <v>0</v>
      </c>
      <c r="Q508" s="399">
        <v>0</v>
      </c>
      <c r="R508" s="399"/>
      <c r="S508" s="399"/>
      <c r="T508" s="399"/>
      <c r="U508" s="399"/>
      <c r="V508" s="399"/>
      <c r="W508" s="399"/>
      <c r="X508" s="399"/>
      <c r="Y508" s="399"/>
      <c r="Z508" s="399"/>
      <c r="AA508" s="399">
        <v>0</v>
      </c>
      <c r="AB508" s="399"/>
      <c r="AC508" s="399"/>
      <c r="AD508" s="399"/>
      <c r="AE508" s="399"/>
      <c r="AF508" s="399"/>
      <c r="AG508" s="399"/>
      <c r="AH508" s="399"/>
      <c r="AI508" s="399"/>
      <c r="AJ508" s="399"/>
      <c r="AK508" s="399"/>
      <c r="AL508" s="399"/>
      <c r="AM508" s="399"/>
      <c r="AN508" s="399"/>
      <c r="AO508" s="399"/>
      <c r="AP508" s="399"/>
      <c r="AQ508" s="399"/>
      <c r="AR508" s="399"/>
      <c r="AS508" s="399"/>
      <c r="AT508" s="399"/>
      <c r="AU508" s="399"/>
      <c r="AV508" s="399"/>
      <c r="AW508" s="399"/>
      <c r="AX508" s="399"/>
      <c r="AY508" s="399"/>
      <c r="AZ508" s="399">
        <v>0</v>
      </c>
      <c r="BA508" s="399"/>
      <c r="BB508" s="399"/>
      <c r="BC508" s="399"/>
      <c r="BD508" s="399"/>
      <c r="BE508" s="399"/>
      <c r="BF508" s="399"/>
      <c r="BG508" s="399"/>
      <c r="BH508" s="399"/>
      <c r="BI508" s="399">
        <v>0</v>
      </c>
      <c r="BJ508" s="399">
        <v>0</v>
      </c>
      <c r="BK508" s="399">
        <v>86348.6</v>
      </c>
      <c r="BL508" s="399">
        <v>2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/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/>
      <c r="CJ508" s="399">
        <v>-0.03</v>
      </c>
      <c r="CK508" s="399"/>
      <c r="CL508" s="399"/>
      <c r="CM508" s="399"/>
      <c r="CN508" s="399"/>
      <c r="CO508" s="399">
        <v>0</v>
      </c>
      <c r="CP508" s="399">
        <v>0</v>
      </c>
      <c r="CQ508" s="399">
        <v>31</v>
      </c>
      <c r="CR508" s="399"/>
      <c r="CS508" s="399"/>
      <c r="CT508" s="399"/>
      <c r="CU508" s="399"/>
      <c r="CV508" s="399"/>
      <c r="CW508" s="399"/>
      <c r="CX508" s="399"/>
      <c r="CY508" s="399"/>
      <c r="CZ508" s="399"/>
      <c r="DA508" s="399"/>
      <c r="DB508" s="399"/>
      <c r="DC508" s="399"/>
      <c r="DD508" s="399"/>
      <c r="DE508" s="399"/>
      <c r="DF508" s="399"/>
      <c r="DG508" s="399"/>
      <c r="DH508" s="399"/>
      <c r="DI508" s="399"/>
      <c r="DJ508" s="399"/>
      <c r="DK508" s="399">
        <v>0</v>
      </c>
      <c r="DL508" s="399"/>
      <c r="DM508" s="399"/>
      <c r="DN508" s="399"/>
      <c r="DO508" s="399"/>
      <c r="DP508" s="399"/>
      <c r="DQ508" s="399"/>
      <c r="DR508" s="399"/>
      <c r="DS508" s="399"/>
      <c r="DT508" s="399"/>
      <c r="DU508" s="399"/>
      <c r="DV508" s="399"/>
      <c r="DW508" s="399"/>
      <c r="DX508" s="399"/>
      <c r="DY508" s="399"/>
      <c r="DZ508" s="399"/>
      <c r="EA508" s="399"/>
      <c r="EB508" s="399"/>
      <c r="EC508" s="399"/>
      <c r="ED508" s="399"/>
      <c r="EE508" s="399"/>
      <c r="EF508" s="399"/>
      <c r="EG508" s="399"/>
      <c r="EH508" s="399"/>
      <c r="EI508" s="399"/>
      <c r="EJ508" s="399"/>
      <c r="EK508" s="399"/>
      <c r="EL508" s="399"/>
      <c r="EM508" s="399"/>
      <c r="EN508" s="399"/>
      <c r="EO508" s="399"/>
      <c r="EP508" s="399"/>
      <c r="EQ508" s="399"/>
      <c r="ER508" s="399"/>
      <c r="ES508" s="399"/>
      <c r="ET508" s="399"/>
      <c r="EU508" s="399"/>
      <c r="EV508" s="399">
        <v>225</v>
      </c>
      <c r="EW508" s="399"/>
      <c r="EX508" s="399"/>
      <c r="EY508" s="399"/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507</v>
      </c>
      <c r="B509" s="399" t="s">
        <v>957</v>
      </c>
      <c r="C509" s="399" t="s">
        <v>2366</v>
      </c>
      <c r="D509" s="399" t="s">
        <v>534</v>
      </c>
      <c r="E509" s="399" t="s">
        <v>891</v>
      </c>
      <c r="F509" s="399" t="s">
        <v>1240</v>
      </c>
      <c r="G509" s="399" t="s">
        <v>1240</v>
      </c>
      <c r="H509" s="399" t="s">
        <v>1240</v>
      </c>
      <c r="I509" s="399" t="s">
        <v>894</v>
      </c>
      <c r="J509" s="399" t="s">
        <v>2358</v>
      </c>
      <c r="K509" s="789">
        <v>44743</v>
      </c>
      <c r="L509" s="399">
        <v>0</v>
      </c>
      <c r="M509" s="399">
        <v>0</v>
      </c>
      <c r="N509" s="399">
        <v>116.777</v>
      </c>
      <c r="O509" s="399">
        <v>116.777</v>
      </c>
      <c r="P509" s="399">
        <v>116.777</v>
      </c>
      <c r="Q509" s="399">
        <v>116.777</v>
      </c>
      <c r="R509" s="399"/>
      <c r="S509" s="399">
        <v>2740.31</v>
      </c>
      <c r="T509" s="399">
        <v>144.41999999999999</v>
      </c>
      <c r="U509" s="399"/>
      <c r="V509" s="399">
        <v>336870.11520999996</v>
      </c>
      <c r="W509" s="399">
        <v>336870.11520999996</v>
      </c>
      <c r="X509" s="399">
        <v>330060.84833999997</v>
      </c>
      <c r="Y509" s="399">
        <v>0</v>
      </c>
      <c r="Z509" s="399">
        <v>6238.0928862922483</v>
      </c>
      <c r="AA509" s="399">
        <v>0</v>
      </c>
      <c r="AB509" s="399">
        <v>0</v>
      </c>
      <c r="AC509" s="399">
        <v>0</v>
      </c>
      <c r="AD509" s="399">
        <v>87893.705342586487</v>
      </c>
      <c r="AE509" s="399">
        <v>223979.16953426701</v>
      </c>
      <c r="AF509" s="399">
        <v>16865.147298097261</v>
      </c>
      <c r="AG509" s="399">
        <v>0</v>
      </c>
      <c r="AH509" s="399">
        <v>0</v>
      </c>
      <c r="AI509" s="399">
        <v>0</v>
      </c>
      <c r="AJ509" s="399">
        <v>0</v>
      </c>
      <c r="AK509" s="399">
        <v>0</v>
      </c>
      <c r="AL509" s="399">
        <v>1107.3677568873131</v>
      </c>
      <c r="AM509" s="399"/>
      <c r="AN509" s="399">
        <v>58.118185003297235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728.52527191978652</v>
      </c>
      <c r="BH509" s="399">
        <v>0</v>
      </c>
      <c r="BI509" s="399">
        <v>0</v>
      </c>
      <c r="BJ509" s="399">
        <v>0</v>
      </c>
      <c r="BK509" s="399">
        <v>0</v>
      </c>
      <c r="BL509" s="399">
        <v>0</v>
      </c>
      <c r="BM509" s="399"/>
      <c r="BN509" s="399"/>
      <c r="BO509" s="399"/>
      <c r="BP509" s="399"/>
      <c r="BQ509" s="399"/>
      <c r="BR509" s="399"/>
      <c r="BS509" s="399"/>
      <c r="BT509" s="399"/>
      <c r="BU509" s="399"/>
      <c r="BV509" s="399">
        <v>17593.672570017046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330069.32759999996</v>
      </c>
      <c r="CJ509" s="399">
        <v>-6800.8176100000273</v>
      </c>
      <c r="CK509" s="399"/>
      <c r="CL509" s="399"/>
      <c r="CM509" s="399"/>
      <c r="CN509" s="399"/>
      <c r="CO509" s="399">
        <v>-7491.2445500000103</v>
      </c>
      <c r="CP509" s="399">
        <v>681.97768000000042</v>
      </c>
      <c r="CQ509" s="399">
        <v>31</v>
      </c>
      <c r="CR509" s="399">
        <v>3278.790681694154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3678.4703673018084</v>
      </c>
      <c r="DA509" s="399">
        <v>0</v>
      </c>
      <c r="DB509" s="399">
        <v>0</v>
      </c>
      <c r="DC509" s="399">
        <v>681.95343690095251</v>
      </c>
      <c r="DD509" s="399">
        <v>0</v>
      </c>
      <c r="DE509" s="399">
        <v>0</v>
      </c>
      <c r="DF509" s="399">
        <v>0</v>
      </c>
      <c r="DG509" s="399">
        <v>29.45840343243708</v>
      </c>
      <c r="DH509" s="399">
        <v>0</v>
      </c>
      <c r="DI509" s="399">
        <v>-958.36516595982175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-145.71249868556333</v>
      </c>
      <c r="DP509" s="399">
        <v>-7.0138612956641069</v>
      </c>
      <c r="DQ509" s="399">
        <v>0</v>
      </c>
      <c r="DR509" s="399">
        <v>0</v>
      </c>
      <c r="DS509" s="399"/>
      <c r="DT509" s="399"/>
      <c r="DU509" s="399"/>
      <c r="DV509" s="399">
        <v>223979.16953426701</v>
      </c>
      <c r="DW509" s="399">
        <v>0</v>
      </c>
      <c r="DX509" s="399">
        <v>0</v>
      </c>
      <c r="DY509" s="399">
        <v>-7491.2445500000031</v>
      </c>
      <c r="DZ509" s="399">
        <v>681.97767999999996</v>
      </c>
      <c r="EA509" s="399">
        <v>0</v>
      </c>
      <c r="EB509" s="399">
        <v>0</v>
      </c>
      <c r="EC509" s="399">
        <v>-10087.40148761333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225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508</v>
      </c>
      <c r="B510" s="399" t="s">
        <v>2360</v>
      </c>
      <c r="C510" s="399" t="s">
        <v>2366</v>
      </c>
      <c r="D510" s="399" t="s">
        <v>534</v>
      </c>
      <c r="E510" s="399" t="s">
        <v>891</v>
      </c>
      <c r="F510" s="399" t="s">
        <v>1240</v>
      </c>
      <c r="G510" s="399" t="s">
        <v>1240</v>
      </c>
      <c r="H510" s="399" t="s">
        <v>1240</v>
      </c>
      <c r="I510" s="399" t="s">
        <v>894</v>
      </c>
      <c r="J510" s="399" t="s">
        <v>2358</v>
      </c>
      <c r="K510" s="789">
        <v>44743</v>
      </c>
      <c r="L510" s="399">
        <v>0</v>
      </c>
      <c r="M510" s="399">
        <v>0</v>
      </c>
      <c r="N510" s="399">
        <v>0.27500000000000002</v>
      </c>
      <c r="O510" s="399">
        <v>0.27500000000000002</v>
      </c>
      <c r="P510" s="399">
        <v>0.27500000000000002</v>
      </c>
      <c r="Q510" s="399">
        <v>0.27500000000000002</v>
      </c>
      <c r="R510" s="399"/>
      <c r="S510" s="399">
        <v>2740.31</v>
      </c>
      <c r="T510" s="399">
        <v>144.41999999999999</v>
      </c>
      <c r="U510" s="399"/>
      <c r="V510" s="399">
        <v>793.30075000000011</v>
      </c>
      <c r="W510" s="399">
        <v>793.30075000000011</v>
      </c>
      <c r="X510" s="399">
        <v>777.26550000000009</v>
      </c>
      <c r="Y510" s="399">
        <v>0</v>
      </c>
      <c r="Z510" s="399">
        <v>14.690183372841984</v>
      </c>
      <c r="AA510" s="399">
        <v>0</v>
      </c>
      <c r="AB510" s="399">
        <v>0</v>
      </c>
      <c r="AC510" s="399">
        <v>0</v>
      </c>
      <c r="AD510" s="399">
        <v>206.98227364302292</v>
      </c>
      <c r="AE510" s="399">
        <v>527.45208064878727</v>
      </c>
      <c r="AF510" s="399">
        <v>39.716001498383648</v>
      </c>
      <c r="AG510" s="399">
        <v>0</v>
      </c>
      <c r="AH510" s="399">
        <v>0</v>
      </c>
      <c r="AI510" s="399">
        <v>0</v>
      </c>
      <c r="AJ510" s="399">
        <v>0</v>
      </c>
      <c r="AK510" s="399">
        <v>0</v>
      </c>
      <c r="AL510" s="399">
        <v>2.6077578045677758</v>
      </c>
      <c r="AM510" s="399"/>
      <c r="AN510" s="399">
        <v>0.13686343094878906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1.7156156587165394</v>
      </c>
      <c r="BH510" s="399">
        <v>0</v>
      </c>
      <c r="BI510" s="399">
        <v>0</v>
      </c>
      <c r="BJ510" s="399">
        <v>0</v>
      </c>
      <c r="BK510" s="399">
        <v>0</v>
      </c>
      <c r="BL510" s="399">
        <v>0</v>
      </c>
      <c r="BM510" s="399"/>
      <c r="BN510" s="399"/>
      <c r="BO510" s="399"/>
      <c r="BP510" s="399"/>
      <c r="BQ510" s="399"/>
      <c r="BR510" s="399"/>
      <c r="BS510" s="399"/>
      <c r="BT510" s="399"/>
      <c r="BU510" s="399"/>
      <c r="BV510" s="399">
        <v>41.431617157100185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791.39760000000001</v>
      </c>
      <c r="CJ510" s="399">
        <v>-1.9331500000000688</v>
      </c>
      <c r="CK510" s="399"/>
      <c r="CL510" s="399"/>
      <c r="CM510" s="399"/>
      <c r="CN510" s="399"/>
      <c r="CO510" s="399">
        <v>-17.641250000000028</v>
      </c>
      <c r="CP510" s="399">
        <v>1.606000000000001</v>
      </c>
      <c r="CQ510" s="399">
        <v>31</v>
      </c>
      <c r="CR510" s="399">
        <v>7.7212759144856591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8.6624879129280146</v>
      </c>
      <c r="DA510" s="399">
        <v>0</v>
      </c>
      <c r="DB510" s="399">
        <v>0</v>
      </c>
      <c r="DC510" s="399">
        <v>1.6059429095435078</v>
      </c>
      <c r="DD510" s="399">
        <v>0</v>
      </c>
      <c r="DE510" s="399">
        <v>0</v>
      </c>
      <c r="DF510" s="399">
        <v>0</v>
      </c>
      <c r="DG510" s="399">
        <v>6.9372059086294291E-2</v>
      </c>
      <c r="DH510" s="399">
        <v>0</v>
      </c>
      <c r="DI510" s="399">
        <v>-2.2568692519841331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-0.34314066244662822</v>
      </c>
      <c r="DP510" s="399">
        <v>-1.6517052641424487E-2</v>
      </c>
      <c r="DQ510" s="399">
        <v>0</v>
      </c>
      <c r="DR510" s="399">
        <v>0</v>
      </c>
      <c r="DS510" s="399"/>
      <c r="DT510" s="399"/>
      <c r="DU510" s="399"/>
      <c r="DV510" s="399">
        <v>527.45208064878727</v>
      </c>
      <c r="DW510" s="399">
        <v>0</v>
      </c>
      <c r="DX510" s="399">
        <v>0</v>
      </c>
      <c r="DY510" s="399">
        <v>-17.641250000000014</v>
      </c>
      <c r="DZ510" s="399">
        <v>1.6060000000000016</v>
      </c>
      <c r="EA510" s="399">
        <v>0</v>
      </c>
      <c r="EB510" s="399">
        <v>0</v>
      </c>
      <c r="EC510" s="399">
        <v>-23.754980938829249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0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225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509</v>
      </c>
      <c r="B511" s="399" t="s">
        <v>957</v>
      </c>
      <c r="C511" s="399" t="s">
        <v>2366</v>
      </c>
      <c r="D511" s="399" t="s">
        <v>534</v>
      </c>
      <c r="E511" s="399" t="s">
        <v>891</v>
      </c>
      <c r="F511" s="399" t="s">
        <v>1240</v>
      </c>
      <c r="G511" s="399" t="s">
        <v>1240</v>
      </c>
      <c r="H511" s="399" t="s">
        <v>1240</v>
      </c>
      <c r="I511" s="399" t="s">
        <v>2328</v>
      </c>
      <c r="J511" s="399" t="s">
        <v>2358</v>
      </c>
      <c r="K511" s="789">
        <v>44743</v>
      </c>
      <c r="L511" s="399">
        <v>0</v>
      </c>
      <c r="M511" s="399">
        <v>0</v>
      </c>
      <c r="N511" s="399">
        <v>5803.6809999999996</v>
      </c>
      <c r="O511" s="399">
        <v>5803.6809999999996</v>
      </c>
      <c r="P511" s="399">
        <v>5803.6809999999996</v>
      </c>
      <c r="Q511" s="399">
        <v>5803.6809999999996</v>
      </c>
      <c r="R511" s="399"/>
      <c r="S511" s="399">
        <v>69.64</v>
      </c>
      <c r="T511" s="399">
        <v>144.41999999999999</v>
      </c>
      <c r="U511" s="399"/>
      <c r="V511" s="399">
        <v>1242335.9548599999</v>
      </c>
      <c r="W511" s="399">
        <v>1242335.9548599999</v>
      </c>
      <c r="X511" s="399">
        <v>1222487.3658399999</v>
      </c>
      <c r="Y511" s="399">
        <v>0</v>
      </c>
      <c r="Z511" s="399">
        <v>310025.95682719612</v>
      </c>
      <c r="AA511" s="399">
        <v>0</v>
      </c>
      <c r="AB511" s="399">
        <v>0</v>
      </c>
      <c r="AC511" s="399">
        <v>0</v>
      </c>
      <c r="AD511" s="399">
        <v>0</v>
      </c>
      <c r="AE511" s="399">
        <v>0</v>
      </c>
      <c r="AF511" s="399">
        <v>838178.19378960249</v>
      </c>
      <c r="AG511" s="399">
        <v>0</v>
      </c>
      <c r="AH511" s="399">
        <v>0</v>
      </c>
      <c r="AI511" s="399">
        <v>0</v>
      </c>
      <c r="AJ511" s="399">
        <v>0</v>
      </c>
      <c r="AK511" s="399">
        <v>0</v>
      </c>
      <c r="AL511" s="399">
        <v>55034.888810806224</v>
      </c>
      <c r="AM511" s="399"/>
      <c r="AN511" s="399">
        <v>2888.4061592447233</v>
      </c>
      <c r="AO511" s="399">
        <v>0</v>
      </c>
      <c r="AP511" s="399">
        <v>0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36206.858188347862</v>
      </c>
      <c r="BH511" s="399">
        <v>0</v>
      </c>
      <c r="BI511" s="399">
        <v>0</v>
      </c>
      <c r="BJ511" s="399">
        <v>0</v>
      </c>
      <c r="BK511" s="399">
        <v>0</v>
      </c>
      <c r="BL511" s="399">
        <v>0</v>
      </c>
      <c r="BM511" s="399"/>
      <c r="BN511" s="399"/>
      <c r="BO511" s="399"/>
      <c r="BP511" s="399"/>
      <c r="BQ511" s="399"/>
      <c r="BR511" s="399"/>
      <c r="BS511" s="399"/>
      <c r="BT511" s="399"/>
      <c r="BU511" s="399"/>
      <c r="BV511" s="399">
        <v>874385.05197795038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1222487.1552000002</v>
      </c>
      <c r="CJ511" s="399">
        <v>-19848.829659999814</v>
      </c>
      <c r="CK511" s="399"/>
      <c r="CL511" s="399"/>
      <c r="CM511" s="399"/>
      <c r="CN511" s="399"/>
      <c r="CO511" s="399">
        <v>-53742.086059999987</v>
      </c>
      <c r="CP511" s="399">
        <v>33893.497040000017</v>
      </c>
      <c r="CQ511" s="399">
        <v>31</v>
      </c>
      <c r="CR511" s="399">
        <v>-19863.615244843764</v>
      </c>
      <c r="CS511" s="399">
        <v>0</v>
      </c>
      <c r="CT511" s="399">
        <v>0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0</v>
      </c>
      <c r="DA511" s="399">
        <v>0</v>
      </c>
      <c r="DB511" s="399">
        <v>0</v>
      </c>
      <c r="DC511" s="399">
        <v>33892.292186190374</v>
      </c>
      <c r="DD511" s="399">
        <v>0</v>
      </c>
      <c r="DE511" s="399">
        <v>0</v>
      </c>
      <c r="DF511" s="399">
        <v>0</v>
      </c>
      <c r="DG511" s="399">
        <v>1464.0483681818296</v>
      </c>
      <c r="DH511" s="399">
        <v>0</v>
      </c>
      <c r="DI511" s="399">
        <v>-47629.633444452833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-7241.741610796038</v>
      </c>
      <c r="DP511" s="399">
        <v>-348.58074396740039</v>
      </c>
      <c r="DQ511" s="399">
        <v>0</v>
      </c>
      <c r="DR511" s="399">
        <v>0</v>
      </c>
      <c r="DS511" s="399"/>
      <c r="DT511" s="399"/>
      <c r="DU511" s="399"/>
      <c r="DV511" s="399">
        <v>0</v>
      </c>
      <c r="DW511" s="399">
        <v>0</v>
      </c>
      <c r="DX511" s="399">
        <v>0</v>
      </c>
      <c r="DY511" s="399">
        <v>-53742.086060000001</v>
      </c>
      <c r="DZ511" s="399">
        <v>33893.497039999929</v>
      </c>
      <c r="EA511" s="399">
        <v>0</v>
      </c>
      <c r="EB511" s="399">
        <v>0</v>
      </c>
      <c r="EC511" s="399">
        <v>0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0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225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510</v>
      </c>
      <c r="B512" s="399" t="s">
        <v>2360</v>
      </c>
      <c r="C512" s="399" t="s">
        <v>2366</v>
      </c>
      <c r="D512" s="399" t="s">
        <v>534</v>
      </c>
      <c r="E512" s="399" t="s">
        <v>891</v>
      </c>
      <c r="F512" s="399" t="s">
        <v>1240</v>
      </c>
      <c r="G512" s="399" t="s">
        <v>1240</v>
      </c>
      <c r="H512" s="399" t="s">
        <v>1240</v>
      </c>
      <c r="I512" s="399" t="s">
        <v>2328</v>
      </c>
      <c r="J512" s="399" t="s">
        <v>2358</v>
      </c>
      <c r="K512" s="789">
        <v>44743</v>
      </c>
      <c r="L512" s="399">
        <v>0</v>
      </c>
      <c r="M512" s="399">
        <v>0</v>
      </c>
      <c r="N512" s="399">
        <v>6.0250000000000004</v>
      </c>
      <c r="O512" s="399">
        <v>6.0250000000000004</v>
      </c>
      <c r="P512" s="399">
        <v>6.0250000000000004</v>
      </c>
      <c r="Q512" s="399">
        <v>6.0250000000000004</v>
      </c>
      <c r="R512" s="399"/>
      <c r="S512" s="399">
        <v>69.64</v>
      </c>
      <c r="T512" s="399">
        <v>144.41999999999999</v>
      </c>
      <c r="U512" s="399"/>
      <c r="V512" s="399">
        <v>1289.7114999999999</v>
      </c>
      <c r="W512" s="399">
        <v>1289.7114999999999</v>
      </c>
      <c r="X512" s="399">
        <v>1269.106</v>
      </c>
      <c r="Y512" s="399">
        <v>0</v>
      </c>
      <c r="Z512" s="399">
        <v>321.84856298681075</v>
      </c>
      <c r="AA512" s="399">
        <v>0</v>
      </c>
      <c r="AB512" s="399">
        <v>0</v>
      </c>
      <c r="AC512" s="399">
        <v>0</v>
      </c>
      <c r="AD512" s="399">
        <v>0</v>
      </c>
      <c r="AE512" s="399">
        <v>0</v>
      </c>
      <c r="AF512" s="399">
        <v>870.14148737367816</v>
      </c>
      <c r="AG512" s="399">
        <v>0</v>
      </c>
      <c r="AH512" s="399">
        <v>0</v>
      </c>
      <c r="AI512" s="399">
        <v>0</v>
      </c>
      <c r="AJ512" s="399">
        <v>0</v>
      </c>
      <c r="AK512" s="399">
        <v>0</v>
      </c>
      <c r="AL512" s="399">
        <v>57.133602809166725</v>
      </c>
      <c r="AM512" s="399"/>
      <c r="AN512" s="399">
        <v>2.9985533507871058</v>
      </c>
      <c r="AO512" s="399">
        <v>0</v>
      </c>
      <c r="AP512" s="399">
        <v>0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37.587579431880542</v>
      </c>
      <c r="BH512" s="399">
        <v>0</v>
      </c>
      <c r="BI512" s="399">
        <v>0</v>
      </c>
      <c r="BJ512" s="399">
        <v>0</v>
      </c>
      <c r="BK512" s="399">
        <v>0</v>
      </c>
      <c r="BL512" s="399">
        <v>0</v>
      </c>
      <c r="BM512" s="399"/>
      <c r="BN512" s="399"/>
      <c r="BO512" s="399"/>
      <c r="BP512" s="399"/>
      <c r="BQ512" s="399"/>
      <c r="BR512" s="399"/>
      <c r="BS512" s="399"/>
      <c r="BT512" s="399"/>
      <c r="BU512" s="399"/>
      <c r="BV512" s="399">
        <v>907.72906680555866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1270.1592000000001</v>
      </c>
      <c r="CJ512" s="399">
        <v>-19.582299999999805</v>
      </c>
      <c r="CK512" s="399"/>
      <c r="CL512" s="399"/>
      <c r="CM512" s="399"/>
      <c r="CN512" s="399"/>
      <c r="CO512" s="399">
        <v>-55.791499999999992</v>
      </c>
      <c r="CP512" s="399">
        <v>35.186000000000021</v>
      </c>
      <c r="CQ512" s="399">
        <v>31</v>
      </c>
      <c r="CR512" s="399">
        <v>-20.621099238601573</v>
      </c>
      <c r="CS512" s="399">
        <v>0</v>
      </c>
      <c r="CT512" s="399">
        <v>0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0</v>
      </c>
      <c r="DA512" s="399">
        <v>0</v>
      </c>
      <c r="DB512" s="399">
        <v>0</v>
      </c>
      <c r="DC512" s="399">
        <v>35.184749199998578</v>
      </c>
      <c r="DD512" s="399">
        <v>0</v>
      </c>
      <c r="DE512" s="399">
        <v>0</v>
      </c>
      <c r="DF512" s="399">
        <v>0</v>
      </c>
      <c r="DG512" s="399">
        <v>1.519878749072447</v>
      </c>
      <c r="DH512" s="399">
        <v>0</v>
      </c>
      <c r="DI512" s="399">
        <v>-49.445953611652385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-7.5178999681488605</v>
      </c>
      <c r="DP512" s="399">
        <v>-0.36187360787120948</v>
      </c>
      <c r="DQ512" s="399">
        <v>0</v>
      </c>
      <c r="DR512" s="399">
        <v>0</v>
      </c>
      <c r="DS512" s="399"/>
      <c r="DT512" s="399"/>
      <c r="DU512" s="399"/>
      <c r="DV512" s="399">
        <v>0</v>
      </c>
      <c r="DW512" s="399">
        <v>0</v>
      </c>
      <c r="DX512" s="399">
        <v>0</v>
      </c>
      <c r="DY512" s="399">
        <v>-55.791499999999985</v>
      </c>
      <c r="DZ512" s="399">
        <v>35.186000000000035</v>
      </c>
      <c r="EA512" s="399">
        <v>0</v>
      </c>
      <c r="EB512" s="399">
        <v>0</v>
      </c>
      <c r="EC512" s="399">
        <v>0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0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225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511</v>
      </c>
      <c r="B513" s="399" t="s">
        <v>957</v>
      </c>
      <c r="C513" s="399" t="s">
        <v>2366</v>
      </c>
      <c r="D513" s="399" t="s">
        <v>534</v>
      </c>
      <c r="E513" s="399" t="s">
        <v>891</v>
      </c>
      <c r="F513" s="399" t="s">
        <v>1240</v>
      </c>
      <c r="G513" s="399" t="s">
        <v>1240</v>
      </c>
      <c r="H513" s="399" t="s">
        <v>1240</v>
      </c>
      <c r="I513" s="399" t="s">
        <v>1240</v>
      </c>
      <c r="J513" s="399" t="s">
        <v>2358</v>
      </c>
      <c r="K513" s="789">
        <v>44743</v>
      </c>
      <c r="L513" s="399">
        <v>21750</v>
      </c>
      <c r="M513" s="399">
        <v>21750</v>
      </c>
      <c r="N513" s="399">
        <v>0</v>
      </c>
      <c r="O513" s="399">
        <v>0</v>
      </c>
      <c r="P513" s="399">
        <v>0</v>
      </c>
      <c r="Q513" s="399">
        <v>0</v>
      </c>
      <c r="R513" s="399">
        <v>34.950000000000003</v>
      </c>
      <c r="S513" s="399"/>
      <c r="T513" s="399"/>
      <c r="U513" s="399">
        <v>760162.50000000012</v>
      </c>
      <c r="V513" s="399"/>
      <c r="W513" s="399">
        <v>760162.50000000012</v>
      </c>
      <c r="X513" s="399">
        <v>749939.99999999988</v>
      </c>
      <c r="Y513" s="399">
        <v>0</v>
      </c>
      <c r="Z513" s="399">
        <v>0</v>
      </c>
      <c r="AA513" s="399">
        <v>0</v>
      </c>
      <c r="AB513" s="399">
        <v>0</v>
      </c>
      <c r="AC513" s="399">
        <v>0</v>
      </c>
      <c r="AD513" s="399">
        <v>275567.70437375474</v>
      </c>
      <c r="AE513" s="399">
        <v>484694.57383890427</v>
      </c>
      <c r="AF513" s="399"/>
      <c r="AG513" s="399"/>
      <c r="AH513" s="399"/>
      <c r="AI513" s="399">
        <v>0</v>
      </c>
      <c r="AJ513" s="399">
        <v>0</v>
      </c>
      <c r="AK513" s="399">
        <v>0</v>
      </c>
      <c r="AL513" s="399">
        <v>0</v>
      </c>
      <c r="AM513" s="399"/>
      <c r="AN513" s="399">
        <v>0</v>
      </c>
      <c r="AO513" s="399">
        <v>0</v>
      </c>
      <c r="AP513" s="399">
        <v>0</v>
      </c>
      <c r="AQ513" s="399">
        <v>0</v>
      </c>
      <c r="AR513" s="399">
        <v>0</v>
      </c>
      <c r="AS513" s="399"/>
      <c r="AT513" s="399"/>
      <c r="AU513" s="399">
        <v>0</v>
      </c>
      <c r="AV513" s="399">
        <v>0</v>
      </c>
      <c r="AW513" s="399">
        <v>0</v>
      </c>
      <c r="AX513" s="399"/>
      <c r="AY513" s="399"/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/>
      <c r="BG513" s="399">
        <v>0</v>
      </c>
      <c r="BH513" s="399">
        <v>0</v>
      </c>
      <c r="BI513" s="399">
        <v>68.73</v>
      </c>
      <c r="BJ513" s="399">
        <v>317.22000000000003</v>
      </c>
      <c r="BK513" s="399">
        <v>441709.32</v>
      </c>
      <c r="BL513" s="399">
        <v>71</v>
      </c>
      <c r="BM513" s="399"/>
      <c r="BN513" s="399"/>
      <c r="BO513" s="399"/>
      <c r="BP513" s="399"/>
      <c r="BQ513" s="399"/>
      <c r="BR513" s="399"/>
      <c r="BS513" s="399"/>
      <c r="BT513" s="399"/>
      <c r="BU513" s="399"/>
      <c r="BV513" s="399">
        <v>0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749939.99999999988</v>
      </c>
      <c r="CJ513" s="399">
        <v>-10222.530000000261</v>
      </c>
      <c r="CK513" s="399"/>
      <c r="CL513" s="399"/>
      <c r="CM513" s="399"/>
      <c r="CN513" s="399"/>
      <c r="CO513" s="399">
        <v>-10222.500000000129</v>
      </c>
      <c r="CP513" s="399">
        <v>0</v>
      </c>
      <c r="CQ513" s="399">
        <v>31</v>
      </c>
      <c r="CR513" s="399">
        <v>11532.880890311499</v>
      </c>
      <c r="CS513" s="399">
        <v>0</v>
      </c>
      <c r="CT513" s="399">
        <v>0</v>
      </c>
      <c r="CU513" s="399">
        <v>0</v>
      </c>
      <c r="CV513" s="399">
        <v>0</v>
      </c>
      <c r="CW513" s="399"/>
      <c r="CX513" s="399"/>
      <c r="CY513" s="399"/>
      <c r="CZ513" s="399">
        <v>11532.880890311499</v>
      </c>
      <c r="DA513" s="399">
        <v>0</v>
      </c>
      <c r="DB513" s="399">
        <v>0</v>
      </c>
      <c r="DC513" s="399"/>
      <c r="DD513" s="399"/>
      <c r="DE513" s="399">
        <v>0</v>
      </c>
      <c r="DF513" s="399">
        <v>0</v>
      </c>
      <c r="DG513" s="399">
        <v>0</v>
      </c>
      <c r="DH513" s="399">
        <v>0</v>
      </c>
      <c r="DI513" s="399">
        <v>0</v>
      </c>
      <c r="DJ513" s="399"/>
      <c r="DK513" s="399">
        <v>0</v>
      </c>
      <c r="DL513" s="399">
        <v>0</v>
      </c>
      <c r="DM513" s="399"/>
      <c r="DN513" s="399">
        <v>0</v>
      </c>
      <c r="DO513" s="399">
        <v>0</v>
      </c>
      <c r="DP513" s="399">
        <v>0</v>
      </c>
      <c r="DQ513" s="399">
        <v>0</v>
      </c>
      <c r="DR513" s="399">
        <v>0</v>
      </c>
      <c r="DS513" s="399"/>
      <c r="DT513" s="399"/>
      <c r="DU513" s="399">
        <v>484694.57383890427</v>
      </c>
      <c r="DV513" s="399"/>
      <c r="DW513" s="399">
        <v>0</v>
      </c>
      <c r="DX513" s="399">
        <v>0</v>
      </c>
      <c r="DY513" s="399">
        <v>-10222.500000000233</v>
      </c>
      <c r="DZ513" s="399"/>
      <c r="EA513" s="399">
        <v>0</v>
      </c>
      <c r="EB513" s="399"/>
      <c r="EC513" s="399">
        <v>-21829.301248624106</v>
      </c>
      <c r="ED513" s="399"/>
      <c r="EE513" s="399">
        <v>0</v>
      </c>
      <c r="EF513" s="399">
        <v>0</v>
      </c>
      <c r="EG513" s="399"/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/>
      <c r="EN513" s="399"/>
      <c r="EO513" s="399">
        <v>0</v>
      </c>
      <c r="EP513" s="399">
        <v>0</v>
      </c>
      <c r="EQ513" s="399"/>
      <c r="ER513" s="399">
        <v>0</v>
      </c>
      <c r="ES513" s="399"/>
      <c r="ET513" s="399">
        <v>0</v>
      </c>
      <c r="EU513" s="399"/>
      <c r="EV513" s="399">
        <v>225</v>
      </c>
      <c r="EW513" s="399"/>
      <c r="EX513" s="399"/>
      <c r="EY513" s="399"/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512</v>
      </c>
      <c r="B514" s="399" t="s">
        <v>2360</v>
      </c>
      <c r="C514" s="399" t="s">
        <v>2366</v>
      </c>
      <c r="D514" s="399" t="s">
        <v>534</v>
      </c>
      <c r="E514" s="399" t="s">
        <v>891</v>
      </c>
      <c r="F514" s="399" t="s">
        <v>1240</v>
      </c>
      <c r="G514" s="399" t="s">
        <v>1240</v>
      </c>
      <c r="H514" s="399" t="s">
        <v>1240</v>
      </c>
      <c r="I514" s="399" t="s">
        <v>1240</v>
      </c>
      <c r="J514" s="399" t="s">
        <v>2358</v>
      </c>
      <c r="K514" s="789">
        <v>44743</v>
      </c>
      <c r="L514" s="399">
        <v>130</v>
      </c>
      <c r="M514" s="399">
        <v>130</v>
      </c>
      <c r="N514" s="399">
        <v>0</v>
      </c>
      <c r="O514" s="399">
        <v>0</v>
      </c>
      <c r="P514" s="399">
        <v>0</v>
      </c>
      <c r="Q514" s="399">
        <v>0</v>
      </c>
      <c r="R514" s="399">
        <v>34.950000000000003</v>
      </c>
      <c r="S514" s="399"/>
      <c r="T514" s="399"/>
      <c r="U514" s="399">
        <v>4543.5</v>
      </c>
      <c r="V514" s="399"/>
      <c r="W514" s="399">
        <v>4543.5</v>
      </c>
      <c r="X514" s="399">
        <v>4482.3999999999996</v>
      </c>
      <c r="Y514" s="399">
        <v>0</v>
      </c>
      <c r="Z514" s="399">
        <v>0</v>
      </c>
      <c r="AA514" s="399">
        <v>0</v>
      </c>
      <c r="AB514" s="399">
        <v>0</v>
      </c>
      <c r="AC514" s="399">
        <v>0</v>
      </c>
      <c r="AD514" s="399">
        <v>1647.07133648681</v>
      </c>
      <c r="AE514" s="399">
        <v>2897.0250390371293</v>
      </c>
      <c r="AF514" s="399"/>
      <c r="AG514" s="399"/>
      <c r="AH514" s="399"/>
      <c r="AI514" s="399">
        <v>0</v>
      </c>
      <c r="AJ514" s="399">
        <v>0</v>
      </c>
      <c r="AK514" s="399">
        <v>0</v>
      </c>
      <c r="AL514" s="399">
        <v>0</v>
      </c>
      <c r="AM514" s="399"/>
      <c r="AN514" s="399">
        <v>0</v>
      </c>
      <c r="AO514" s="399">
        <v>0</v>
      </c>
      <c r="AP514" s="399">
        <v>0</v>
      </c>
      <c r="AQ514" s="399">
        <v>0</v>
      </c>
      <c r="AR514" s="399">
        <v>0</v>
      </c>
      <c r="AS514" s="399"/>
      <c r="AT514" s="399"/>
      <c r="AU514" s="399">
        <v>0</v>
      </c>
      <c r="AV514" s="399">
        <v>0</v>
      </c>
      <c r="AW514" s="399">
        <v>0</v>
      </c>
      <c r="AX514" s="399"/>
      <c r="AY514" s="399"/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/>
      <c r="BG514" s="399">
        <v>0</v>
      </c>
      <c r="BH514" s="399">
        <v>0</v>
      </c>
      <c r="BI514" s="399">
        <v>0</v>
      </c>
      <c r="BJ514" s="399">
        <v>0</v>
      </c>
      <c r="BK514" s="399">
        <v>1295.55</v>
      </c>
      <c r="BL514" s="399">
        <v>1</v>
      </c>
      <c r="BM514" s="399"/>
      <c r="BN514" s="399"/>
      <c r="BO514" s="399"/>
      <c r="BP514" s="399"/>
      <c r="BQ514" s="399"/>
      <c r="BR514" s="399"/>
      <c r="BS514" s="399"/>
      <c r="BT514" s="399"/>
      <c r="BU514" s="399"/>
      <c r="BV514" s="399">
        <v>0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4482.3999999999996</v>
      </c>
      <c r="CJ514" s="399">
        <v>-61.130000000001019</v>
      </c>
      <c r="CK514" s="399"/>
      <c r="CL514" s="399"/>
      <c r="CM514" s="399"/>
      <c r="CN514" s="399"/>
      <c r="CO514" s="399">
        <v>-61.100000000000776</v>
      </c>
      <c r="CP514" s="399">
        <v>0</v>
      </c>
      <c r="CQ514" s="399">
        <v>31</v>
      </c>
      <c r="CR514" s="399">
        <v>68.932161643240988</v>
      </c>
      <c r="CS514" s="399">
        <v>0</v>
      </c>
      <c r="CT514" s="399">
        <v>0</v>
      </c>
      <c r="CU514" s="399">
        <v>0</v>
      </c>
      <c r="CV514" s="399">
        <v>0</v>
      </c>
      <c r="CW514" s="399"/>
      <c r="CX514" s="399"/>
      <c r="CY514" s="399"/>
      <c r="CZ514" s="399">
        <v>68.932161643240988</v>
      </c>
      <c r="DA514" s="399">
        <v>0</v>
      </c>
      <c r="DB514" s="399">
        <v>0</v>
      </c>
      <c r="DC514" s="399"/>
      <c r="DD514" s="399"/>
      <c r="DE514" s="399">
        <v>0</v>
      </c>
      <c r="DF514" s="399">
        <v>0</v>
      </c>
      <c r="DG514" s="399">
        <v>0</v>
      </c>
      <c r="DH514" s="399">
        <v>0</v>
      </c>
      <c r="DI514" s="399">
        <v>0</v>
      </c>
      <c r="DJ514" s="399"/>
      <c r="DK514" s="399">
        <v>0</v>
      </c>
      <c r="DL514" s="399">
        <v>0</v>
      </c>
      <c r="DM514" s="399"/>
      <c r="DN514" s="399">
        <v>0</v>
      </c>
      <c r="DO514" s="399">
        <v>0</v>
      </c>
      <c r="DP514" s="399">
        <v>0</v>
      </c>
      <c r="DQ514" s="399">
        <v>0</v>
      </c>
      <c r="DR514" s="399">
        <v>0</v>
      </c>
      <c r="DS514" s="399"/>
      <c r="DT514" s="399"/>
      <c r="DU514" s="399">
        <v>2897.0250390371293</v>
      </c>
      <c r="DV514" s="399"/>
      <c r="DW514" s="399">
        <v>0</v>
      </c>
      <c r="DX514" s="399">
        <v>0</v>
      </c>
      <c r="DY514" s="399">
        <v>-61.100000000000364</v>
      </c>
      <c r="DZ514" s="399"/>
      <c r="EA514" s="399">
        <v>0</v>
      </c>
      <c r="EB514" s="399"/>
      <c r="EC514" s="399">
        <v>-130.47398447453543</v>
      </c>
      <c r="ED514" s="399"/>
      <c r="EE514" s="399">
        <v>0</v>
      </c>
      <c r="EF514" s="399">
        <v>0</v>
      </c>
      <c r="EG514" s="399"/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/>
      <c r="EN514" s="399"/>
      <c r="EO514" s="399">
        <v>0</v>
      </c>
      <c r="EP514" s="399">
        <v>0</v>
      </c>
      <c r="EQ514" s="399"/>
      <c r="ER514" s="399">
        <v>0</v>
      </c>
      <c r="ES514" s="399"/>
      <c r="ET514" s="399">
        <v>0</v>
      </c>
      <c r="EU514" s="399"/>
      <c r="EV514" s="399">
        <v>225</v>
      </c>
      <c r="EW514" s="399"/>
      <c r="EX514" s="399"/>
      <c r="EY514" s="399"/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513</v>
      </c>
      <c r="B515" s="399" t="s">
        <v>957</v>
      </c>
      <c r="C515" s="399" t="s">
        <v>2357</v>
      </c>
      <c r="D515" s="399" t="s">
        <v>1826</v>
      </c>
      <c r="E515" s="399" t="s">
        <v>919</v>
      </c>
      <c r="F515" s="399" t="s">
        <v>1240</v>
      </c>
      <c r="G515" s="399" t="s">
        <v>1240</v>
      </c>
      <c r="H515" s="399" t="s">
        <v>1240</v>
      </c>
      <c r="I515" s="399" t="s">
        <v>1240</v>
      </c>
      <c r="J515" s="399" t="s">
        <v>2358</v>
      </c>
      <c r="K515" s="789">
        <v>44743</v>
      </c>
      <c r="L515" s="399">
        <v>0</v>
      </c>
      <c r="M515" s="399">
        <v>0</v>
      </c>
      <c r="N515" s="399">
        <v>632.80499999999995</v>
      </c>
      <c r="O515" s="399">
        <v>632.80499999999995</v>
      </c>
      <c r="P515" s="399">
        <v>632.80499999999995</v>
      </c>
      <c r="Q515" s="399">
        <v>632.80499999999995</v>
      </c>
      <c r="R515" s="399"/>
      <c r="S515" s="399">
        <v>522.37</v>
      </c>
      <c r="T515" s="399">
        <v>144.41999999999999</v>
      </c>
      <c r="U515" s="399"/>
      <c r="V515" s="399">
        <v>421948.04594999994</v>
      </c>
      <c r="W515" s="399">
        <v>421948.04594999994</v>
      </c>
      <c r="X515" s="399">
        <v>412424.33069999999</v>
      </c>
      <c r="Y515" s="399">
        <v>0</v>
      </c>
      <c r="Z515" s="399">
        <v>38854.844260193393</v>
      </c>
      <c r="AA515" s="399">
        <v>0</v>
      </c>
      <c r="AB515" s="399">
        <v>0</v>
      </c>
      <c r="AC515" s="399">
        <v>0</v>
      </c>
      <c r="AD515" s="399">
        <v>64523.109728174211</v>
      </c>
      <c r="AE515" s="399">
        <v>210032.54734071434</v>
      </c>
      <c r="AF515" s="399">
        <v>91390.852102489676</v>
      </c>
      <c r="AG515" s="399">
        <v>0</v>
      </c>
      <c r="AH515" s="399">
        <v>0</v>
      </c>
      <c r="AI515" s="399">
        <v>0</v>
      </c>
      <c r="AJ515" s="399">
        <v>0</v>
      </c>
      <c r="AK515" s="399">
        <v>0</v>
      </c>
      <c r="AL515" s="399">
        <v>6000.73519098004</v>
      </c>
      <c r="AM515" s="399"/>
      <c r="AN515" s="399">
        <v>920.63963864051618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10225.068412656206</v>
      </c>
      <c r="BH515" s="399">
        <v>0</v>
      </c>
      <c r="BI515" s="399">
        <v>188.13</v>
      </c>
      <c r="BJ515" s="399">
        <v>868.12</v>
      </c>
      <c r="BK515" s="399">
        <v>75335.210000000006</v>
      </c>
      <c r="BL515" s="399">
        <v>1216</v>
      </c>
      <c r="BM515" s="399"/>
      <c r="BN515" s="399"/>
      <c r="BO515" s="399"/>
      <c r="BP515" s="399"/>
      <c r="BQ515" s="399"/>
      <c r="BR515" s="399"/>
      <c r="BS515" s="399"/>
      <c r="BT515" s="399"/>
      <c r="BU515" s="399"/>
      <c r="BV515" s="399">
        <v>101615.92051514589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412427.5894</v>
      </c>
      <c r="CJ515" s="399">
        <v>-9520.4865499999723</v>
      </c>
      <c r="CK515" s="399"/>
      <c r="CL515" s="399"/>
      <c r="CM515" s="399"/>
      <c r="CN515" s="399"/>
      <c r="CO515" s="399">
        <v>-13219.296449999991</v>
      </c>
      <c r="CP515" s="399">
        <v>3695.5812000000019</v>
      </c>
      <c r="CQ515" s="399">
        <v>31</v>
      </c>
      <c r="CR515" s="399">
        <v>-60.735836354375351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2700.379352721211</v>
      </c>
      <c r="DA515" s="399">
        <v>0</v>
      </c>
      <c r="DB515" s="399">
        <v>0</v>
      </c>
      <c r="DC515" s="399">
        <v>3695.4498286315647</v>
      </c>
      <c r="DD515" s="399">
        <v>0</v>
      </c>
      <c r="DE515" s="399">
        <v>0</v>
      </c>
      <c r="DF515" s="399">
        <v>0</v>
      </c>
      <c r="DG515" s="399">
        <v>413.45743522466728</v>
      </c>
      <c r="DH515" s="399">
        <v>0</v>
      </c>
      <c r="DI515" s="399">
        <v>-5969.3130491194388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-789.60409781650378</v>
      </c>
      <c r="DP515" s="399">
        <v>-111.1053059958499</v>
      </c>
      <c r="DQ515" s="399">
        <v>0</v>
      </c>
      <c r="DR515" s="399">
        <v>0</v>
      </c>
      <c r="DS515" s="399"/>
      <c r="DT515" s="399"/>
      <c r="DU515" s="399"/>
      <c r="DV515" s="399">
        <v>210032.54734071434</v>
      </c>
      <c r="DW515" s="399">
        <v>0</v>
      </c>
      <c r="DX515" s="399">
        <v>0</v>
      </c>
      <c r="DY515" s="399">
        <v>-13219.296449999965</v>
      </c>
      <c r="DZ515" s="399">
        <v>3695.5812000000005</v>
      </c>
      <c r="EA515" s="399">
        <v>0</v>
      </c>
      <c r="EB515" s="399">
        <v>0</v>
      </c>
      <c r="EC515" s="399">
        <v>-9459.2842490545299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225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514</v>
      </c>
      <c r="B516" s="399" t="s">
        <v>2360</v>
      </c>
      <c r="C516" s="399" t="s">
        <v>2357</v>
      </c>
      <c r="D516" s="399" t="s">
        <v>1826</v>
      </c>
      <c r="E516" s="399" t="s">
        <v>919</v>
      </c>
      <c r="F516" s="399" t="s">
        <v>1240</v>
      </c>
      <c r="G516" s="399" t="s">
        <v>1240</v>
      </c>
      <c r="H516" s="399" t="s">
        <v>1240</v>
      </c>
      <c r="I516" s="399" t="s">
        <v>1240</v>
      </c>
      <c r="J516" s="399" t="s">
        <v>2358</v>
      </c>
      <c r="K516" s="789">
        <v>44743</v>
      </c>
      <c r="L516" s="399">
        <v>0</v>
      </c>
      <c r="M516" s="399">
        <v>0</v>
      </c>
      <c r="N516" s="399">
        <v>42.026000000000003</v>
      </c>
      <c r="O516" s="399">
        <v>42.026000000000003</v>
      </c>
      <c r="P516" s="399">
        <v>42.026000000000003</v>
      </c>
      <c r="Q516" s="399">
        <v>42.026000000000003</v>
      </c>
      <c r="R516" s="399"/>
      <c r="S516" s="399">
        <v>522.37</v>
      </c>
      <c r="T516" s="399">
        <v>144.41999999999999</v>
      </c>
      <c r="U516" s="399"/>
      <c r="V516" s="399">
        <v>28022.516540000001</v>
      </c>
      <c r="W516" s="399">
        <v>28022.516540000001</v>
      </c>
      <c r="X516" s="399">
        <v>27390.025240000003</v>
      </c>
      <c r="Y516" s="399">
        <v>0</v>
      </c>
      <c r="Z516" s="399">
        <v>2580.4373936345123</v>
      </c>
      <c r="AA516" s="399">
        <v>0</v>
      </c>
      <c r="AB516" s="399">
        <v>0</v>
      </c>
      <c r="AC516" s="399">
        <v>0</v>
      </c>
      <c r="AD516" s="399">
        <v>4285.1245003377817</v>
      </c>
      <c r="AE516" s="399">
        <v>13948.732760551611</v>
      </c>
      <c r="AF516" s="399">
        <v>6069.4715598948051</v>
      </c>
      <c r="AG516" s="399">
        <v>0</v>
      </c>
      <c r="AH516" s="399">
        <v>0</v>
      </c>
      <c r="AI516" s="399">
        <v>0</v>
      </c>
      <c r="AJ516" s="399">
        <v>0</v>
      </c>
      <c r="AK516" s="399">
        <v>0</v>
      </c>
      <c r="AL516" s="399">
        <v>398.52228907187396</v>
      </c>
      <c r="AM516" s="399"/>
      <c r="AN516" s="399">
        <v>61.141744223744027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679.06973729709762</v>
      </c>
      <c r="BH516" s="399">
        <v>0</v>
      </c>
      <c r="BI516" s="399">
        <v>0.39</v>
      </c>
      <c r="BJ516" s="399">
        <v>1.81</v>
      </c>
      <c r="BK516" s="399">
        <v>8913.24</v>
      </c>
      <c r="BL516" s="399">
        <v>51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>
        <v>6748.5412971919031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27392.6322</v>
      </c>
      <c r="CJ516" s="399">
        <v>-629.91433999999572</v>
      </c>
      <c r="CK516" s="399"/>
      <c r="CL516" s="399"/>
      <c r="CM516" s="399"/>
      <c r="CN516" s="399"/>
      <c r="CO516" s="399">
        <v>-877.92313999999953</v>
      </c>
      <c r="CP516" s="399">
        <v>245.43184000000016</v>
      </c>
      <c r="CQ516" s="399">
        <v>31</v>
      </c>
      <c r="CR516" s="399">
        <v>-4.0336031773240393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179.33825219058235</v>
      </c>
      <c r="DA516" s="399">
        <v>0</v>
      </c>
      <c r="DB516" s="399">
        <v>0</v>
      </c>
      <c r="DC516" s="399">
        <v>245.42311533263728</v>
      </c>
      <c r="DD516" s="399">
        <v>0</v>
      </c>
      <c r="DE516" s="399">
        <v>0</v>
      </c>
      <c r="DF516" s="399">
        <v>0</v>
      </c>
      <c r="DG516" s="399">
        <v>27.458636029664376</v>
      </c>
      <c r="DH516" s="399">
        <v>0</v>
      </c>
      <c r="DI516" s="399">
        <v>-396.43547412282351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-52.439379927207256</v>
      </c>
      <c r="DP516" s="399">
        <v>-7.3787526801804475</v>
      </c>
      <c r="DQ516" s="399">
        <v>0</v>
      </c>
      <c r="DR516" s="399">
        <v>0</v>
      </c>
      <c r="DS516" s="399"/>
      <c r="DT516" s="399"/>
      <c r="DU516" s="399"/>
      <c r="DV516" s="399">
        <v>13948.732760551611</v>
      </c>
      <c r="DW516" s="399">
        <v>0</v>
      </c>
      <c r="DX516" s="399">
        <v>0</v>
      </c>
      <c r="DY516" s="399">
        <v>-877.92313999999897</v>
      </c>
      <c r="DZ516" s="399">
        <v>245.43184000000019</v>
      </c>
      <c r="EA516" s="399">
        <v>0</v>
      </c>
      <c r="EB516" s="399">
        <v>0</v>
      </c>
      <c r="EC516" s="399">
        <v>-628.21229265060356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0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225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515</v>
      </c>
      <c r="B517" s="399" t="s">
        <v>957</v>
      </c>
      <c r="C517" s="399" t="s">
        <v>2366</v>
      </c>
      <c r="D517" s="399" t="s">
        <v>534</v>
      </c>
      <c r="E517" s="399" t="s">
        <v>919</v>
      </c>
      <c r="F517" s="399" t="s">
        <v>1240</v>
      </c>
      <c r="G517" s="399" t="s">
        <v>1240</v>
      </c>
      <c r="H517" s="399" t="s">
        <v>1240</v>
      </c>
      <c r="I517" s="399" t="s">
        <v>894</v>
      </c>
      <c r="J517" s="399" t="s">
        <v>2358</v>
      </c>
      <c r="K517" s="789">
        <v>44743</v>
      </c>
      <c r="L517" s="399">
        <v>0</v>
      </c>
      <c r="M517" s="399">
        <v>0</v>
      </c>
      <c r="N517" s="399">
        <v>6.944</v>
      </c>
      <c r="O517" s="399">
        <v>6.944</v>
      </c>
      <c r="P517" s="399">
        <v>6.944</v>
      </c>
      <c r="Q517" s="399">
        <v>6.944</v>
      </c>
      <c r="R517" s="399"/>
      <c r="S517" s="399">
        <v>2740.31</v>
      </c>
      <c r="T517" s="399">
        <v>144.41999999999999</v>
      </c>
      <c r="U517" s="399"/>
      <c r="V517" s="399">
        <v>20031.565119999999</v>
      </c>
      <c r="W517" s="399">
        <v>20031.565119999999</v>
      </c>
      <c r="X517" s="399">
        <v>19626.660479999999</v>
      </c>
      <c r="Y517" s="399">
        <v>0</v>
      </c>
      <c r="Z517" s="399">
        <v>370.9404848764172</v>
      </c>
      <c r="AA517" s="399">
        <v>0</v>
      </c>
      <c r="AB517" s="399">
        <v>0</v>
      </c>
      <c r="AC517" s="399">
        <v>0</v>
      </c>
      <c r="AD517" s="399">
        <v>5226.4905751896404</v>
      </c>
      <c r="AE517" s="399">
        <v>13318.644538273378</v>
      </c>
      <c r="AF517" s="399">
        <v>1002.8651432900947</v>
      </c>
      <c r="AG517" s="399">
        <v>0</v>
      </c>
      <c r="AH517" s="399">
        <v>0</v>
      </c>
      <c r="AI517" s="399">
        <v>0</v>
      </c>
      <c r="AJ517" s="399">
        <v>0</v>
      </c>
      <c r="AK517" s="399">
        <v>0</v>
      </c>
      <c r="AL517" s="399">
        <v>65.84825525424958</v>
      </c>
      <c r="AM517" s="399"/>
      <c r="AN517" s="399">
        <v>3.455926052757786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43.320855033191449</v>
      </c>
      <c r="BH517" s="399">
        <v>0</v>
      </c>
      <c r="BI517" s="399">
        <v>0</v>
      </c>
      <c r="BJ517" s="399">
        <v>0</v>
      </c>
      <c r="BK517" s="399">
        <v>0</v>
      </c>
      <c r="BL517" s="399">
        <v>0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>
        <v>1046.1859983232862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19615.354800000001</v>
      </c>
      <c r="CJ517" s="399">
        <v>-416.24031999999352</v>
      </c>
      <c r="CK517" s="399"/>
      <c r="CL517" s="399"/>
      <c r="CM517" s="399"/>
      <c r="CN517" s="399"/>
      <c r="CO517" s="399">
        <v>-445.45760000000064</v>
      </c>
      <c r="CP517" s="399">
        <v>40.55296000000002</v>
      </c>
      <c r="CQ517" s="399">
        <v>31</v>
      </c>
      <c r="CR517" s="399">
        <v>194.96923618250185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218.73569479044363</v>
      </c>
      <c r="DA517" s="399">
        <v>0</v>
      </c>
      <c r="DB517" s="399">
        <v>0</v>
      </c>
      <c r="DC517" s="399">
        <v>40.551518414073144</v>
      </c>
      <c r="DD517" s="399">
        <v>0</v>
      </c>
      <c r="DE517" s="399">
        <v>0</v>
      </c>
      <c r="DF517" s="399">
        <v>0</v>
      </c>
      <c r="DG517" s="399">
        <v>1.751707557437193</v>
      </c>
      <c r="DH517" s="399">
        <v>0</v>
      </c>
      <c r="DI517" s="399">
        <v>-56.988000311919336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-8.6646136728341361</v>
      </c>
      <c r="DP517" s="399">
        <v>-0.41707059469836993</v>
      </c>
      <c r="DQ517" s="399">
        <v>0</v>
      </c>
      <c r="DR517" s="399">
        <v>0</v>
      </c>
      <c r="DS517" s="399"/>
      <c r="DT517" s="399"/>
      <c r="DU517" s="399"/>
      <c r="DV517" s="399">
        <v>13318.644538273378</v>
      </c>
      <c r="DW517" s="399">
        <v>0</v>
      </c>
      <c r="DX517" s="399">
        <v>0</v>
      </c>
      <c r="DY517" s="399">
        <v>-445.45759999999791</v>
      </c>
      <c r="DZ517" s="399">
        <v>40.552960000000098</v>
      </c>
      <c r="EA517" s="399">
        <v>0</v>
      </c>
      <c r="EB517" s="399">
        <v>0</v>
      </c>
      <c r="EC517" s="399">
        <v>-599.83486414265826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225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516</v>
      </c>
      <c r="B518" s="399" t="s">
        <v>957</v>
      </c>
      <c r="C518" s="399" t="s">
        <v>2366</v>
      </c>
      <c r="D518" s="399" t="s">
        <v>534</v>
      </c>
      <c r="E518" s="399" t="s">
        <v>919</v>
      </c>
      <c r="F518" s="399" t="s">
        <v>1240</v>
      </c>
      <c r="G518" s="399" t="s">
        <v>1240</v>
      </c>
      <c r="H518" s="399" t="s">
        <v>1240</v>
      </c>
      <c r="I518" s="399" t="s">
        <v>2328</v>
      </c>
      <c r="J518" s="399" t="s">
        <v>2358</v>
      </c>
      <c r="K518" s="789">
        <v>44743</v>
      </c>
      <c r="L518" s="399">
        <v>0</v>
      </c>
      <c r="M518" s="399">
        <v>0</v>
      </c>
      <c r="N518" s="399">
        <v>401.84199999999998</v>
      </c>
      <c r="O518" s="399">
        <v>401.84199999999998</v>
      </c>
      <c r="P518" s="399">
        <v>401.84199999999998</v>
      </c>
      <c r="Q518" s="399">
        <v>401.84199999999998</v>
      </c>
      <c r="R518" s="399"/>
      <c r="S518" s="399">
        <v>69.64</v>
      </c>
      <c r="T518" s="399">
        <v>144.41999999999999</v>
      </c>
      <c r="U518" s="399"/>
      <c r="V518" s="399">
        <v>86018.298519999982</v>
      </c>
      <c r="W518" s="399">
        <v>86018.298519999982</v>
      </c>
      <c r="X518" s="399">
        <v>84643.998879999999</v>
      </c>
      <c r="Y518" s="399">
        <v>0</v>
      </c>
      <c r="Z518" s="399">
        <v>21465.936970580246</v>
      </c>
      <c r="AA518" s="399">
        <v>0</v>
      </c>
      <c r="AB518" s="399">
        <v>0</v>
      </c>
      <c r="AC518" s="399">
        <v>0</v>
      </c>
      <c r="AD518" s="399">
        <v>0</v>
      </c>
      <c r="AE518" s="399">
        <v>0</v>
      </c>
      <c r="AF518" s="399">
        <v>58034.754451321751</v>
      </c>
      <c r="AG518" s="399">
        <v>0</v>
      </c>
      <c r="AH518" s="399">
        <v>0</v>
      </c>
      <c r="AI518" s="399">
        <v>0</v>
      </c>
      <c r="AJ518" s="399">
        <v>0</v>
      </c>
      <c r="AK518" s="399">
        <v>0</v>
      </c>
      <c r="AL518" s="399">
        <v>3810.569497102269</v>
      </c>
      <c r="AM518" s="399"/>
      <c r="AN518" s="399">
        <v>199.99081752481194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2506.932463745351</v>
      </c>
      <c r="BH518" s="399">
        <v>0</v>
      </c>
      <c r="BI518" s="399">
        <v>0</v>
      </c>
      <c r="BJ518" s="399">
        <v>0</v>
      </c>
      <c r="BK518" s="399">
        <v>0</v>
      </c>
      <c r="BL518" s="399">
        <v>0</v>
      </c>
      <c r="BM518" s="399"/>
      <c r="BN518" s="399"/>
      <c r="BO518" s="399"/>
      <c r="BP518" s="399"/>
      <c r="BQ518" s="399"/>
      <c r="BR518" s="399"/>
      <c r="BS518" s="399"/>
      <c r="BT518" s="399"/>
      <c r="BU518" s="399"/>
      <c r="BV518" s="399">
        <v>60541.686915067105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84643.57759999999</v>
      </c>
      <c r="CJ518" s="399">
        <v>-1374.7509199999913</v>
      </c>
      <c r="CK518" s="399"/>
      <c r="CL518" s="399"/>
      <c r="CM518" s="399"/>
      <c r="CN518" s="399"/>
      <c r="CO518" s="399">
        <v>-3721.0569199999991</v>
      </c>
      <c r="CP518" s="399">
        <v>2346.7572800000012</v>
      </c>
      <c r="CQ518" s="399">
        <v>31</v>
      </c>
      <c r="CR518" s="399">
        <v>-1375.3400431930495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0</v>
      </c>
      <c r="DA518" s="399">
        <v>0</v>
      </c>
      <c r="DB518" s="399">
        <v>0</v>
      </c>
      <c r="DC518" s="399">
        <v>2346.6738569337467</v>
      </c>
      <c r="DD518" s="399">
        <v>0</v>
      </c>
      <c r="DE518" s="399">
        <v>0</v>
      </c>
      <c r="DF518" s="399">
        <v>0</v>
      </c>
      <c r="DG518" s="399">
        <v>101.36947988128986</v>
      </c>
      <c r="DH518" s="399">
        <v>0</v>
      </c>
      <c r="DI518" s="399">
        <v>-3297.8358325665722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-501.41210937773803</v>
      </c>
      <c r="DP518" s="399">
        <v>-24.135438063764724</v>
      </c>
      <c r="DQ518" s="399">
        <v>0</v>
      </c>
      <c r="DR518" s="399">
        <v>0</v>
      </c>
      <c r="DS518" s="399"/>
      <c r="DT518" s="399"/>
      <c r="DU518" s="399"/>
      <c r="DV518" s="399">
        <v>0</v>
      </c>
      <c r="DW518" s="399">
        <v>0</v>
      </c>
      <c r="DX518" s="399">
        <v>0</v>
      </c>
      <c r="DY518" s="399">
        <v>-3721.0569199999991</v>
      </c>
      <c r="DZ518" s="399">
        <v>2346.7572800000053</v>
      </c>
      <c r="EA518" s="399">
        <v>0</v>
      </c>
      <c r="EB518" s="399">
        <v>0</v>
      </c>
      <c r="EC518" s="399">
        <v>0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225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517</v>
      </c>
      <c r="B519" s="399" t="s">
        <v>957</v>
      </c>
      <c r="C519" s="399" t="s">
        <v>2366</v>
      </c>
      <c r="D519" s="399" t="s">
        <v>534</v>
      </c>
      <c r="E519" s="399" t="s">
        <v>919</v>
      </c>
      <c r="F519" s="399" t="s">
        <v>1240</v>
      </c>
      <c r="G519" s="399" t="s">
        <v>1240</v>
      </c>
      <c r="H519" s="399" t="s">
        <v>1240</v>
      </c>
      <c r="I519" s="399" t="s">
        <v>1240</v>
      </c>
      <c r="J519" s="399" t="s">
        <v>2358</v>
      </c>
      <c r="K519" s="789">
        <v>44743</v>
      </c>
      <c r="L519" s="399">
        <v>1909</v>
      </c>
      <c r="M519" s="399">
        <v>1909</v>
      </c>
      <c r="N519" s="399">
        <v>0</v>
      </c>
      <c r="O519" s="399">
        <v>0</v>
      </c>
      <c r="P519" s="399">
        <v>0</v>
      </c>
      <c r="Q519" s="399">
        <v>0</v>
      </c>
      <c r="R519" s="399">
        <v>34.950000000000003</v>
      </c>
      <c r="S519" s="399"/>
      <c r="T519" s="399"/>
      <c r="U519" s="399">
        <v>66719.55</v>
      </c>
      <c r="V519" s="399"/>
      <c r="W519" s="399">
        <v>66719.55</v>
      </c>
      <c r="X519" s="399">
        <v>65822.319999999992</v>
      </c>
      <c r="Y519" s="399">
        <v>0</v>
      </c>
      <c r="Z519" s="399">
        <v>0</v>
      </c>
      <c r="AA519" s="399">
        <v>0</v>
      </c>
      <c r="AB519" s="399">
        <v>0</v>
      </c>
      <c r="AC519" s="399">
        <v>0</v>
      </c>
      <c r="AD519" s="399">
        <v>24186.609087333232</v>
      </c>
      <c r="AE519" s="399">
        <v>42541.698457860613</v>
      </c>
      <c r="AF519" s="399"/>
      <c r="AG519" s="399"/>
      <c r="AH519" s="399"/>
      <c r="AI519" s="399">
        <v>0</v>
      </c>
      <c r="AJ519" s="399">
        <v>0</v>
      </c>
      <c r="AK519" s="399">
        <v>0</v>
      </c>
      <c r="AL519" s="399">
        <v>0</v>
      </c>
      <c r="AM519" s="399"/>
      <c r="AN519" s="399">
        <v>0</v>
      </c>
      <c r="AO519" s="399">
        <v>0</v>
      </c>
      <c r="AP519" s="399">
        <v>0</v>
      </c>
      <c r="AQ519" s="399">
        <v>0</v>
      </c>
      <c r="AR519" s="399">
        <v>0</v>
      </c>
      <c r="AS519" s="399"/>
      <c r="AT519" s="399"/>
      <c r="AU519" s="399">
        <v>0</v>
      </c>
      <c r="AV519" s="399">
        <v>0</v>
      </c>
      <c r="AW519" s="399">
        <v>0</v>
      </c>
      <c r="AX519" s="399"/>
      <c r="AY519" s="399"/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/>
      <c r="BG519" s="399">
        <v>0</v>
      </c>
      <c r="BH519" s="399">
        <v>0</v>
      </c>
      <c r="BI519" s="399">
        <v>0</v>
      </c>
      <c r="BJ519" s="399">
        <v>0</v>
      </c>
      <c r="BK519" s="399">
        <v>30830.6</v>
      </c>
      <c r="BL519" s="399">
        <v>14</v>
      </c>
      <c r="BM519" s="399"/>
      <c r="BN519" s="399"/>
      <c r="BO519" s="399"/>
      <c r="BP519" s="399"/>
      <c r="BQ519" s="399"/>
      <c r="BR519" s="399"/>
      <c r="BS519" s="399"/>
      <c r="BT519" s="399"/>
      <c r="BU519" s="399"/>
      <c r="BV519" s="399">
        <v>0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65822.319999999992</v>
      </c>
      <c r="CJ519" s="399">
        <v>-897.25999999999476</v>
      </c>
      <c r="CK519" s="399"/>
      <c r="CL519" s="399"/>
      <c r="CM519" s="399"/>
      <c r="CN519" s="399"/>
      <c r="CO519" s="399">
        <v>-897.23000000001139</v>
      </c>
      <c r="CP519" s="399">
        <v>0</v>
      </c>
      <c r="CQ519" s="399">
        <v>31</v>
      </c>
      <c r="CR519" s="399">
        <v>1012.2422813611302</v>
      </c>
      <c r="CS519" s="399">
        <v>0</v>
      </c>
      <c r="CT519" s="399">
        <v>0</v>
      </c>
      <c r="CU519" s="399">
        <v>0</v>
      </c>
      <c r="CV519" s="399">
        <v>0</v>
      </c>
      <c r="CW519" s="399"/>
      <c r="CX519" s="399"/>
      <c r="CY519" s="399"/>
      <c r="CZ519" s="399">
        <v>1012.2422813611302</v>
      </c>
      <c r="DA519" s="399">
        <v>0</v>
      </c>
      <c r="DB519" s="399">
        <v>0</v>
      </c>
      <c r="DC519" s="399"/>
      <c r="DD519" s="399"/>
      <c r="DE519" s="399">
        <v>0</v>
      </c>
      <c r="DF519" s="399">
        <v>0</v>
      </c>
      <c r="DG519" s="399">
        <v>0</v>
      </c>
      <c r="DH519" s="399">
        <v>0</v>
      </c>
      <c r="DI519" s="399">
        <v>0</v>
      </c>
      <c r="DJ519" s="399"/>
      <c r="DK519" s="399">
        <v>0</v>
      </c>
      <c r="DL519" s="399">
        <v>0</v>
      </c>
      <c r="DM519" s="399"/>
      <c r="DN519" s="399">
        <v>0</v>
      </c>
      <c r="DO519" s="399">
        <v>0</v>
      </c>
      <c r="DP519" s="399">
        <v>0</v>
      </c>
      <c r="DQ519" s="399">
        <v>0</v>
      </c>
      <c r="DR519" s="399">
        <v>0</v>
      </c>
      <c r="DS519" s="399"/>
      <c r="DT519" s="399"/>
      <c r="DU519" s="399">
        <v>42541.698457860613</v>
      </c>
      <c r="DV519" s="399"/>
      <c r="DW519" s="399">
        <v>0</v>
      </c>
      <c r="DX519" s="399">
        <v>0</v>
      </c>
      <c r="DY519" s="399">
        <v>-897.23000000001048</v>
      </c>
      <c r="DZ519" s="399"/>
      <c r="EA519" s="399">
        <v>0</v>
      </c>
      <c r="EB519" s="399"/>
      <c r="EC519" s="399">
        <v>-1915.9602797068292</v>
      </c>
      <c r="ED519" s="399"/>
      <c r="EE519" s="399">
        <v>0</v>
      </c>
      <c r="EF519" s="399">
        <v>0</v>
      </c>
      <c r="EG519" s="399"/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/>
      <c r="EN519" s="399"/>
      <c r="EO519" s="399">
        <v>0</v>
      </c>
      <c r="EP519" s="399">
        <v>0</v>
      </c>
      <c r="EQ519" s="399"/>
      <c r="ER519" s="399">
        <v>0</v>
      </c>
      <c r="ES519" s="399"/>
      <c r="ET519" s="399">
        <v>0</v>
      </c>
      <c r="EU519" s="399"/>
      <c r="EV519" s="399">
        <v>225</v>
      </c>
      <c r="EW519" s="399"/>
      <c r="EX519" s="399"/>
      <c r="EY519" s="399"/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518</v>
      </c>
      <c r="B520" s="399" t="s">
        <v>957</v>
      </c>
      <c r="C520" s="399" t="s">
        <v>2367</v>
      </c>
      <c r="D520" s="399" t="s">
        <v>1826</v>
      </c>
      <c r="E520" s="399" t="s">
        <v>919</v>
      </c>
      <c r="F520" s="399" t="s">
        <v>1240</v>
      </c>
      <c r="G520" s="399" t="s">
        <v>1240</v>
      </c>
      <c r="H520" s="399" t="s">
        <v>1240</v>
      </c>
      <c r="I520" s="399" t="s">
        <v>894</v>
      </c>
      <c r="J520" s="399" t="s">
        <v>2358</v>
      </c>
      <c r="K520" s="789">
        <v>44743</v>
      </c>
      <c r="L520" s="399">
        <v>0</v>
      </c>
      <c r="M520" s="399">
        <v>0</v>
      </c>
      <c r="N520" s="399">
        <v>7.6999999999999999E-2</v>
      </c>
      <c r="O520" s="399">
        <v>7.6999999999999999E-2</v>
      </c>
      <c r="P520" s="399">
        <v>7.6999999999999999E-2</v>
      </c>
      <c r="Q520" s="399">
        <v>7.6999999999999999E-2</v>
      </c>
      <c r="R520" s="399"/>
      <c r="S520" s="399">
        <v>1585.55</v>
      </c>
      <c r="T520" s="399">
        <v>144.41999999999999</v>
      </c>
      <c r="U520" s="399"/>
      <c r="V520" s="399">
        <v>133.20769000000001</v>
      </c>
      <c r="W520" s="399">
        <v>133.20769000000001</v>
      </c>
      <c r="X520" s="399">
        <v>130.03529</v>
      </c>
      <c r="Y520" s="399">
        <v>0</v>
      </c>
      <c r="Z520" s="399">
        <v>4.727875108500867</v>
      </c>
      <c r="AA520" s="399">
        <v>0</v>
      </c>
      <c r="AB520" s="399">
        <v>0</v>
      </c>
      <c r="AC520" s="399">
        <v>0</v>
      </c>
      <c r="AD520" s="399">
        <v>27.102168534906539</v>
      </c>
      <c r="AE520" s="399">
        <v>88.171091871878403</v>
      </c>
      <c r="AF520" s="399">
        <v>11.120480419547421</v>
      </c>
      <c r="AG520" s="399">
        <v>0</v>
      </c>
      <c r="AH520" s="399">
        <v>0</v>
      </c>
      <c r="AI520" s="399">
        <v>0</v>
      </c>
      <c r="AJ520" s="399">
        <v>0</v>
      </c>
      <c r="AK520" s="399">
        <v>0</v>
      </c>
      <c r="AL520" s="399">
        <v>0.7301721852789772</v>
      </c>
      <c r="AM520" s="399"/>
      <c r="AN520" s="399">
        <v>0.11202384964613073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1.2441909715860779</v>
      </c>
      <c r="BH520" s="399">
        <v>0</v>
      </c>
      <c r="BI520" s="399">
        <v>0</v>
      </c>
      <c r="BJ520" s="399">
        <v>0</v>
      </c>
      <c r="BK520" s="399">
        <v>0</v>
      </c>
      <c r="BL520" s="399">
        <v>0</v>
      </c>
      <c r="BM520" s="399"/>
      <c r="BN520" s="399"/>
      <c r="BO520" s="399"/>
      <c r="BP520" s="399"/>
      <c r="BQ520" s="399"/>
      <c r="BR520" s="399"/>
      <c r="BS520" s="399"/>
      <c r="BT520" s="399"/>
      <c r="BU520" s="399"/>
      <c r="BV520" s="399">
        <v>12.364671391133498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135.10159999999999</v>
      </c>
      <c r="CJ520" s="399">
        <v>1.8639100000000042</v>
      </c>
      <c r="CK520" s="399"/>
      <c r="CL520" s="399"/>
      <c r="CM520" s="399"/>
      <c r="CN520" s="399"/>
      <c r="CO520" s="399">
        <v>-3.6220799999999973</v>
      </c>
      <c r="CP520" s="399">
        <v>0.44968000000000025</v>
      </c>
      <c r="CQ520" s="399">
        <v>31</v>
      </c>
      <c r="CR520" s="399">
        <v>0.79828863387430005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1.1342623849647921</v>
      </c>
      <c r="DA520" s="399">
        <v>0</v>
      </c>
      <c r="DB520" s="399">
        <v>0</v>
      </c>
      <c r="DC520" s="399">
        <v>0.44966401467218198</v>
      </c>
      <c r="DD520" s="399">
        <v>0</v>
      </c>
      <c r="DE520" s="399">
        <v>0</v>
      </c>
      <c r="DF520" s="399">
        <v>0</v>
      </c>
      <c r="DG520" s="399">
        <v>5.0309688628091154E-2</v>
      </c>
      <c r="DH520" s="399">
        <v>0</v>
      </c>
      <c r="DI520" s="399">
        <v>-0.72634872477650525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-9.6079385485056013E-2</v>
      </c>
      <c r="DP520" s="399">
        <v>-1.351934412920322E-2</v>
      </c>
      <c r="DQ520" s="399">
        <v>0</v>
      </c>
      <c r="DR520" s="399">
        <v>0</v>
      </c>
      <c r="DS520" s="399"/>
      <c r="DT520" s="399"/>
      <c r="DU520" s="399"/>
      <c r="DV520" s="399">
        <v>88.171091871878403</v>
      </c>
      <c r="DW520" s="399">
        <v>0</v>
      </c>
      <c r="DX520" s="399">
        <v>0</v>
      </c>
      <c r="DY520" s="399">
        <v>-3.6220799999999969</v>
      </c>
      <c r="DZ520" s="399">
        <v>0.44968000000000075</v>
      </c>
      <c r="EA520" s="399">
        <v>0</v>
      </c>
      <c r="EB520" s="399">
        <v>0</v>
      </c>
      <c r="EC520" s="399">
        <v>-3.9709817888971912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225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519</v>
      </c>
      <c r="B521" s="399" t="s">
        <v>957</v>
      </c>
      <c r="C521" s="399" t="s">
        <v>2367</v>
      </c>
      <c r="D521" s="399" t="s">
        <v>1826</v>
      </c>
      <c r="E521" s="399" t="s">
        <v>919</v>
      </c>
      <c r="F521" s="399" t="s">
        <v>1240</v>
      </c>
      <c r="G521" s="399" t="s">
        <v>1240</v>
      </c>
      <c r="H521" s="399" t="s">
        <v>1240</v>
      </c>
      <c r="I521" s="399" t="s">
        <v>2328</v>
      </c>
      <c r="J521" s="399" t="s">
        <v>2358</v>
      </c>
      <c r="K521" s="789">
        <v>44743</v>
      </c>
      <c r="L521" s="399">
        <v>0</v>
      </c>
      <c r="M521" s="399">
        <v>0</v>
      </c>
      <c r="N521" s="399">
        <v>3.302</v>
      </c>
      <c r="O521" s="399">
        <v>3.302</v>
      </c>
      <c r="P521" s="399">
        <v>3.302</v>
      </c>
      <c r="Q521" s="399">
        <v>3.302</v>
      </c>
      <c r="R521" s="399"/>
      <c r="S521" s="399">
        <v>387.88</v>
      </c>
      <c r="T521" s="399">
        <v>144.41999999999999</v>
      </c>
      <c r="U521" s="399"/>
      <c r="V521" s="399">
        <v>1757.6545999999998</v>
      </c>
      <c r="W521" s="399">
        <v>1757.6545999999998</v>
      </c>
      <c r="X521" s="399">
        <v>1718.9221399999999</v>
      </c>
      <c r="Y521" s="399">
        <v>0</v>
      </c>
      <c r="Z521" s="399">
        <v>202.74602088662161</v>
      </c>
      <c r="AA521" s="399">
        <v>0</v>
      </c>
      <c r="AB521" s="399">
        <v>0</v>
      </c>
      <c r="AC521" s="399">
        <v>0</v>
      </c>
      <c r="AD521" s="399">
        <v>232.34521228769128</v>
      </c>
      <c r="AE521" s="399">
        <v>756.2103811706063</v>
      </c>
      <c r="AF521" s="399">
        <v>476.88086162786476</v>
      </c>
      <c r="AG521" s="399">
        <v>0</v>
      </c>
      <c r="AH521" s="399">
        <v>0</v>
      </c>
      <c r="AI521" s="399">
        <v>0</v>
      </c>
      <c r="AJ521" s="399">
        <v>0</v>
      </c>
      <c r="AK521" s="399">
        <v>0</v>
      </c>
      <c r="AL521" s="399">
        <v>31.312059166119255</v>
      </c>
      <c r="AM521" s="399"/>
      <c r="AN521" s="399">
        <v>4.803931838071736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53.354786859444538</v>
      </c>
      <c r="BH521" s="399">
        <v>0</v>
      </c>
      <c r="BI521" s="399">
        <v>0</v>
      </c>
      <c r="BJ521" s="399">
        <v>0</v>
      </c>
      <c r="BK521" s="399">
        <v>0</v>
      </c>
      <c r="BL521" s="399">
        <v>0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530.23564848730928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1717.8809999999999</v>
      </c>
      <c r="CJ521" s="399">
        <v>-39.80359999999996</v>
      </c>
      <c r="CK521" s="399"/>
      <c r="CL521" s="399"/>
      <c r="CM521" s="399"/>
      <c r="CN521" s="399"/>
      <c r="CO521" s="399">
        <v>-58.016139999999979</v>
      </c>
      <c r="CP521" s="399">
        <v>19.283680000000011</v>
      </c>
      <c r="CQ521" s="399">
        <v>31</v>
      </c>
      <c r="CR521" s="399">
        <v>-4.6836404614608682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9.7239611762120433</v>
      </c>
      <c r="DA521" s="399">
        <v>0</v>
      </c>
      <c r="DB521" s="399">
        <v>0</v>
      </c>
      <c r="DC521" s="399">
        <v>19.282994499318761</v>
      </c>
      <c r="DD521" s="399">
        <v>0</v>
      </c>
      <c r="DE521" s="399">
        <v>0</v>
      </c>
      <c r="DF521" s="399">
        <v>0</v>
      </c>
      <c r="DG521" s="399">
        <v>2.1574362577916517</v>
      </c>
      <c r="DH521" s="399">
        <v>0</v>
      </c>
      <c r="DI521" s="399">
        <v>-31.148097262493792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-4.1201835178136967</v>
      </c>
      <c r="DP521" s="399">
        <v>-0.57975161447570223</v>
      </c>
      <c r="DQ521" s="399">
        <v>0</v>
      </c>
      <c r="DR521" s="399">
        <v>0</v>
      </c>
      <c r="DS521" s="399"/>
      <c r="DT521" s="399"/>
      <c r="DU521" s="399"/>
      <c r="DV521" s="399">
        <v>756.2103811706063</v>
      </c>
      <c r="DW521" s="399">
        <v>0</v>
      </c>
      <c r="DX521" s="399">
        <v>0</v>
      </c>
      <c r="DY521" s="399">
        <v>-58.01613999999995</v>
      </c>
      <c r="DZ521" s="399">
        <v>19.283680000000004</v>
      </c>
      <c r="EA521" s="399">
        <v>0</v>
      </c>
      <c r="EB521" s="399">
        <v>0</v>
      </c>
      <c r="EC521" s="399">
        <v>-34.057621250363241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0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225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520</v>
      </c>
      <c r="B522" s="399" t="s">
        <v>957</v>
      </c>
      <c r="C522" s="399" t="s">
        <v>2367</v>
      </c>
      <c r="D522" s="399" t="s">
        <v>1826</v>
      </c>
      <c r="E522" s="399" t="s">
        <v>919</v>
      </c>
      <c r="F522" s="399" t="s">
        <v>1240</v>
      </c>
      <c r="G522" s="399" t="s">
        <v>1240</v>
      </c>
      <c r="H522" s="399" t="s">
        <v>1240</v>
      </c>
      <c r="I522" s="399" t="s">
        <v>1240</v>
      </c>
      <c r="J522" s="399" t="s">
        <v>2358</v>
      </c>
      <c r="K522" s="789">
        <v>44743</v>
      </c>
      <c r="L522" s="399">
        <v>0</v>
      </c>
      <c r="M522" s="399">
        <v>0</v>
      </c>
      <c r="N522" s="399">
        <v>0</v>
      </c>
      <c r="O522" s="399">
        <v>0</v>
      </c>
      <c r="P522" s="399">
        <v>0</v>
      </c>
      <c r="Q522" s="399">
        <v>0</v>
      </c>
      <c r="R522" s="399"/>
      <c r="S522" s="399"/>
      <c r="T522" s="399"/>
      <c r="U522" s="399"/>
      <c r="V522" s="399"/>
      <c r="W522" s="399"/>
      <c r="X522" s="399"/>
      <c r="Y522" s="399"/>
      <c r="Z522" s="399"/>
      <c r="AA522" s="399">
        <v>0</v>
      </c>
      <c r="AB522" s="399"/>
      <c r="AC522" s="399"/>
      <c r="AD522" s="399"/>
      <c r="AE522" s="399"/>
      <c r="AF522" s="399"/>
      <c r="AG522" s="399"/>
      <c r="AH522" s="399"/>
      <c r="AI522" s="399"/>
      <c r="AJ522" s="399"/>
      <c r="AK522" s="399"/>
      <c r="AL522" s="399"/>
      <c r="AM522" s="399"/>
      <c r="AN522" s="399"/>
      <c r="AO522" s="399"/>
      <c r="AP522" s="399"/>
      <c r="AQ522" s="399"/>
      <c r="AR522" s="399"/>
      <c r="AS522" s="399"/>
      <c r="AT522" s="399"/>
      <c r="AU522" s="399"/>
      <c r="AV522" s="399"/>
      <c r="AW522" s="399"/>
      <c r="AX522" s="399"/>
      <c r="AY522" s="399"/>
      <c r="AZ522" s="399">
        <v>0</v>
      </c>
      <c r="BA522" s="399"/>
      <c r="BB522" s="399"/>
      <c r="BC522" s="399"/>
      <c r="BD522" s="399"/>
      <c r="BE522" s="399"/>
      <c r="BF522" s="399"/>
      <c r="BG522" s="399"/>
      <c r="BH522" s="399"/>
      <c r="BI522" s="399">
        <v>0</v>
      </c>
      <c r="BJ522" s="399">
        <v>0</v>
      </c>
      <c r="BK522" s="399">
        <v>354.1</v>
      </c>
      <c r="BL522" s="399">
        <v>4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/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/>
      <c r="CJ522" s="399">
        <v>-0.03</v>
      </c>
      <c r="CK522" s="399"/>
      <c r="CL522" s="399"/>
      <c r="CM522" s="399"/>
      <c r="CN522" s="399"/>
      <c r="CO522" s="399">
        <v>0</v>
      </c>
      <c r="CP522" s="399">
        <v>0</v>
      </c>
      <c r="CQ522" s="399">
        <v>31</v>
      </c>
      <c r="CR522" s="399"/>
      <c r="CS522" s="399"/>
      <c r="CT522" s="399"/>
      <c r="CU522" s="399"/>
      <c r="CV522" s="399"/>
      <c r="CW522" s="399"/>
      <c r="CX522" s="399"/>
      <c r="CY522" s="399"/>
      <c r="CZ522" s="399"/>
      <c r="DA522" s="399"/>
      <c r="DB522" s="399"/>
      <c r="DC522" s="399"/>
      <c r="DD522" s="399"/>
      <c r="DE522" s="399"/>
      <c r="DF522" s="399"/>
      <c r="DG522" s="399"/>
      <c r="DH522" s="399"/>
      <c r="DI522" s="399"/>
      <c r="DJ522" s="399"/>
      <c r="DK522" s="399">
        <v>0</v>
      </c>
      <c r="DL522" s="399"/>
      <c r="DM522" s="399"/>
      <c r="DN522" s="399"/>
      <c r="DO522" s="399"/>
      <c r="DP522" s="399"/>
      <c r="DQ522" s="399"/>
      <c r="DR522" s="399"/>
      <c r="DS522" s="399"/>
      <c r="DT522" s="399"/>
      <c r="DU522" s="399"/>
      <c r="DV522" s="399"/>
      <c r="DW522" s="399"/>
      <c r="DX522" s="399"/>
      <c r="DY522" s="399"/>
      <c r="DZ522" s="399"/>
      <c r="EA522" s="399"/>
      <c r="EB522" s="399"/>
      <c r="EC522" s="399"/>
      <c r="ED522" s="399"/>
      <c r="EE522" s="399"/>
      <c r="EF522" s="399"/>
      <c r="EG522" s="399"/>
      <c r="EH522" s="399"/>
      <c r="EI522" s="399"/>
      <c r="EJ522" s="399"/>
      <c r="EK522" s="399"/>
      <c r="EL522" s="399"/>
      <c r="EM522" s="399"/>
      <c r="EN522" s="399"/>
      <c r="EO522" s="399"/>
      <c r="EP522" s="399"/>
      <c r="EQ522" s="399"/>
      <c r="ER522" s="399"/>
      <c r="ES522" s="399"/>
      <c r="ET522" s="399"/>
      <c r="EU522" s="399"/>
      <c r="EV522" s="399">
        <v>225</v>
      </c>
      <c r="EW522" s="399"/>
      <c r="EX522" s="399"/>
      <c r="EY522" s="399"/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521</v>
      </c>
      <c r="B523" s="399" t="s">
        <v>957</v>
      </c>
      <c r="C523" s="399" t="s">
        <v>2367</v>
      </c>
      <c r="D523" s="399" t="s">
        <v>1826</v>
      </c>
      <c r="E523" s="399" t="s">
        <v>919</v>
      </c>
      <c r="F523" s="399" t="s">
        <v>1240</v>
      </c>
      <c r="G523" s="399" t="s">
        <v>1240</v>
      </c>
      <c r="H523" s="399" t="s">
        <v>1240</v>
      </c>
      <c r="I523" s="399" t="s">
        <v>2368</v>
      </c>
      <c r="J523" s="399" t="s">
        <v>2358</v>
      </c>
      <c r="K523" s="789">
        <v>44743</v>
      </c>
      <c r="L523" s="399">
        <v>0</v>
      </c>
      <c r="M523" s="399">
        <v>0</v>
      </c>
      <c r="N523" s="399">
        <v>8.7999999999999995E-2</v>
      </c>
      <c r="O523" s="399">
        <v>8.7999999999999995E-2</v>
      </c>
      <c r="P523" s="399">
        <v>8.7999999999999995E-2</v>
      </c>
      <c r="Q523" s="399">
        <v>8.7999999999999995E-2</v>
      </c>
      <c r="R523" s="399"/>
      <c r="S523" s="399">
        <v>986.74</v>
      </c>
      <c r="T523" s="399">
        <v>144.41999999999999</v>
      </c>
      <c r="U523" s="399"/>
      <c r="V523" s="399">
        <v>99.542079999999999</v>
      </c>
      <c r="W523" s="399">
        <v>99.542079999999999</v>
      </c>
      <c r="X523" s="399">
        <v>97.21271999999999</v>
      </c>
      <c r="Y523" s="399">
        <v>0</v>
      </c>
      <c r="Z523" s="399">
        <v>5.4032858382867053</v>
      </c>
      <c r="AA523" s="399">
        <v>0</v>
      </c>
      <c r="AB523" s="399">
        <v>0</v>
      </c>
      <c r="AC523" s="399">
        <v>0</v>
      </c>
      <c r="AD523" s="399">
        <v>18.585231422038071</v>
      </c>
      <c r="AE523" s="399">
        <v>60.460187955493737</v>
      </c>
      <c r="AF523" s="399">
        <v>12.709120479482767</v>
      </c>
      <c r="AG523" s="399">
        <v>0</v>
      </c>
      <c r="AH523" s="399">
        <v>0</v>
      </c>
      <c r="AI523" s="399">
        <v>0</v>
      </c>
      <c r="AJ523" s="399">
        <v>0</v>
      </c>
      <c r="AK523" s="399">
        <v>0</v>
      </c>
      <c r="AL523" s="399">
        <v>0.83448249746168812</v>
      </c>
      <c r="AM523" s="399"/>
      <c r="AN523" s="399">
        <v>0.1280272567384351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1.4219325389555175</v>
      </c>
      <c r="BH523" s="399">
        <v>0</v>
      </c>
      <c r="BI523" s="399">
        <v>0</v>
      </c>
      <c r="BJ523" s="399">
        <v>0</v>
      </c>
      <c r="BK523" s="399">
        <v>0</v>
      </c>
      <c r="BL523" s="399">
        <v>0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>
        <v>14.131053018438283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99.422099999999986</v>
      </c>
      <c r="CJ523" s="399">
        <v>-0.14998000000002776</v>
      </c>
      <c r="CK523" s="399"/>
      <c r="CL523" s="399"/>
      <c r="CM523" s="399"/>
      <c r="CN523" s="399"/>
      <c r="CO523" s="399">
        <v>-2.8432800000000049</v>
      </c>
      <c r="CP523" s="399">
        <v>0.51392000000000027</v>
      </c>
      <c r="CQ523" s="399">
        <v>31</v>
      </c>
      <c r="CR523" s="399">
        <v>0.39384705389939967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0.77781705514568245</v>
      </c>
      <c r="DA523" s="399">
        <v>0</v>
      </c>
      <c r="DB523" s="399">
        <v>0</v>
      </c>
      <c r="DC523" s="399">
        <v>0.51390173105392201</v>
      </c>
      <c r="DD523" s="399">
        <v>0</v>
      </c>
      <c r="DE523" s="399">
        <v>0</v>
      </c>
      <c r="DF523" s="399">
        <v>0</v>
      </c>
      <c r="DG523" s="399">
        <v>5.7496787003532779E-2</v>
      </c>
      <c r="DH523" s="399">
        <v>0</v>
      </c>
      <c r="DI523" s="399">
        <v>-0.83011282831600663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-0.10980501198292103</v>
      </c>
      <c r="DP523" s="399">
        <v>-1.5450679004803666E-2</v>
      </c>
      <c r="DQ523" s="399">
        <v>0</v>
      </c>
      <c r="DR523" s="399">
        <v>0</v>
      </c>
      <c r="DS523" s="399"/>
      <c r="DT523" s="399"/>
      <c r="DU523" s="399"/>
      <c r="DV523" s="399">
        <v>60.460187955493737</v>
      </c>
      <c r="DW523" s="399">
        <v>0</v>
      </c>
      <c r="DX523" s="399">
        <v>0</v>
      </c>
      <c r="DY523" s="399">
        <v>-2.8432800000000071</v>
      </c>
      <c r="DZ523" s="399">
        <v>0.5139200000000006</v>
      </c>
      <c r="EA523" s="399">
        <v>0</v>
      </c>
      <c r="EB523" s="399">
        <v>0</v>
      </c>
      <c r="EC523" s="399">
        <v>-2.7229594215917245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0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225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522</v>
      </c>
      <c r="B524" s="399" t="s">
        <v>957</v>
      </c>
      <c r="C524" s="399" t="s">
        <v>2357</v>
      </c>
      <c r="D524" s="399" t="s">
        <v>2369</v>
      </c>
      <c r="E524" s="399" t="s">
        <v>895</v>
      </c>
      <c r="F524" s="399" t="s">
        <v>1240</v>
      </c>
      <c r="G524" s="399" t="s">
        <v>1240</v>
      </c>
      <c r="H524" s="399" t="s">
        <v>1240</v>
      </c>
      <c r="I524" s="399" t="s">
        <v>1240</v>
      </c>
      <c r="J524" s="399" t="s">
        <v>2358</v>
      </c>
      <c r="K524" s="789">
        <v>44743</v>
      </c>
      <c r="L524" s="399">
        <v>0</v>
      </c>
      <c r="M524" s="399">
        <v>0</v>
      </c>
      <c r="N524" s="399">
        <v>214.50700000000001</v>
      </c>
      <c r="O524" s="399">
        <v>214.50700000000001</v>
      </c>
      <c r="P524" s="399">
        <v>214.50700000000001</v>
      </c>
      <c r="Q524" s="399">
        <v>214.50700000000001</v>
      </c>
      <c r="R524" s="399"/>
      <c r="S524" s="399">
        <v>522.37</v>
      </c>
      <c r="T524" s="399">
        <v>144.41999999999999</v>
      </c>
      <c r="U524" s="399"/>
      <c r="V524" s="399">
        <v>143031.12252999999</v>
      </c>
      <c r="W524" s="399">
        <v>143031.12252999999</v>
      </c>
      <c r="X524" s="399">
        <v>139802.79217999999</v>
      </c>
      <c r="Y524" s="399">
        <v>0</v>
      </c>
      <c r="Z524" s="399">
        <v>13170.93903765189</v>
      </c>
      <c r="AA524" s="399">
        <v>0</v>
      </c>
      <c r="AB524" s="399">
        <v>0</v>
      </c>
      <c r="AC524" s="399">
        <v>0</v>
      </c>
      <c r="AD524" s="399">
        <v>21871.917412886225</v>
      </c>
      <c r="AE524" s="399">
        <v>71196.421697702477</v>
      </c>
      <c r="AF524" s="399">
        <v>30979.49212150466</v>
      </c>
      <c r="AG524" s="399">
        <v>0</v>
      </c>
      <c r="AH524" s="399">
        <v>0</v>
      </c>
      <c r="AI524" s="399">
        <v>0</v>
      </c>
      <c r="AJ524" s="399">
        <v>0</v>
      </c>
      <c r="AK524" s="399">
        <v>0</v>
      </c>
      <c r="AL524" s="399">
        <v>2034.1174668524359</v>
      </c>
      <c r="AM524" s="399"/>
      <c r="AN524" s="399">
        <v>312.07662228626708</v>
      </c>
      <c r="AO524" s="399">
        <v>0</v>
      </c>
      <c r="AP524" s="399">
        <v>0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3466.0736719742185</v>
      </c>
      <c r="BH524" s="399">
        <v>0</v>
      </c>
      <c r="BI524" s="399">
        <v>3.45</v>
      </c>
      <c r="BJ524" s="399">
        <v>15.89</v>
      </c>
      <c r="BK524" s="399">
        <v>18547.03</v>
      </c>
      <c r="BL524" s="399">
        <v>750</v>
      </c>
      <c r="BM524" s="399"/>
      <c r="BN524" s="399"/>
      <c r="BO524" s="399"/>
      <c r="BP524" s="399"/>
      <c r="BQ524" s="399"/>
      <c r="BR524" s="399">
        <v>16774.447400000005</v>
      </c>
      <c r="BS524" s="399"/>
      <c r="BT524" s="399"/>
      <c r="BU524" s="399"/>
      <c r="BV524" s="399">
        <v>34445.565793478876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123030.06539999999</v>
      </c>
      <c r="CJ524" s="399">
        <v>-2836.2369899999903</v>
      </c>
      <c r="CK524" s="399"/>
      <c r="CL524" s="399"/>
      <c r="CM524" s="399"/>
      <c r="CN524" s="399"/>
      <c r="CO524" s="399">
        <v>-4481.0512299999973</v>
      </c>
      <c r="CP524" s="399">
        <v>1252.7208800000008</v>
      </c>
      <c r="CQ524" s="399">
        <v>31</v>
      </c>
      <c r="CR524" s="399">
        <v>-20.588114899335778</v>
      </c>
      <c r="CS524" s="399">
        <v>0</v>
      </c>
      <c r="CT524" s="399">
        <v>0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915.36930620675776</v>
      </c>
      <c r="DA524" s="399">
        <v>0</v>
      </c>
      <c r="DB524" s="399">
        <v>0</v>
      </c>
      <c r="DC524" s="399">
        <v>1252.676347990724</v>
      </c>
      <c r="DD524" s="399">
        <v>0</v>
      </c>
      <c r="DE524" s="399">
        <v>0</v>
      </c>
      <c r="DF524" s="399">
        <v>0</v>
      </c>
      <c r="DG524" s="399">
        <v>140.15299192916837</v>
      </c>
      <c r="DH524" s="399">
        <v>0</v>
      </c>
      <c r="DI524" s="399">
        <v>-2023.4660507225162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-267.65845119795972</v>
      </c>
      <c r="DP524" s="399">
        <v>-37.662259105493433</v>
      </c>
      <c r="DQ524" s="399">
        <v>0</v>
      </c>
      <c r="DR524" s="399">
        <v>0</v>
      </c>
      <c r="DS524" s="399"/>
      <c r="DT524" s="399"/>
      <c r="DU524" s="399"/>
      <c r="DV524" s="399">
        <v>71196.421697702477</v>
      </c>
      <c r="DW524" s="399">
        <v>0</v>
      </c>
      <c r="DX524" s="399">
        <v>0</v>
      </c>
      <c r="DY524" s="399">
        <v>-4481.0512299999973</v>
      </c>
      <c r="DZ524" s="399">
        <v>1252.7208800000008</v>
      </c>
      <c r="EA524" s="399">
        <v>0</v>
      </c>
      <c r="EB524" s="399">
        <v>0</v>
      </c>
      <c r="EC524" s="399">
        <v>-3206.4896554419392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0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225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523</v>
      </c>
      <c r="B525" s="399" t="s">
        <v>2360</v>
      </c>
      <c r="C525" s="399" t="s">
        <v>2357</v>
      </c>
      <c r="D525" s="399" t="s">
        <v>2369</v>
      </c>
      <c r="E525" s="399" t="s">
        <v>895</v>
      </c>
      <c r="F525" s="399" t="s">
        <v>1240</v>
      </c>
      <c r="G525" s="399" t="s">
        <v>1240</v>
      </c>
      <c r="H525" s="399" t="s">
        <v>1240</v>
      </c>
      <c r="I525" s="399" t="s">
        <v>1240</v>
      </c>
      <c r="J525" s="399" t="s">
        <v>2358</v>
      </c>
      <c r="K525" s="789">
        <v>44743</v>
      </c>
      <c r="L525" s="399">
        <v>0</v>
      </c>
      <c r="M525" s="399">
        <v>0</v>
      </c>
      <c r="N525" s="399">
        <v>5.5209999999999999</v>
      </c>
      <c r="O525" s="399">
        <v>5.5209999999999999</v>
      </c>
      <c r="P525" s="399">
        <v>5.5209999999999999</v>
      </c>
      <c r="Q525" s="399">
        <v>5.5209999999999999</v>
      </c>
      <c r="R525" s="399"/>
      <c r="S525" s="399">
        <v>522.37</v>
      </c>
      <c r="T525" s="399">
        <v>144.41999999999999</v>
      </c>
      <c r="U525" s="399"/>
      <c r="V525" s="399">
        <v>3681.3475899999999</v>
      </c>
      <c r="W525" s="399">
        <v>3681.3475899999999</v>
      </c>
      <c r="X525" s="399">
        <v>3598.2565399999999</v>
      </c>
      <c r="Y525" s="399">
        <v>0</v>
      </c>
      <c r="Z525" s="399">
        <v>338.99478537705568</v>
      </c>
      <c r="AA525" s="399">
        <v>0</v>
      </c>
      <c r="AB525" s="399">
        <v>0</v>
      </c>
      <c r="AC525" s="399">
        <v>0</v>
      </c>
      <c r="AD525" s="399">
        <v>562.94133075631487</v>
      </c>
      <c r="AE525" s="399">
        <v>1832.4597527960175</v>
      </c>
      <c r="AF525" s="399">
        <v>797.35288826391309</v>
      </c>
      <c r="AG525" s="399">
        <v>0</v>
      </c>
      <c r="AH525" s="399">
        <v>0</v>
      </c>
      <c r="AI525" s="399">
        <v>0</v>
      </c>
      <c r="AJ525" s="399">
        <v>0</v>
      </c>
      <c r="AK525" s="399">
        <v>0</v>
      </c>
      <c r="AL525" s="399">
        <v>52.354293960067956</v>
      </c>
      <c r="AM525" s="399"/>
      <c r="AN525" s="399">
        <v>8.032255505146594</v>
      </c>
      <c r="AO525" s="399">
        <v>0</v>
      </c>
      <c r="AP525" s="399">
        <v>0</v>
      </c>
      <c r="AQ525" s="399">
        <v>0</v>
      </c>
      <c r="AR525" s="399">
        <v>0</v>
      </c>
      <c r="AS525" s="399">
        <v>0</v>
      </c>
      <c r="AT525" s="399">
        <v>0</v>
      </c>
      <c r="AU525" s="399">
        <v>0</v>
      </c>
      <c r="AV525" s="399">
        <v>0</v>
      </c>
      <c r="AW525" s="399">
        <v>0</v>
      </c>
      <c r="AX525" s="399">
        <v>0</v>
      </c>
      <c r="AY525" s="399">
        <v>0</v>
      </c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>
        <v>0</v>
      </c>
      <c r="BG525" s="399">
        <v>89.210108495152411</v>
      </c>
      <c r="BH525" s="399">
        <v>0</v>
      </c>
      <c r="BI525" s="399">
        <v>0</v>
      </c>
      <c r="BJ525" s="399">
        <v>0</v>
      </c>
      <c r="BK525" s="399">
        <v>941.74</v>
      </c>
      <c r="BL525" s="399">
        <v>12</v>
      </c>
      <c r="BM525" s="399"/>
      <c r="BN525" s="399"/>
      <c r="BO525" s="399"/>
      <c r="BP525" s="399"/>
      <c r="BQ525" s="399"/>
      <c r="BR525" s="399">
        <v>431.74220000000008</v>
      </c>
      <c r="BS525" s="399"/>
      <c r="BT525" s="399"/>
      <c r="BU525" s="399"/>
      <c r="BV525" s="399">
        <v>886.56299675906553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3165.9407999999999</v>
      </c>
      <c r="CJ525" s="399">
        <v>-73.646370000000843</v>
      </c>
      <c r="CK525" s="399"/>
      <c r="CL525" s="399"/>
      <c r="CM525" s="399"/>
      <c r="CN525" s="399"/>
      <c r="CO525" s="399">
        <v>-115.33368999999992</v>
      </c>
      <c r="CP525" s="399">
        <v>32.242640000000016</v>
      </c>
      <c r="CQ525" s="399">
        <v>31</v>
      </c>
      <c r="CR525" s="399">
        <v>-0.5298987089424827</v>
      </c>
      <c r="CS525" s="399">
        <v>0</v>
      </c>
      <c r="CT525" s="399">
        <v>0</v>
      </c>
      <c r="CU525" s="399">
        <v>0</v>
      </c>
      <c r="CV525" s="399">
        <v>0</v>
      </c>
      <c r="CW525" s="399">
        <v>0</v>
      </c>
      <c r="CX525" s="399">
        <v>0</v>
      </c>
      <c r="CY525" s="399">
        <v>0</v>
      </c>
      <c r="CZ525" s="399">
        <v>23.559855573792561</v>
      </c>
      <c r="DA525" s="399">
        <v>0</v>
      </c>
      <c r="DB525" s="399">
        <v>0</v>
      </c>
      <c r="DC525" s="399">
        <v>32.241493831235289</v>
      </c>
      <c r="DD525" s="399">
        <v>0</v>
      </c>
      <c r="DE525" s="399">
        <v>0</v>
      </c>
      <c r="DF525" s="399">
        <v>0</v>
      </c>
      <c r="DG525" s="399">
        <v>3.6072700118920977</v>
      </c>
      <c r="DH525" s="399">
        <v>0</v>
      </c>
      <c r="DI525" s="399">
        <v>-52.080146876507627</v>
      </c>
      <c r="DJ525" s="399"/>
      <c r="DK525" s="399">
        <v>0</v>
      </c>
      <c r="DL525" s="399">
        <v>0</v>
      </c>
      <c r="DM525" s="399">
        <v>0</v>
      </c>
      <c r="DN525" s="399">
        <v>0</v>
      </c>
      <c r="DO525" s="399">
        <v>-6.8890167177012174</v>
      </c>
      <c r="DP525" s="399">
        <v>-0.96935453165364915</v>
      </c>
      <c r="DQ525" s="399">
        <v>0</v>
      </c>
      <c r="DR525" s="399">
        <v>0</v>
      </c>
      <c r="DS525" s="399"/>
      <c r="DT525" s="399"/>
      <c r="DU525" s="399"/>
      <c r="DV525" s="399">
        <v>1832.4597527960175</v>
      </c>
      <c r="DW525" s="399">
        <v>0</v>
      </c>
      <c r="DX525" s="399">
        <v>0</v>
      </c>
      <c r="DY525" s="399">
        <v>-115.33368999999993</v>
      </c>
      <c r="DZ525" s="399">
        <v>32.242639999999938</v>
      </c>
      <c r="EA525" s="399">
        <v>0</v>
      </c>
      <c r="EB525" s="399">
        <v>0</v>
      </c>
      <c r="EC525" s="399">
        <v>-82.528912285822571</v>
      </c>
      <c r="ED525" s="399">
        <v>0</v>
      </c>
      <c r="EE525" s="399">
        <v>0</v>
      </c>
      <c r="EF525" s="399">
        <v>0</v>
      </c>
      <c r="EG525" s="399">
        <v>0</v>
      </c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>
        <v>0</v>
      </c>
      <c r="EN525" s="399">
        <v>0</v>
      </c>
      <c r="EO525" s="399">
        <v>0</v>
      </c>
      <c r="EP525" s="399">
        <v>0</v>
      </c>
      <c r="EQ525" s="399">
        <v>0</v>
      </c>
      <c r="ER525" s="399">
        <v>0</v>
      </c>
      <c r="ES525" s="399">
        <v>0</v>
      </c>
      <c r="ET525" s="399">
        <v>0</v>
      </c>
      <c r="EU525" s="399">
        <v>0</v>
      </c>
      <c r="EV525" s="399">
        <v>225</v>
      </c>
      <c r="EW525" s="399">
        <v>0</v>
      </c>
      <c r="EX525" s="399">
        <v>0</v>
      </c>
      <c r="EY525" s="399">
        <v>0</v>
      </c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524</v>
      </c>
      <c r="B526" s="399" t="s">
        <v>957</v>
      </c>
      <c r="C526" s="399" t="s">
        <v>2366</v>
      </c>
      <c r="D526" s="399" t="s">
        <v>534</v>
      </c>
      <c r="E526" s="399" t="s">
        <v>895</v>
      </c>
      <c r="F526" s="399" t="s">
        <v>1240</v>
      </c>
      <c r="G526" s="399" t="s">
        <v>1240</v>
      </c>
      <c r="H526" s="399" t="s">
        <v>1240</v>
      </c>
      <c r="I526" s="399" t="s">
        <v>894</v>
      </c>
      <c r="J526" s="399" t="s">
        <v>2358</v>
      </c>
      <c r="K526" s="789">
        <v>44743</v>
      </c>
      <c r="L526" s="399">
        <v>0</v>
      </c>
      <c r="M526" s="399">
        <v>0</v>
      </c>
      <c r="N526" s="399">
        <v>7.0000000000000001E-3</v>
      </c>
      <c r="O526" s="399">
        <v>6.7200000000000003E-3</v>
      </c>
      <c r="P526" s="399">
        <v>7.0000000000000001E-3</v>
      </c>
      <c r="Q526" s="399">
        <v>6.7200000000000003E-3</v>
      </c>
      <c r="R526" s="399"/>
      <c r="S526" s="399">
        <v>2740.31</v>
      </c>
      <c r="T526" s="399">
        <v>144.41999999999999</v>
      </c>
      <c r="U526" s="399"/>
      <c r="V526" s="399">
        <v>20.193110000000001</v>
      </c>
      <c r="W526" s="399">
        <v>20.193110000000001</v>
      </c>
      <c r="X526" s="399">
        <v>19.784939999999999</v>
      </c>
      <c r="Y526" s="399">
        <v>0</v>
      </c>
      <c r="Z526" s="399">
        <v>0.37393194039961414</v>
      </c>
      <c r="AA526" s="399">
        <v>0</v>
      </c>
      <c r="AB526" s="399">
        <v>0</v>
      </c>
      <c r="AC526" s="399">
        <v>0</v>
      </c>
      <c r="AD526" s="399">
        <v>5.268639692731492</v>
      </c>
      <c r="AE526" s="399">
        <v>13.42605296196913</v>
      </c>
      <c r="AF526" s="399">
        <v>1.0109527654134018</v>
      </c>
      <c r="AG526" s="399">
        <v>0</v>
      </c>
      <c r="AH526" s="399">
        <v>0</v>
      </c>
      <c r="AI526" s="399">
        <v>0</v>
      </c>
      <c r="AJ526" s="399">
        <v>0</v>
      </c>
      <c r="AK526" s="399">
        <v>0</v>
      </c>
      <c r="AL526" s="399">
        <v>6.6379289570816111E-2</v>
      </c>
      <c r="AM526" s="399"/>
      <c r="AN526" s="399">
        <v>3.4837964241509942E-3</v>
      </c>
      <c r="AO526" s="399">
        <v>0</v>
      </c>
      <c r="AP526" s="399">
        <v>0</v>
      </c>
      <c r="AQ526" s="399">
        <v>0</v>
      </c>
      <c r="AR526" s="399">
        <v>0</v>
      </c>
      <c r="AS526" s="399">
        <v>0</v>
      </c>
      <c r="AT526" s="399">
        <v>0</v>
      </c>
      <c r="AU526" s="399">
        <v>0</v>
      </c>
      <c r="AV526" s="399">
        <v>0</v>
      </c>
      <c r="AW526" s="399">
        <v>0</v>
      </c>
      <c r="AX526" s="399">
        <v>0</v>
      </c>
      <c r="AY526" s="399">
        <v>0</v>
      </c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>
        <v>0</v>
      </c>
      <c r="BG526" s="399">
        <v>4.3670216767330086E-2</v>
      </c>
      <c r="BH526" s="399">
        <v>0</v>
      </c>
      <c r="BI526" s="399">
        <v>0</v>
      </c>
      <c r="BJ526" s="399">
        <v>0</v>
      </c>
      <c r="BK526" s="399">
        <v>0</v>
      </c>
      <c r="BL526" s="399">
        <v>0</v>
      </c>
      <c r="BM526" s="399"/>
      <c r="BN526" s="399"/>
      <c r="BO526" s="399"/>
      <c r="BP526" s="399"/>
      <c r="BQ526" s="399"/>
      <c r="BR526" s="399">
        <v>0.79139759999999959</v>
      </c>
      <c r="BS526" s="399"/>
      <c r="BT526" s="399"/>
      <c r="BU526" s="399"/>
      <c r="BV526" s="399">
        <v>1.054622982180732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28.264199999999999</v>
      </c>
      <c r="CJ526" s="399">
        <v>8.8488143999999913</v>
      </c>
      <c r="CK526" s="399"/>
      <c r="CL526" s="399"/>
      <c r="CM526" s="399"/>
      <c r="CN526" s="399"/>
      <c r="CO526" s="399">
        <v>-0.44905000000000067</v>
      </c>
      <c r="CP526" s="399">
        <v>4.0880000000000027E-2</v>
      </c>
      <c r="CQ526" s="399">
        <v>31</v>
      </c>
      <c r="CR526" s="399">
        <v>0.19654156873236239</v>
      </c>
      <c r="CS526" s="399">
        <v>0</v>
      </c>
      <c r="CT526" s="399">
        <v>0</v>
      </c>
      <c r="CU526" s="399">
        <v>0</v>
      </c>
      <c r="CV526" s="399">
        <v>0</v>
      </c>
      <c r="CW526" s="399">
        <v>0</v>
      </c>
      <c r="CX526" s="399">
        <v>0</v>
      </c>
      <c r="CY526" s="399">
        <v>0</v>
      </c>
      <c r="CZ526" s="399">
        <v>0.22049969232907696</v>
      </c>
      <c r="DA526" s="399">
        <v>0</v>
      </c>
      <c r="DB526" s="399">
        <v>0</v>
      </c>
      <c r="DC526" s="399">
        <v>4.0878546788380321E-2</v>
      </c>
      <c r="DD526" s="399">
        <v>0</v>
      </c>
      <c r="DE526" s="399">
        <v>0</v>
      </c>
      <c r="DF526" s="399">
        <v>0</v>
      </c>
      <c r="DG526" s="399">
        <v>1.7658342312874969E-3</v>
      </c>
      <c r="DH526" s="399">
        <v>0</v>
      </c>
      <c r="DI526" s="399">
        <v>-5.7447580959596123E-2</v>
      </c>
      <c r="DJ526" s="399"/>
      <c r="DK526" s="399">
        <v>0</v>
      </c>
      <c r="DL526" s="399">
        <v>0</v>
      </c>
      <c r="DM526" s="399">
        <v>0</v>
      </c>
      <c r="DN526" s="399">
        <v>0</v>
      </c>
      <c r="DO526" s="399">
        <v>-8.7344895895505453E-3</v>
      </c>
      <c r="DP526" s="399">
        <v>-4.2043406723625987E-4</v>
      </c>
      <c r="DQ526" s="399">
        <v>0</v>
      </c>
      <c r="DR526" s="399">
        <v>0</v>
      </c>
      <c r="DS526" s="399"/>
      <c r="DT526" s="399"/>
      <c r="DU526" s="399"/>
      <c r="DV526" s="399">
        <v>13.42605296196913</v>
      </c>
      <c r="DW526" s="399">
        <v>0</v>
      </c>
      <c r="DX526" s="399">
        <v>0</v>
      </c>
      <c r="DY526" s="399">
        <v>-0.44904999999999973</v>
      </c>
      <c r="DZ526" s="399">
        <v>4.0880000000000027E-2</v>
      </c>
      <c r="EA526" s="399">
        <v>0</v>
      </c>
      <c r="EB526" s="399">
        <v>0</v>
      </c>
      <c r="EC526" s="399">
        <v>-0.60467224207929071</v>
      </c>
      <c r="ED526" s="399">
        <v>0</v>
      </c>
      <c r="EE526" s="399">
        <v>0</v>
      </c>
      <c r="EF526" s="399">
        <v>0</v>
      </c>
      <c r="EG526" s="399">
        <v>0</v>
      </c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>
        <v>0</v>
      </c>
      <c r="EN526" s="399">
        <v>0</v>
      </c>
      <c r="EO526" s="399">
        <v>0</v>
      </c>
      <c r="EP526" s="399">
        <v>0</v>
      </c>
      <c r="EQ526" s="399">
        <v>0</v>
      </c>
      <c r="ER526" s="399">
        <v>0</v>
      </c>
      <c r="ES526" s="399">
        <v>0</v>
      </c>
      <c r="ET526" s="399">
        <v>0</v>
      </c>
      <c r="EU526" s="399">
        <v>0</v>
      </c>
      <c r="EV526" s="399">
        <v>225</v>
      </c>
      <c r="EW526" s="399">
        <v>0</v>
      </c>
      <c r="EX526" s="399">
        <v>0</v>
      </c>
      <c r="EY526" s="399">
        <v>0</v>
      </c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525</v>
      </c>
      <c r="B527" s="399" t="s">
        <v>957</v>
      </c>
      <c r="C527" s="399" t="s">
        <v>2366</v>
      </c>
      <c r="D527" s="399" t="s">
        <v>534</v>
      </c>
      <c r="E527" s="399" t="s">
        <v>895</v>
      </c>
      <c r="F527" s="399" t="s">
        <v>1240</v>
      </c>
      <c r="G527" s="399" t="s">
        <v>1240</v>
      </c>
      <c r="H527" s="399" t="s">
        <v>1240</v>
      </c>
      <c r="I527" s="399" t="s">
        <v>2328</v>
      </c>
      <c r="J527" s="399" t="s">
        <v>2358</v>
      </c>
      <c r="K527" s="789">
        <v>44743</v>
      </c>
      <c r="L527" s="399">
        <v>0</v>
      </c>
      <c r="M527" s="399">
        <v>0</v>
      </c>
      <c r="N527" s="399">
        <v>32.932000000000002</v>
      </c>
      <c r="O527" s="399">
        <v>31.614720000000002</v>
      </c>
      <c r="P527" s="399">
        <v>32.932000000000002</v>
      </c>
      <c r="Q527" s="399">
        <v>31.614720000000002</v>
      </c>
      <c r="R527" s="399"/>
      <c r="S527" s="399">
        <v>69.64</v>
      </c>
      <c r="T527" s="399">
        <v>144.41999999999999</v>
      </c>
      <c r="U527" s="399"/>
      <c r="V527" s="399">
        <v>7049.4239199999993</v>
      </c>
      <c r="W527" s="399">
        <v>7049.4239199999993</v>
      </c>
      <c r="X527" s="399">
        <v>6936.7964800000009</v>
      </c>
      <c r="Y527" s="399">
        <v>0</v>
      </c>
      <c r="Z527" s="399">
        <v>1759.1895230342989</v>
      </c>
      <c r="AA527" s="399">
        <v>0</v>
      </c>
      <c r="AB527" s="399">
        <v>0</v>
      </c>
      <c r="AC527" s="399">
        <v>0</v>
      </c>
      <c r="AD527" s="399">
        <v>0</v>
      </c>
      <c r="AE527" s="399">
        <v>0</v>
      </c>
      <c r="AF527" s="399">
        <v>4756.0994957991652</v>
      </c>
      <c r="AG527" s="399">
        <v>0</v>
      </c>
      <c r="AH527" s="399">
        <v>0</v>
      </c>
      <c r="AI527" s="399">
        <v>0</v>
      </c>
      <c r="AJ527" s="399">
        <v>0</v>
      </c>
      <c r="AK527" s="399">
        <v>0</v>
      </c>
      <c r="AL527" s="399">
        <v>312.28610916373088</v>
      </c>
      <c r="AM527" s="399"/>
      <c r="AN527" s="399">
        <v>16.389769120020077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205.44965408310208</v>
      </c>
      <c r="BH527" s="399">
        <v>0</v>
      </c>
      <c r="BI527" s="399">
        <v>0</v>
      </c>
      <c r="BJ527" s="399">
        <v>0</v>
      </c>
      <c r="BK527" s="399">
        <v>0</v>
      </c>
      <c r="BL527" s="399">
        <v>0</v>
      </c>
      <c r="BM527" s="399"/>
      <c r="BN527" s="399"/>
      <c r="BO527" s="399"/>
      <c r="BP527" s="399"/>
      <c r="BQ527" s="399"/>
      <c r="BR527" s="399">
        <v>277.47185920000004</v>
      </c>
      <c r="BS527" s="399"/>
      <c r="BT527" s="399"/>
      <c r="BU527" s="399"/>
      <c r="BV527" s="399">
        <v>4961.5491498822676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6658.3303999999989</v>
      </c>
      <c r="CJ527" s="399">
        <v>-109.14656320000176</v>
      </c>
      <c r="CK527" s="399"/>
      <c r="CL527" s="399"/>
      <c r="CM527" s="399"/>
      <c r="CN527" s="399"/>
      <c r="CO527" s="399">
        <v>-304.95031999999998</v>
      </c>
      <c r="CP527" s="399">
        <v>192.32288000000011</v>
      </c>
      <c r="CQ527" s="399">
        <v>31</v>
      </c>
      <c r="CR527" s="399">
        <v>-112.71270375528911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0</v>
      </c>
      <c r="DA527" s="399">
        <v>0</v>
      </c>
      <c r="DB527" s="399">
        <v>0</v>
      </c>
      <c r="DC527" s="399">
        <v>192.31604326213346</v>
      </c>
      <c r="DD527" s="399">
        <v>0</v>
      </c>
      <c r="DE527" s="399">
        <v>0</v>
      </c>
      <c r="DF527" s="399">
        <v>0</v>
      </c>
      <c r="DG527" s="399">
        <v>8.3074932721085304</v>
      </c>
      <c r="DH527" s="399">
        <v>0</v>
      </c>
      <c r="DI527" s="399">
        <v>-270.26624802305969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-41.092030166154075</v>
      </c>
      <c r="DP527" s="399">
        <v>-1.9779621003177876</v>
      </c>
      <c r="DQ527" s="399">
        <v>0</v>
      </c>
      <c r="DR527" s="399">
        <v>0</v>
      </c>
      <c r="DS527" s="399"/>
      <c r="DT527" s="399"/>
      <c r="DU527" s="399"/>
      <c r="DV527" s="399">
        <v>0</v>
      </c>
      <c r="DW527" s="399">
        <v>0</v>
      </c>
      <c r="DX527" s="399">
        <v>0</v>
      </c>
      <c r="DY527" s="399">
        <v>-304.95031999999992</v>
      </c>
      <c r="DZ527" s="399">
        <v>192.32288000000062</v>
      </c>
      <c r="EA527" s="399">
        <v>0</v>
      </c>
      <c r="EB527" s="399">
        <v>0</v>
      </c>
      <c r="EC527" s="399">
        <v>0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0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225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526</v>
      </c>
      <c r="B528" s="399" t="s">
        <v>957</v>
      </c>
      <c r="C528" s="399" t="s">
        <v>2366</v>
      </c>
      <c r="D528" s="399" t="s">
        <v>534</v>
      </c>
      <c r="E528" s="399" t="s">
        <v>895</v>
      </c>
      <c r="F528" s="399" t="s">
        <v>1240</v>
      </c>
      <c r="G528" s="399" t="s">
        <v>1240</v>
      </c>
      <c r="H528" s="399" t="s">
        <v>1240</v>
      </c>
      <c r="I528" s="399" t="s">
        <v>1240</v>
      </c>
      <c r="J528" s="399" t="s">
        <v>2358</v>
      </c>
      <c r="K528" s="789">
        <v>44743</v>
      </c>
      <c r="L528" s="399">
        <v>170</v>
      </c>
      <c r="M528" s="399">
        <v>163.19999999999999</v>
      </c>
      <c r="N528" s="399">
        <v>0</v>
      </c>
      <c r="O528" s="399">
        <v>0</v>
      </c>
      <c r="P528" s="399">
        <v>0</v>
      </c>
      <c r="Q528" s="399">
        <v>0</v>
      </c>
      <c r="R528" s="399">
        <v>34.950000000000003</v>
      </c>
      <c r="S528" s="399"/>
      <c r="T528" s="399"/>
      <c r="U528" s="399">
        <v>5941.5000000000009</v>
      </c>
      <c r="V528" s="399"/>
      <c r="W528" s="399">
        <v>5941.5000000000009</v>
      </c>
      <c r="X528" s="399">
        <v>5861.5999999999995</v>
      </c>
      <c r="Y528" s="399">
        <v>0</v>
      </c>
      <c r="Z528" s="399">
        <v>0</v>
      </c>
      <c r="AA528" s="399">
        <v>0</v>
      </c>
      <c r="AB528" s="399">
        <v>0</v>
      </c>
      <c r="AC528" s="399">
        <v>0</v>
      </c>
      <c r="AD528" s="399">
        <v>2153.8625169442898</v>
      </c>
      <c r="AE528" s="399">
        <v>3788.4173587408613</v>
      </c>
      <c r="AF528" s="399"/>
      <c r="AG528" s="399"/>
      <c r="AH528" s="399"/>
      <c r="AI528" s="399">
        <v>0</v>
      </c>
      <c r="AJ528" s="399">
        <v>0</v>
      </c>
      <c r="AK528" s="399">
        <v>0</v>
      </c>
      <c r="AL528" s="399">
        <v>0</v>
      </c>
      <c r="AM528" s="399"/>
      <c r="AN528" s="399">
        <v>0</v>
      </c>
      <c r="AO528" s="399">
        <v>0</v>
      </c>
      <c r="AP528" s="399">
        <v>0</v>
      </c>
      <c r="AQ528" s="399">
        <v>0</v>
      </c>
      <c r="AR528" s="399">
        <v>0</v>
      </c>
      <c r="AS528" s="399"/>
      <c r="AT528" s="399"/>
      <c r="AU528" s="399">
        <v>0</v>
      </c>
      <c r="AV528" s="399">
        <v>0</v>
      </c>
      <c r="AW528" s="399">
        <v>0</v>
      </c>
      <c r="AX528" s="399"/>
      <c r="AY528" s="399"/>
      <c r="AZ528" s="399">
        <v>0</v>
      </c>
      <c r="BA528" s="399"/>
      <c r="BB528" s="399">
        <v>0</v>
      </c>
      <c r="BC528" s="399">
        <v>0</v>
      </c>
      <c r="BD528" s="399">
        <v>0</v>
      </c>
      <c r="BE528" s="399">
        <v>0</v>
      </c>
      <c r="BF528" s="399"/>
      <c r="BG528" s="399">
        <v>0</v>
      </c>
      <c r="BH528" s="399">
        <v>0</v>
      </c>
      <c r="BI528" s="399">
        <v>0</v>
      </c>
      <c r="BJ528" s="399">
        <v>0</v>
      </c>
      <c r="BK528" s="399">
        <v>3551.52</v>
      </c>
      <c r="BL528" s="399">
        <v>1</v>
      </c>
      <c r="BM528" s="399"/>
      <c r="BN528" s="399"/>
      <c r="BO528" s="399"/>
      <c r="BP528" s="399"/>
      <c r="BQ528" s="399"/>
      <c r="BR528" s="399">
        <v>234.46400000000037</v>
      </c>
      <c r="BS528" s="399"/>
      <c r="BT528" s="399"/>
      <c r="BU528" s="399"/>
      <c r="BV528" s="399">
        <v>0</v>
      </c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>
        <v>5627.1359999999995</v>
      </c>
      <c r="CJ528" s="399">
        <v>-76.734000000001288</v>
      </c>
      <c r="CK528" s="399"/>
      <c r="CL528" s="399"/>
      <c r="CM528" s="399"/>
      <c r="CN528" s="399"/>
      <c r="CO528" s="399">
        <v>-79.900000000001015</v>
      </c>
      <c r="CP528" s="399">
        <v>0</v>
      </c>
      <c r="CQ528" s="399">
        <v>31</v>
      </c>
      <c r="CR528" s="399">
        <v>90.142057533469142</v>
      </c>
      <c r="CS528" s="399">
        <v>0</v>
      </c>
      <c r="CT528" s="399">
        <v>0</v>
      </c>
      <c r="CU528" s="399">
        <v>0</v>
      </c>
      <c r="CV528" s="399">
        <v>0</v>
      </c>
      <c r="CW528" s="399"/>
      <c r="CX528" s="399"/>
      <c r="CY528" s="399"/>
      <c r="CZ528" s="399">
        <v>90.142057533469142</v>
      </c>
      <c r="DA528" s="399">
        <v>0</v>
      </c>
      <c r="DB528" s="399">
        <v>0</v>
      </c>
      <c r="DC528" s="399"/>
      <c r="DD528" s="399"/>
      <c r="DE528" s="399">
        <v>0</v>
      </c>
      <c r="DF528" s="399">
        <v>0</v>
      </c>
      <c r="DG528" s="399">
        <v>0</v>
      </c>
      <c r="DH528" s="399">
        <v>0</v>
      </c>
      <c r="DI528" s="399">
        <v>0</v>
      </c>
      <c r="DJ528" s="399"/>
      <c r="DK528" s="399">
        <v>0</v>
      </c>
      <c r="DL528" s="399">
        <v>0</v>
      </c>
      <c r="DM528" s="399"/>
      <c r="DN528" s="399">
        <v>0</v>
      </c>
      <c r="DO528" s="399">
        <v>0</v>
      </c>
      <c r="DP528" s="399">
        <v>0</v>
      </c>
      <c r="DQ528" s="399">
        <v>0</v>
      </c>
      <c r="DR528" s="399">
        <v>0</v>
      </c>
      <c r="DS528" s="399"/>
      <c r="DT528" s="399"/>
      <c r="DU528" s="399">
        <v>3788.4173587408613</v>
      </c>
      <c r="DV528" s="399"/>
      <c r="DW528" s="399">
        <v>0</v>
      </c>
      <c r="DX528" s="399">
        <v>0</v>
      </c>
      <c r="DY528" s="399">
        <v>-79.900000000001455</v>
      </c>
      <c r="DZ528" s="399"/>
      <c r="EA528" s="399">
        <v>0</v>
      </c>
      <c r="EB528" s="399"/>
      <c r="EC528" s="399">
        <v>-170.619825851315</v>
      </c>
      <c r="ED528" s="399"/>
      <c r="EE528" s="399">
        <v>0</v>
      </c>
      <c r="EF528" s="399">
        <v>0</v>
      </c>
      <c r="EG528" s="399"/>
      <c r="EH528" s="399">
        <v>0</v>
      </c>
      <c r="EI528" s="399">
        <v>0</v>
      </c>
      <c r="EJ528" s="399">
        <v>0</v>
      </c>
      <c r="EK528" s="399">
        <v>0</v>
      </c>
      <c r="EL528" s="399">
        <v>0</v>
      </c>
      <c r="EM528" s="399"/>
      <c r="EN528" s="399"/>
      <c r="EO528" s="399">
        <v>0</v>
      </c>
      <c r="EP528" s="399">
        <v>0</v>
      </c>
      <c r="EQ528" s="399"/>
      <c r="ER528" s="399">
        <v>0</v>
      </c>
      <c r="ES528" s="399"/>
      <c r="ET528" s="399">
        <v>0</v>
      </c>
      <c r="EU528" s="399"/>
      <c r="EV528" s="399">
        <v>225</v>
      </c>
      <c r="EW528" s="399"/>
      <c r="EX528" s="399"/>
      <c r="EY528" s="399"/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527</v>
      </c>
      <c r="B529" s="399" t="s">
        <v>957</v>
      </c>
      <c r="C529" s="399" t="s">
        <v>2357</v>
      </c>
      <c r="D529" s="399" t="s">
        <v>1826</v>
      </c>
      <c r="E529" s="399" t="s">
        <v>2370</v>
      </c>
      <c r="F529" s="399" t="s">
        <v>1240</v>
      </c>
      <c r="G529" s="399" t="s">
        <v>1240</v>
      </c>
      <c r="H529" s="399" t="s">
        <v>1240</v>
      </c>
      <c r="I529" s="399" t="s">
        <v>1240</v>
      </c>
      <c r="J529" s="399" t="s">
        <v>2358</v>
      </c>
      <c r="K529" s="789">
        <v>44743</v>
      </c>
      <c r="L529" s="399">
        <v>0</v>
      </c>
      <c r="M529" s="399">
        <v>0</v>
      </c>
      <c r="N529" s="399">
        <v>65.524000000000001</v>
      </c>
      <c r="O529" s="399">
        <v>65.524000000000001</v>
      </c>
      <c r="P529" s="399">
        <v>65.524000000000001</v>
      </c>
      <c r="Q529" s="399">
        <v>65.524000000000001</v>
      </c>
      <c r="R529" s="399"/>
      <c r="S529" s="399">
        <v>522.37</v>
      </c>
      <c r="T529" s="399">
        <v>144.41999999999999</v>
      </c>
      <c r="U529" s="399"/>
      <c r="V529" s="399">
        <v>43690.747960000001</v>
      </c>
      <c r="W529" s="399">
        <v>43690.747960000001</v>
      </c>
      <c r="X529" s="399">
        <v>42704.61176</v>
      </c>
      <c r="Y529" s="399">
        <v>0</v>
      </c>
      <c r="Z529" s="399">
        <v>4023.2375144079328</v>
      </c>
      <c r="AA529" s="399">
        <v>0</v>
      </c>
      <c r="AB529" s="399">
        <v>0</v>
      </c>
      <c r="AC529" s="399">
        <v>0</v>
      </c>
      <c r="AD529" s="399">
        <v>6681.0664293564168</v>
      </c>
      <c r="AE529" s="399">
        <v>21747.888578555743</v>
      </c>
      <c r="AF529" s="399">
        <v>9463.0955715639648</v>
      </c>
      <c r="AG529" s="399">
        <v>0</v>
      </c>
      <c r="AH529" s="399">
        <v>0</v>
      </c>
      <c r="AI529" s="399">
        <v>0</v>
      </c>
      <c r="AJ529" s="399">
        <v>0</v>
      </c>
      <c r="AK529" s="399">
        <v>0</v>
      </c>
      <c r="AL529" s="399">
        <v>621.34808140545067</v>
      </c>
      <c r="AM529" s="399"/>
      <c r="AN529" s="399">
        <v>95.327931483286619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1058.7580418468333</v>
      </c>
      <c r="BH529" s="399">
        <v>0</v>
      </c>
      <c r="BI529" s="399">
        <v>257.19</v>
      </c>
      <c r="BJ529" s="399">
        <v>1186.98</v>
      </c>
      <c r="BK529" s="399">
        <v>6471.33</v>
      </c>
      <c r="BL529" s="399">
        <v>128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10521.853613410798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42702.004799999995</v>
      </c>
      <c r="CJ529" s="399">
        <v>-988.77316000001156</v>
      </c>
      <c r="CK529" s="399"/>
      <c r="CL529" s="399"/>
      <c r="CM529" s="399"/>
      <c r="CN529" s="399"/>
      <c r="CO529" s="399">
        <v>-1368.7963599999991</v>
      </c>
      <c r="CP529" s="399">
        <v>382.66016000000025</v>
      </c>
      <c r="CQ529" s="399">
        <v>31</v>
      </c>
      <c r="CR529" s="399">
        <v>-6.2889119733263215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279.6116603182727</v>
      </c>
      <c r="DA529" s="399">
        <v>0</v>
      </c>
      <c r="DB529" s="399">
        <v>0</v>
      </c>
      <c r="DC529" s="399">
        <v>382.64655710883017</v>
      </c>
      <c r="DD529" s="399">
        <v>0</v>
      </c>
      <c r="DE529" s="399">
        <v>0</v>
      </c>
      <c r="DF529" s="399">
        <v>0</v>
      </c>
      <c r="DG529" s="399">
        <v>42.81158490476696</v>
      </c>
      <c r="DH529" s="399">
        <v>0</v>
      </c>
      <c r="DI529" s="399">
        <v>-618.09446548384085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-81.759813695101343</v>
      </c>
      <c r="DP529" s="399">
        <v>-11.504435126258599</v>
      </c>
      <c r="DQ529" s="399">
        <v>0</v>
      </c>
      <c r="DR529" s="399">
        <v>0</v>
      </c>
      <c r="DS529" s="399"/>
      <c r="DT529" s="399"/>
      <c r="DU529" s="399"/>
      <c r="DV529" s="399">
        <v>21747.888578555743</v>
      </c>
      <c r="DW529" s="399">
        <v>0</v>
      </c>
      <c r="DX529" s="399">
        <v>0</v>
      </c>
      <c r="DY529" s="399">
        <v>-1368.7963600000003</v>
      </c>
      <c r="DZ529" s="399">
        <v>382.66016000000127</v>
      </c>
      <c r="EA529" s="399">
        <v>0</v>
      </c>
      <c r="EB529" s="399">
        <v>0</v>
      </c>
      <c r="EC529" s="399">
        <v>-979.46467100457085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0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225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528</v>
      </c>
      <c r="B530" s="399" t="s">
        <v>2360</v>
      </c>
      <c r="C530" s="399" t="s">
        <v>2357</v>
      </c>
      <c r="D530" s="399" t="s">
        <v>1826</v>
      </c>
      <c r="E530" s="399" t="s">
        <v>2370</v>
      </c>
      <c r="F530" s="399" t="s">
        <v>1240</v>
      </c>
      <c r="G530" s="399" t="s">
        <v>1240</v>
      </c>
      <c r="H530" s="399" t="s">
        <v>1240</v>
      </c>
      <c r="I530" s="399" t="s">
        <v>1240</v>
      </c>
      <c r="J530" s="399" t="s">
        <v>2358</v>
      </c>
      <c r="K530" s="789">
        <v>44743</v>
      </c>
      <c r="L530" s="399">
        <v>0</v>
      </c>
      <c r="M530" s="399">
        <v>0</v>
      </c>
      <c r="N530" s="399">
        <v>0.48799999999999999</v>
      </c>
      <c r="O530" s="399">
        <v>0.48799999999999999</v>
      </c>
      <c r="P530" s="399">
        <v>0.48799999999999999</v>
      </c>
      <c r="Q530" s="399">
        <v>0.48799999999999999</v>
      </c>
      <c r="R530" s="399"/>
      <c r="S530" s="399">
        <v>522.37</v>
      </c>
      <c r="T530" s="399">
        <v>144.41999999999999</v>
      </c>
      <c r="U530" s="399"/>
      <c r="V530" s="399">
        <v>325.39351999999997</v>
      </c>
      <c r="W530" s="399">
        <v>325.39351999999997</v>
      </c>
      <c r="X530" s="399">
        <v>318.04912000000002</v>
      </c>
      <c r="Y530" s="399">
        <v>0</v>
      </c>
      <c r="Z530" s="399">
        <v>29.963676012317183</v>
      </c>
      <c r="AA530" s="399">
        <v>0</v>
      </c>
      <c r="AB530" s="399">
        <v>0</v>
      </c>
      <c r="AC530" s="399">
        <v>0</v>
      </c>
      <c r="AD530" s="399">
        <v>49.758262888803053</v>
      </c>
      <c r="AE530" s="399">
        <v>161.97072258005008</v>
      </c>
      <c r="AF530" s="399">
        <v>70.477849931677156</v>
      </c>
      <c r="AG530" s="399">
        <v>0</v>
      </c>
      <c r="AH530" s="399">
        <v>0</v>
      </c>
      <c r="AI530" s="399">
        <v>0</v>
      </c>
      <c r="AJ530" s="399">
        <v>0</v>
      </c>
      <c r="AK530" s="399">
        <v>0</v>
      </c>
      <c r="AL530" s="399">
        <v>4.6275847586511798</v>
      </c>
      <c r="AM530" s="399"/>
      <c r="AN530" s="399">
        <v>0.70996933282223107</v>
      </c>
      <c r="AO530" s="399">
        <v>0</v>
      </c>
      <c r="AP530" s="399">
        <v>0</v>
      </c>
      <c r="AQ530" s="399">
        <v>0</v>
      </c>
      <c r="AR530" s="399">
        <v>0</v>
      </c>
      <c r="AS530" s="399">
        <v>0</v>
      </c>
      <c r="AT530" s="399">
        <v>0</v>
      </c>
      <c r="AU530" s="399">
        <v>0</v>
      </c>
      <c r="AV530" s="399">
        <v>0</v>
      </c>
      <c r="AW530" s="399">
        <v>0</v>
      </c>
      <c r="AX530" s="399">
        <v>0</v>
      </c>
      <c r="AY530" s="399">
        <v>0</v>
      </c>
      <c r="AZ530" s="399">
        <v>0</v>
      </c>
      <c r="BA530" s="399"/>
      <c r="BB530" s="399">
        <v>0</v>
      </c>
      <c r="BC530" s="399">
        <v>0</v>
      </c>
      <c r="BD530" s="399">
        <v>0</v>
      </c>
      <c r="BE530" s="399">
        <v>0</v>
      </c>
      <c r="BF530" s="399">
        <v>0</v>
      </c>
      <c r="BG530" s="399">
        <v>7.8852622614805972</v>
      </c>
      <c r="BH530" s="399">
        <v>0</v>
      </c>
      <c r="BI530" s="399">
        <v>0.39</v>
      </c>
      <c r="BJ530" s="399">
        <v>1.81</v>
      </c>
      <c r="BK530" s="399">
        <v>211.86</v>
      </c>
      <c r="BL530" s="399">
        <v>2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>
        <v>78.363112193157747</v>
      </c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>
        <v>319.3526</v>
      </c>
      <c r="CJ530" s="399">
        <v>-6.0709199999999441</v>
      </c>
      <c r="CK530" s="399"/>
      <c r="CL530" s="399"/>
      <c r="CM530" s="399"/>
      <c r="CN530" s="399"/>
      <c r="CO530" s="399">
        <v>-10.194319999999992</v>
      </c>
      <c r="CP530" s="399">
        <v>2.8499200000000018</v>
      </c>
      <c r="CQ530" s="399">
        <v>31</v>
      </c>
      <c r="CR530" s="399">
        <v>-4.6837632668683682E-2</v>
      </c>
      <c r="CS530" s="399">
        <v>0</v>
      </c>
      <c r="CT530" s="399">
        <v>0</v>
      </c>
      <c r="CU530" s="399">
        <v>0</v>
      </c>
      <c r="CV530" s="399">
        <v>0</v>
      </c>
      <c r="CW530" s="399">
        <v>0</v>
      </c>
      <c r="CX530" s="399">
        <v>0</v>
      </c>
      <c r="CY530" s="399">
        <v>0</v>
      </c>
      <c r="CZ530" s="399">
        <v>2.0824505560606354</v>
      </c>
      <c r="DA530" s="399">
        <v>0</v>
      </c>
      <c r="DB530" s="399">
        <v>0</v>
      </c>
      <c r="DC530" s="399">
        <v>2.8498186903899381</v>
      </c>
      <c r="DD530" s="399">
        <v>0</v>
      </c>
      <c r="DE530" s="399">
        <v>0</v>
      </c>
      <c r="DF530" s="399">
        <v>0</v>
      </c>
      <c r="DG530" s="399">
        <v>0.31884581883777319</v>
      </c>
      <c r="DH530" s="399">
        <v>0</v>
      </c>
      <c r="DI530" s="399">
        <v>-4.6033529570251233</v>
      </c>
      <c r="DJ530" s="399"/>
      <c r="DK530" s="399">
        <v>0</v>
      </c>
      <c r="DL530" s="399">
        <v>0</v>
      </c>
      <c r="DM530" s="399">
        <v>0</v>
      </c>
      <c r="DN530" s="399">
        <v>0</v>
      </c>
      <c r="DO530" s="399">
        <v>-0.6089187028143801</v>
      </c>
      <c r="DP530" s="399">
        <v>-8.5681038117547681E-2</v>
      </c>
      <c r="DQ530" s="399">
        <v>0</v>
      </c>
      <c r="DR530" s="399">
        <v>0</v>
      </c>
      <c r="DS530" s="399"/>
      <c r="DT530" s="399"/>
      <c r="DU530" s="399"/>
      <c r="DV530" s="399">
        <v>161.97072258005008</v>
      </c>
      <c r="DW530" s="399">
        <v>0</v>
      </c>
      <c r="DX530" s="399">
        <v>0</v>
      </c>
      <c r="DY530" s="399">
        <v>-10.194320000000005</v>
      </c>
      <c r="DZ530" s="399">
        <v>2.8499199999999973</v>
      </c>
      <c r="EA530" s="399">
        <v>0</v>
      </c>
      <c r="EB530" s="399">
        <v>0</v>
      </c>
      <c r="EC530" s="399">
        <v>-7.2947127686073827</v>
      </c>
      <c r="ED530" s="399">
        <v>0</v>
      </c>
      <c r="EE530" s="399">
        <v>0</v>
      </c>
      <c r="EF530" s="399">
        <v>0</v>
      </c>
      <c r="EG530" s="399">
        <v>0</v>
      </c>
      <c r="EH530" s="399">
        <v>0</v>
      </c>
      <c r="EI530" s="399">
        <v>0</v>
      </c>
      <c r="EJ530" s="399">
        <v>0</v>
      </c>
      <c r="EK530" s="399">
        <v>0</v>
      </c>
      <c r="EL530" s="399">
        <v>0</v>
      </c>
      <c r="EM530" s="399">
        <v>0</v>
      </c>
      <c r="EN530" s="399">
        <v>0</v>
      </c>
      <c r="EO530" s="399">
        <v>0</v>
      </c>
      <c r="EP530" s="399">
        <v>0</v>
      </c>
      <c r="EQ530" s="399">
        <v>0</v>
      </c>
      <c r="ER530" s="399">
        <v>0</v>
      </c>
      <c r="ES530" s="399">
        <v>0</v>
      </c>
      <c r="ET530" s="399">
        <v>0</v>
      </c>
      <c r="EU530" s="399">
        <v>0</v>
      </c>
      <c r="EV530" s="399">
        <v>225</v>
      </c>
      <c r="EW530" s="399">
        <v>0</v>
      </c>
      <c r="EX530" s="399">
        <v>0</v>
      </c>
      <c r="EY530" s="399">
        <v>0</v>
      </c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529</v>
      </c>
      <c r="B531" s="399" t="s">
        <v>957</v>
      </c>
      <c r="C531" s="399" t="s">
        <v>2366</v>
      </c>
      <c r="D531" s="399" t="s">
        <v>534</v>
      </c>
      <c r="E531" s="399" t="s">
        <v>2370</v>
      </c>
      <c r="F531" s="399" t="s">
        <v>1240</v>
      </c>
      <c r="G531" s="399" t="s">
        <v>1240</v>
      </c>
      <c r="H531" s="399" t="s">
        <v>1240</v>
      </c>
      <c r="I531" s="399" t="s">
        <v>894</v>
      </c>
      <c r="J531" s="399" t="s">
        <v>2358</v>
      </c>
      <c r="K531" s="789">
        <v>44743</v>
      </c>
      <c r="L531" s="399">
        <v>0</v>
      </c>
      <c r="M531" s="399">
        <v>0</v>
      </c>
      <c r="N531" s="399">
        <v>8.6999999999999994E-2</v>
      </c>
      <c r="O531" s="399">
        <v>8.6999999999999994E-2</v>
      </c>
      <c r="P531" s="399">
        <v>8.6999999999999994E-2</v>
      </c>
      <c r="Q531" s="399">
        <v>8.6999999999999994E-2</v>
      </c>
      <c r="R531" s="399"/>
      <c r="S531" s="399">
        <v>2740.31</v>
      </c>
      <c r="T531" s="399">
        <v>144.41999999999999</v>
      </c>
      <c r="U531" s="399"/>
      <c r="V531" s="399">
        <v>250.97150999999997</v>
      </c>
      <c r="W531" s="399">
        <v>250.97150999999997</v>
      </c>
      <c r="X531" s="399">
        <v>245.89853999999997</v>
      </c>
      <c r="Y531" s="399">
        <v>0</v>
      </c>
      <c r="Z531" s="399">
        <v>4.6474398306809181</v>
      </c>
      <c r="AA531" s="399">
        <v>0</v>
      </c>
      <c r="AB531" s="399">
        <v>0</v>
      </c>
      <c r="AC531" s="399">
        <v>0</v>
      </c>
      <c r="AD531" s="399">
        <v>65.481664752519961</v>
      </c>
      <c r="AE531" s="399">
        <v>166.86665824161634</v>
      </c>
      <c r="AF531" s="399">
        <v>12.564698655852281</v>
      </c>
      <c r="AG531" s="399">
        <v>0</v>
      </c>
      <c r="AH531" s="399">
        <v>0</v>
      </c>
      <c r="AI531" s="399">
        <v>0</v>
      </c>
      <c r="AJ531" s="399">
        <v>0</v>
      </c>
      <c r="AK531" s="399">
        <v>0</v>
      </c>
      <c r="AL531" s="399">
        <v>0.82499974180871438</v>
      </c>
      <c r="AM531" s="399"/>
      <c r="AN531" s="399">
        <v>4.3298612700162352E-2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0.54275840839395961</v>
      </c>
      <c r="BH531" s="399">
        <v>0</v>
      </c>
      <c r="BI531" s="399">
        <v>0</v>
      </c>
      <c r="BJ531" s="399">
        <v>0</v>
      </c>
      <c r="BK531" s="399">
        <v>0</v>
      </c>
      <c r="BL531" s="399">
        <v>0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>
        <v>13.10745706424624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254.37779999999998</v>
      </c>
      <c r="CJ531" s="399">
        <v>3.37629000000004</v>
      </c>
      <c r="CK531" s="399"/>
      <c r="CL531" s="399"/>
      <c r="CM531" s="399"/>
      <c r="CN531" s="399"/>
      <c r="CO531" s="399">
        <v>-5.5810500000000074</v>
      </c>
      <c r="CP531" s="399">
        <v>0.50808000000000031</v>
      </c>
      <c r="CQ531" s="399">
        <v>31</v>
      </c>
      <c r="CR531" s="399">
        <v>2.4427309256736436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2.7404961760899624</v>
      </c>
      <c r="DA531" s="399">
        <v>0</v>
      </c>
      <c r="DB531" s="399">
        <v>0</v>
      </c>
      <c r="DC531" s="399">
        <v>0.50806193865558136</v>
      </c>
      <c r="DD531" s="399">
        <v>0</v>
      </c>
      <c r="DE531" s="399">
        <v>0</v>
      </c>
      <c r="DF531" s="399">
        <v>0</v>
      </c>
      <c r="DG531" s="399">
        <v>2.1946796874573127E-2</v>
      </c>
      <c r="DH531" s="399">
        <v>0</v>
      </c>
      <c r="DI531" s="399">
        <v>-0.71399136335498037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-0.10855722775584242</v>
      </c>
      <c r="DP531" s="399">
        <v>-5.225394835650661E-3</v>
      </c>
      <c r="DQ531" s="399">
        <v>0</v>
      </c>
      <c r="DR531" s="399">
        <v>0</v>
      </c>
      <c r="DS531" s="399"/>
      <c r="DT531" s="399"/>
      <c r="DU531" s="399"/>
      <c r="DV531" s="399">
        <v>166.86665824161634</v>
      </c>
      <c r="DW531" s="399">
        <v>0</v>
      </c>
      <c r="DX531" s="399">
        <v>0</v>
      </c>
      <c r="DY531" s="399">
        <v>-5.5810500000000047</v>
      </c>
      <c r="DZ531" s="399">
        <v>0.50808000000000142</v>
      </c>
      <c r="EA531" s="399">
        <v>0</v>
      </c>
      <c r="EB531" s="399">
        <v>0</v>
      </c>
      <c r="EC531" s="399">
        <v>-7.5152121515569092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0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225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530</v>
      </c>
      <c r="B532" s="399" t="s">
        <v>957</v>
      </c>
      <c r="C532" s="399" t="s">
        <v>2366</v>
      </c>
      <c r="D532" s="399" t="s">
        <v>534</v>
      </c>
      <c r="E532" s="399" t="s">
        <v>2370</v>
      </c>
      <c r="F532" s="399" t="s">
        <v>1240</v>
      </c>
      <c r="G532" s="399" t="s">
        <v>1240</v>
      </c>
      <c r="H532" s="399" t="s">
        <v>1240</v>
      </c>
      <c r="I532" s="399" t="s">
        <v>2328</v>
      </c>
      <c r="J532" s="399" t="s">
        <v>2358</v>
      </c>
      <c r="K532" s="789">
        <v>44743</v>
      </c>
      <c r="L532" s="399">
        <v>0</v>
      </c>
      <c r="M532" s="399">
        <v>0</v>
      </c>
      <c r="N532" s="399">
        <v>1.732</v>
      </c>
      <c r="O532" s="399">
        <v>1.732</v>
      </c>
      <c r="P532" s="399">
        <v>1.732</v>
      </c>
      <c r="Q532" s="399">
        <v>1.732</v>
      </c>
      <c r="R532" s="399"/>
      <c r="S532" s="399">
        <v>69.64</v>
      </c>
      <c r="T532" s="399">
        <v>144.41999999999999</v>
      </c>
      <c r="U532" s="399"/>
      <c r="V532" s="399">
        <v>370.75191999999998</v>
      </c>
      <c r="W532" s="399">
        <v>370.75191999999998</v>
      </c>
      <c r="X532" s="399">
        <v>364.82848000000001</v>
      </c>
      <c r="Y532" s="399">
        <v>0</v>
      </c>
      <c r="Z532" s="399">
        <v>92.521445824590231</v>
      </c>
      <c r="AA532" s="399">
        <v>0</v>
      </c>
      <c r="AB532" s="399">
        <v>0</v>
      </c>
      <c r="AC532" s="399">
        <v>0</v>
      </c>
      <c r="AD532" s="399">
        <v>0</v>
      </c>
      <c r="AE532" s="399">
        <v>0</v>
      </c>
      <c r="AF532" s="399">
        <v>250.13859852800172</v>
      </c>
      <c r="AG532" s="399">
        <v>0</v>
      </c>
      <c r="AH532" s="399">
        <v>0</v>
      </c>
      <c r="AI532" s="399">
        <v>0</v>
      </c>
      <c r="AJ532" s="399">
        <v>0</v>
      </c>
      <c r="AK532" s="399">
        <v>0</v>
      </c>
      <c r="AL532" s="399">
        <v>16.424132790950498</v>
      </c>
      <c r="AM532" s="399"/>
      <c r="AN532" s="399">
        <v>0.86199077237564592</v>
      </c>
      <c r="AO532" s="399">
        <v>0</v>
      </c>
      <c r="AP532" s="399">
        <v>0</v>
      </c>
      <c r="AQ532" s="399">
        <v>0</v>
      </c>
      <c r="AR532" s="399">
        <v>0</v>
      </c>
      <c r="AS532" s="399">
        <v>0</v>
      </c>
      <c r="AT532" s="399">
        <v>0</v>
      </c>
      <c r="AU532" s="399">
        <v>0</v>
      </c>
      <c r="AV532" s="399">
        <v>0</v>
      </c>
      <c r="AW532" s="399">
        <v>0</v>
      </c>
      <c r="AX532" s="399">
        <v>0</v>
      </c>
      <c r="AY532" s="399">
        <v>0</v>
      </c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>
        <v>0</v>
      </c>
      <c r="BG532" s="399">
        <v>10.805259348716531</v>
      </c>
      <c r="BH532" s="399">
        <v>0</v>
      </c>
      <c r="BI532" s="399">
        <v>0</v>
      </c>
      <c r="BJ532" s="399">
        <v>0</v>
      </c>
      <c r="BK532" s="399">
        <v>0</v>
      </c>
      <c r="BL532" s="399">
        <v>0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260.94385787671825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364.40719999999999</v>
      </c>
      <c r="CJ532" s="399">
        <v>-6.3747200000000248</v>
      </c>
      <c r="CK532" s="399"/>
      <c r="CL532" s="399"/>
      <c r="CM532" s="399"/>
      <c r="CN532" s="399"/>
      <c r="CO532" s="399">
        <v>-16.038319999999995</v>
      </c>
      <c r="CP532" s="399">
        <v>10.114880000000007</v>
      </c>
      <c r="CQ532" s="399">
        <v>31</v>
      </c>
      <c r="CR532" s="399">
        <v>-5.9279242956443454</v>
      </c>
      <c r="CS532" s="399">
        <v>0</v>
      </c>
      <c r="CT532" s="399">
        <v>0</v>
      </c>
      <c r="CU532" s="399">
        <v>0</v>
      </c>
      <c r="CV532" s="399">
        <v>0</v>
      </c>
      <c r="CW532" s="399">
        <v>0</v>
      </c>
      <c r="CX532" s="399">
        <v>0</v>
      </c>
      <c r="CY532" s="399">
        <v>0</v>
      </c>
      <c r="CZ532" s="399">
        <v>0</v>
      </c>
      <c r="DA532" s="399">
        <v>0</v>
      </c>
      <c r="DB532" s="399">
        <v>0</v>
      </c>
      <c r="DC532" s="399">
        <v>10.114520433924923</v>
      </c>
      <c r="DD532" s="399">
        <v>0</v>
      </c>
      <c r="DE532" s="399">
        <v>0</v>
      </c>
      <c r="DF532" s="399">
        <v>0</v>
      </c>
      <c r="DG532" s="399">
        <v>0.43691784122713351</v>
      </c>
      <c r="DH532" s="399">
        <v>0</v>
      </c>
      <c r="DI532" s="399">
        <v>-14.214172888860062</v>
      </c>
      <c r="DJ532" s="399"/>
      <c r="DK532" s="399">
        <v>0</v>
      </c>
      <c r="DL532" s="399">
        <v>0</v>
      </c>
      <c r="DM532" s="399">
        <v>0</v>
      </c>
      <c r="DN532" s="399">
        <v>0</v>
      </c>
      <c r="DO532" s="399">
        <v>-2.1611622813002178</v>
      </c>
      <c r="DP532" s="399">
        <v>-0.10402740063617177</v>
      </c>
      <c r="DQ532" s="399">
        <v>0</v>
      </c>
      <c r="DR532" s="399">
        <v>0</v>
      </c>
      <c r="DS532" s="399"/>
      <c r="DT532" s="399"/>
      <c r="DU532" s="399"/>
      <c r="DV532" s="399">
        <v>0</v>
      </c>
      <c r="DW532" s="399">
        <v>0</v>
      </c>
      <c r="DX532" s="399">
        <v>0</v>
      </c>
      <c r="DY532" s="399">
        <v>-16.038319999999999</v>
      </c>
      <c r="DZ532" s="399">
        <v>10.114879999999999</v>
      </c>
      <c r="EA532" s="399">
        <v>0</v>
      </c>
      <c r="EB532" s="399">
        <v>0</v>
      </c>
      <c r="EC532" s="399">
        <v>0</v>
      </c>
      <c r="ED532" s="399">
        <v>0</v>
      </c>
      <c r="EE532" s="399">
        <v>0</v>
      </c>
      <c r="EF532" s="399">
        <v>0</v>
      </c>
      <c r="EG532" s="399">
        <v>0</v>
      </c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>
        <v>0</v>
      </c>
      <c r="EN532" s="399">
        <v>0</v>
      </c>
      <c r="EO532" s="399">
        <v>0</v>
      </c>
      <c r="EP532" s="399">
        <v>0</v>
      </c>
      <c r="EQ532" s="399">
        <v>0</v>
      </c>
      <c r="ER532" s="399">
        <v>0</v>
      </c>
      <c r="ES532" s="399">
        <v>0</v>
      </c>
      <c r="ET532" s="399">
        <v>0</v>
      </c>
      <c r="EU532" s="399">
        <v>0</v>
      </c>
      <c r="EV532" s="399">
        <v>225</v>
      </c>
      <c r="EW532" s="399">
        <v>0</v>
      </c>
      <c r="EX532" s="399">
        <v>0</v>
      </c>
      <c r="EY532" s="399">
        <v>0</v>
      </c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531</v>
      </c>
      <c r="B533" s="399" t="s">
        <v>957</v>
      </c>
      <c r="C533" s="399" t="s">
        <v>2366</v>
      </c>
      <c r="D533" s="399" t="s">
        <v>534</v>
      </c>
      <c r="E533" s="399" t="s">
        <v>2370</v>
      </c>
      <c r="F533" s="399" t="s">
        <v>1240</v>
      </c>
      <c r="G533" s="399" t="s">
        <v>1240</v>
      </c>
      <c r="H533" s="399" t="s">
        <v>1240</v>
      </c>
      <c r="I533" s="399" t="s">
        <v>1240</v>
      </c>
      <c r="J533" s="399" t="s">
        <v>2358</v>
      </c>
      <c r="K533" s="789">
        <v>44743</v>
      </c>
      <c r="L533" s="399">
        <v>75</v>
      </c>
      <c r="M533" s="399">
        <v>75</v>
      </c>
      <c r="N533" s="399">
        <v>0</v>
      </c>
      <c r="O533" s="399">
        <v>0</v>
      </c>
      <c r="P533" s="399">
        <v>0</v>
      </c>
      <c r="Q533" s="399">
        <v>0</v>
      </c>
      <c r="R533" s="399">
        <v>34.950000000000003</v>
      </c>
      <c r="S533" s="399"/>
      <c r="T533" s="399"/>
      <c r="U533" s="399">
        <v>2621.25</v>
      </c>
      <c r="V533" s="399"/>
      <c r="W533" s="399">
        <v>2621.25</v>
      </c>
      <c r="X533" s="399">
        <v>2585.9999999999995</v>
      </c>
      <c r="Y533" s="399">
        <v>0</v>
      </c>
      <c r="Z533" s="399">
        <v>0</v>
      </c>
      <c r="AA533" s="399">
        <v>0</v>
      </c>
      <c r="AB533" s="399">
        <v>0</v>
      </c>
      <c r="AC533" s="399">
        <v>0</v>
      </c>
      <c r="AD533" s="399">
        <v>950.23346335777501</v>
      </c>
      <c r="AE533" s="399">
        <v>1671.3605994444974</v>
      </c>
      <c r="AF533" s="399"/>
      <c r="AG533" s="399"/>
      <c r="AH533" s="399"/>
      <c r="AI533" s="399">
        <v>0</v>
      </c>
      <c r="AJ533" s="399">
        <v>0</v>
      </c>
      <c r="AK533" s="399">
        <v>0</v>
      </c>
      <c r="AL533" s="399">
        <v>0</v>
      </c>
      <c r="AM533" s="399"/>
      <c r="AN533" s="399">
        <v>0</v>
      </c>
      <c r="AO533" s="399">
        <v>0</v>
      </c>
      <c r="AP533" s="399">
        <v>0</v>
      </c>
      <c r="AQ533" s="399">
        <v>0</v>
      </c>
      <c r="AR533" s="399">
        <v>0</v>
      </c>
      <c r="AS533" s="399"/>
      <c r="AT533" s="399"/>
      <c r="AU533" s="399">
        <v>0</v>
      </c>
      <c r="AV533" s="399">
        <v>0</v>
      </c>
      <c r="AW533" s="399">
        <v>0</v>
      </c>
      <c r="AX533" s="399"/>
      <c r="AY533" s="399"/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/>
      <c r="BG533" s="399">
        <v>0</v>
      </c>
      <c r="BH533" s="399">
        <v>0</v>
      </c>
      <c r="BI533" s="399">
        <v>20.05</v>
      </c>
      <c r="BJ533" s="399">
        <v>92.52</v>
      </c>
      <c r="BK533" s="399">
        <v>216.42</v>
      </c>
      <c r="BL533" s="399">
        <v>1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0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2585.9999999999995</v>
      </c>
      <c r="CJ533" s="399">
        <v>-35.28000000000111</v>
      </c>
      <c r="CK533" s="399"/>
      <c r="CL533" s="399"/>
      <c r="CM533" s="399"/>
      <c r="CN533" s="399"/>
      <c r="CO533" s="399">
        <v>-35.250000000000448</v>
      </c>
      <c r="CP533" s="399">
        <v>0</v>
      </c>
      <c r="CQ533" s="399">
        <v>31</v>
      </c>
      <c r="CR533" s="399">
        <v>39.768554794177476</v>
      </c>
      <c r="CS533" s="399">
        <v>0</v>
      </c>
      <c r="CT533" s="399">
        <v>0</v>
      </c>
      <c r="CU533" s="399">
        <v>0</v>
      </c>
      <c r="CV533" s="399">
        <v>0</v>
      </c>
      <c r="CW533" s="399"/>
      <c r="CX533" s="399"/>
      <c r="CY533" s="399"/>
      <c r="CZ533" s="399">
        <v>39.768554794177476</v>
      </c>
      <c r="DA533" s="399">
        <v>0</v>
      </c>
      <c r="DB533" s="399">
        <v>0</v>
      </c>
      <c r="DC533" s="399"/>
      <c r="DD533" s="399"/>
      <c r="DE533" s="399">
        <v>0</v>
      </c>
      <c r="DF533" s="399">
        <v>0</v>
      </c>
      <c r="DG533" s="399">
        <v>0</v>
      </c>
      <c r="DH533" s="399">
        <v>0</v>
      </c>
      <c r="DI533" s="399">
        <v>0</v>
      </c>
      <c r="DJ533" s="399"/>
      <c r="DK533" s="399">
        <v>0</v>
      </c>
      <c r="DL533" s="399">
        <v>0</v>
      </c>
      <c r="DM533" s="399"/>
      <c r="DN533" s="399">
        <v>0</v>
      </c>
      <c r="DO533" s="399">
        <v>0</v>
      </c>
      <c r="DP533" s="399">
        <v>0</v>
      </c>
      <c r="DQ533" s="399">
        <v>0</v>
      </c>
      <c r="DR533" s="399">
        <v>0</v>
      </c>
      <c r="DS533" s="399"/>
      <c r="DT533" s="399"/>
      <c r="DU533" s="399">
        <v>1671.3605994444974</v>
      </c>
      <c r="DV533" s="399"/>
      <c r="DW533" s="399">
        <v>0</v>
      </c>
      <c r="DX533" s="399">
        <v>0</v>
      </c>
      <c r="DY533" s="399">
        <v>-35.250000000000455</v>
      </c>
      <c r="DZ533" s="399"/>
      <c r="EA533" s="399">
        <v>0</v>
      </c>
      <c r="EB533" s="399"/>
      <c r="EC533" s="399">
        <v>-75.273452581462379</v>
      </c>
      <c r="ED533" s="399"/>
      <c r="EE533" s="399">
        <v>0</v>
      </c>
      <c r="EF533" s="399">
        <v>0</v>
      </c>
      <c r="EG533" s="399"/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/>
      <c r="EN533" s="399"/>
      <c r="EO533" s="399">
        <v>0</v>
      </c>
      <c r="EP533" s="399">
        <v>0</v>
      </c>
      <c r="EQ533" s="399"/>
      <c r="ER533" s="399">
        <v>0</v>
      </c>
      <c r="ES533" s="399"/>
      <c r="ET533" s="399">
        <v>0</v>
      </c>
      <c r="EU533" s="399"/>
      <c r="EV533" s="399">
        <v>225</v>
      </c>
      <c r="EW533" s="399"/>
      <c r="EX533" s="399"/>
      <c r="EY533" s="399"/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532</v>
      </c>
      <c r="B534" s="399" t="s">
        <v>957</v>
      </c>
      <c r="C534" s="399" t="s">
        <v>2357</v>
      </c>
      <c r="D534" s="399" t="s">
        <v>2371</v>
      </c>
      <c r="E534" s="399" t="s">
        <v>2372</v>
      </c>
      <c r="F534" s="399" t="s">
        <v>2373</v>
      </c>
      <c r="G534" s="399" t="s">
        <v>1240</v>
      </c>
      <c r="H534" s="399" t="s">
        <v>1240</v>
      </c>
      <c r="I534" s="399" t="s">
        <v>1240</v>
      </c>
      <c r="J534" s="399" t="s">
        <v>2358</v>
      </c>
      <c r="K534" s="789">
        <v>44743</v>
      </c>
      <c r="L534" s="399">
        <v>0</v>
      </c>
      <c r="M534" s="399">
        <v>0</v>
      </c>
      <c r="N534" s="399">
        <v>488.19900000000001</v>
      </c>
      <c r="O534" s="399">
        <v>488.19900000000001</v>
      </c>
      <c r="P534" s="399">
        <v>488.19900000000001</v>
      </c>
      <c r="Q534" s="399">
        <v>488.19900000000001</v>
      </c>
      <c r="R534" s="399"/>
      <c r="S534" s="399">
        <v>287.3</v>
      </c>
      <c r="T534" s="399">
        <v>79.430000000000007</v>
      </c>
      <c r="U534" s="399"/>
      <c r="V534" s="399">
        <v>179037.21927000003</v>
      </c>
      <c r="W534" s="399">
        <v>179037.21927000003</v>
      </c>
      <c r="X534" s="399">
        <v>174999.81354</v>
      </c>
      <c r="Y534" s="399">
        <v>0</v>
      </c>
      <c r="Z534" s="399">
        <v>16486.742143535816</v>
      </c>
      <c r="AA534" s="399">
        <v>0</v>
      </c>
      <c r="AB534" s="399">
        <v>0</v>
      </c>
      <c r="AC534" s="399">
        <v>0</v>
      </c>
      <c r="AD534" s="399">
        <v>27378.204510712952</v>
      </c>
      <c r="AE534" s="399">
        <v>89120.224664081572</v>
      </c>
      <c r="AF534" s="399">
        <v>38778.624431018892</v>
      </c>
      <c r="AG534" s="399">
        <v>0</v>
      </c>
      <c r="AH534" s="399">
        <v>0</v>
      </c>
      <c r="AI534" s="399">
        <v>0</v>
      </c>
      <c r="AJ534" s="399">
        <v>0</v>
      </c>
      <c r="AK534" s="399">
        <v>0</v>
      </c>
      <c r="AL534" s="399">
        <v>2546.2095048643664</v>
      </c>
      <c r="AM534" s="399"/>
      <c r="AN534" s="399">
        <v>390.64236695279681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4338.6627724096625</v>
      </c>
      <c r="BH534" s="399">
        <v>0</v>
      </c>
      <c r="BI534" s="399">
        <v>1091.8900000000001</v>
      </c>
      <c r="BJ534" s="399">
        <v>5039.53</v>
      </c>
      <c r="BK534" s="399">
        <v>34406.379999999997</v>
      </c>
      <c r="BL534" s="399">
        <v>6</v>
      </c>
      <c r="BM534" s="399"/>
      <c r="BN534" s="399"/>
      <c r="BO534" s="399"/>
      <c r="BP534" s="399"/>
      <c r="BQ534" s="399"/>
      <c r="BR534" s="399"/>
      <c r="BS534" s="399"/>
      <c r="BT534" s="399"/>
      <c r="BU534" s="399"/>
      <c r="BV534" s="399">
        <v>43117.287203428554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175000.17199999999</v>
      </c>
      <c r="CJ534" s="399">
        <v>-4037.0772700000671</v>
      </c>
      <c r="CK534" s="399"/>
      <c r="CL534" s="399"/>
      <c r="CM534" s="399"/>
      <c r="CN534" s="399"/>
      <c r="CO534" s="399">
        <v>-5604.524520000009</v>
      </c>
      <c r="CP534" s="399">
        <v>1567.118789999997</v>
      </c>
      <c r="CQ534" s="399">
        <v>31</v>
      </c>
      <c r="CR534" s="399">
        <v>-25.771202842879575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1145.8148636474871</v>
      </c>
      <c r="DA534" s="399">
        <v>0</v>
      </c>
      <c r="DB534" s="399">
        <v>0</v>
      </c>
      <c r="DC534" s="399">
        <v>1568.0394449922605</v>
      </c>
      <c r="DD534" s="399">
        <v>0</v>
      </c>
      <c r="DE534" s="399">
        <v>0</v>
      </c>
      <c r="DF534" s="399">
        <v>0</v>
      </c>
      <c r="DG534" s="399">
        <v>175.43671198961056</v>
      </c>
      <c r="DH534" s="399">
        <v>0</v>
      </c>
      <c r="DI534" s="399">
        <v>-2532.8765791940168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-335.04185653155992</v>
      </c>
      <c r="DP534" s="399">
        <v>-47.143787746664941</v>
      </c>
      <c r="DQ534" s="399">
        <v>0</v>
      </c>
      <c r="DR534" s="399">
        <v>0</v>
      </c>
      <c r="DS534" s="399"/>
      <c r="DT534" s="399"/>
      <c r="DU534" s="399"/>
      <c r="DV534" s="399">
        <v>89120.224664081572</v>
      </c>
      <c r="DW534" s="399">
        <v>0</v>
      </c>
      <c r="DX534" s="399">
        <v>0</v>
      </c>
      <c r="DY534" s="399">
        <v>-5604.5245200000063</v>
      </c>
      <c r="DZ534" s="399">
        <v>1567.1187900000004</v>
      </c>
      <c r="EA534" s="399">
        <v>0</v>
      </c>
      <c r="EB534" s="399">
        <v>0</v>
      </c>
      <c r="EC534" s="399">
        <v>-4013.7281012432359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0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225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533</v>
      </c>
      <c r="B535" s="399" t="s">
        <v>957</v>
      </c>
      <c r="C535" s="399" t="s">
        <v>2357</v>
      </c>
      <c r="D535" s="399" t="s">
        <v>1826</v>
      </c>
      <c r="E535" s="399" t="s">
        <v>922</v>
      </c>
      <c r="F535" s="399" t="s">
        <v>2374</v>
      </c>
      <c r="G535" s="399" t="s">
        <v>1240</v>
      </c>
      <c r="H535" s="399" t="s">
        <v>1240</v>
      </c>
      <c r="I535" s="399" t="s">
        <v>1240</v>
      </c>
      <c r="J535" s="399" t="s">
        <v>2358</v>
      </c>
      <c r="K535" s="789">
        <v>44743</v>
      </c>
      <c r="L535" s="399">
        <v>0</v>
      </c>
      <c r="M535" s="399">
        <v>0</v>
      </c>
      <c r="N535" s="399">
        <v>20.888000000000002</v>
      </c>
      <c r="O535" s="399">
        <v>19.634720000000002</v>
      </c>
      <c r="P535" s="399">
        <v>20.888000000000002</v>
      </c>
      <c r="Q535" s="399">
        <v>19.634720000000002</v>
      </c>
      <c r="R535" s="399"/>
      <c r="S535" s="399">
        <v>522.37</v>
      </c>
      <c r="T535" s="399">
        <v>144.41999999999999</v>
      </c>
      <c r="U535" s="399"/>
      <c r="V535" s="399">
        <v>13927.909520000001</v>
      </c>
      <c r="W535" s="399">
        <v>13927.909520000001</v>
      </c>
      <c r="X535" s="399">
        <v>13613.545120000002</v>
      </c>
      <c r="Y535" s="399">
        <v>0</v>
      </c>
      <c r="Z535" s="399">
        <v>1282.5435748878717</v>
      </c>
      <c r="AA535" s="399">
        <v>0</v>
      </c>
      <c r="AB535" s="399">
        <v>0</v>
      </c>
      <c r="AC535" s="399">
        <v>0</v>
      </c>
      <c r="AD535" s="399">
        <v>2129.8167934863081</v>
      </c>
      <c r="AE535" s="399">
        <v>6932.8779779755878</v>
      </c>
      <c r="AF535" s="399">
        <v>3016.6830519935916</v>
      </c>
      <c r="AG535" s="399">
        <v>0</v>
      </c>
      <c r="AH535" s="399">
        <v>0</v>
      </c>
      <c r="AI535" s="399">
        <v>0</v>
      </c>
      <c r="AJ535" s="399">
        <v>0</v>
      </c>
      <c r="AK535" s="399">
        <v>0</v>
      </c>
      <c r="AL535" s="399">
        <v>198.07580007931529</v>
      </c>
      <c r="AM535" s="399"/>
      <c r="AN535" s="399">
        <v>30.389015213095828</v>
      </c>
      <c r="AO535" s="399">
        <v>0</v>
      </c>
      <c r="AP535" s="399">
        <v>0</v>
      </c>
      <c r="AQ535" s="399">
        <v>0</v>
      </c>
      <c r="AR535" s="399">
        <v>0</v>
      </c>
      <c r="AS535" s="399">
        <v>0</v>
      </c>
      <c r="AT535" s="399">
        <v>0</v>
      </c>
      <c r="AU535" s="399">
        <v>0</v>
      </c>
      <c r="AV535" s="399">
        <v>0</v>
      </c>
      <c r="AW535" s="399">
        <v>0</v>
      </c>
      <c r="AX535" s="399">
        <v>0</v>
      </c>
      <c r="AY535" s="399">
        <v>0</v>
      </c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>
        <v>0</v>
      </c>
      <c r="BG535" s="399">
        <v>337.51507811025971</v>
      </c>
      <c r="BH535" s="399">
        <v>0</v>
      </c>
      <c r="BI535" s="399">
        <v>77.06</v>
      </c>
      <c r="BJ535" s="399">
        <v>355.7</v>
      </c>
      <c r="BK535" s="399">
        <v>2583.5300000000002</v>
      </c>
      <c r="BL535" s="399">
        <v>35</v>
      </c>
      <c r="BM535" s="399"/>
      <c r="BN535" s="399"/>
      <c r="BO535" s="399"/>
      <c r="BP535" s="399"/>
      <c r="BQ535" s="399">
        <v>816.8127072000002</v>
      </c>
      <c r="BR535" s="399"/>
      <c r="BS535" s="399"/>
      <c r="BT535" s="399"/>
      <c r="BU535" s="399"/>
      <c r="BV535" s="399">
        <v>3354.1981301038513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12793.656200000001</v>
      </c>
      <c r="CJ535" s="399">
        <v>-298.60874879999938</v>
      </c>
      <c r="CK535" s="399"/>
      <c r="CL535" s="399"/>
      <c r="CM535" s="399"/>
      <c r="CN535" s="399"/>
      <c r="CO535" s="399">
        <v>-436.35031999999973</v>
      </c>
      <c r="CP535" s="399">
        <v>121.98592000000008</v>
      </c>
      <c r="CQ535" s="399">
        <v>31</v>
      </c>
      <c r="CR535" s="399">
        <v>-2.004804244231309</v>
      </c>
      <c r="CS535" s="399">
        <v>0</v>
      </c>
      <c r="CT535" s="399">
        <v>0</v>
      </c>
      <c r="CU535" s="399">
        <v>0</v>
      </c>
      <c r="CV535" s="399">
        <v>0</v>
      </c>
      <c r="CW535" s="399">
        <v>0</v>
      </c>
      <c r="CX535" s="399">
        <v>0</v>
      </c>
      <c r="CY535" s="399">
        <v>0</v>
      </c>
      <c r="CZ535" s="399">
        <v>89.135711506135976</v>
      </c>
      <c r="DA535" s="399">
        <v>0</v>
      </c>
      <c r="DB535" s="399">
        <v>0</v>
      </c>
      <c r="DC535" s="399">
        <v>121.98158361652622</v>
      </c>
      <c r="DD535" s="399">
        <v>0</v>
      </c>
      <c r="DE535" s="399">
        <v>0</v>
      </c>
      <c r="DF535" s="399">
        <v>0</v>
      </c>
      <c r="DG535" s="399">
        <v>13.64764644238403</v>
      </c>
      <c r="DH535" s="399">
        <v>0</v>
      </c>
      <c r="DI535" s="399">
        <v>-197.03859952119024</v>
      </c>
      <c r="DJ535" s="399"/>
      <c r="DK535" s="399">
        <v>0</v>
      </c>
      <c r="DL535" s="399">
        <v>0</v>
      </c>
      <c r="DM535" s="399">
        <v>0</v>
      </c>
      <c r="DN535" s="399">
        <v>0</v>
      </c>
      <c r="DO535" s="399">
        <v>-26.063716935218821</v>
      </c>
      <c r="DP535" s="399">
        <v>-3.6674293528674902</v>
      </c>
      <c r="DQ535" s="399">
        <v>0</v>
      </c>
      <c r="DR535" s="399">
        <v>0</v>
      </c>
      <c r="DS535" s="399"/>
      <c r="DT535" s="399"/>
      <c r="DU535" s="399"/>
      <c r="DV535" s="399">
        <v>6932.8779779755878</v>
      </c>
      <c r="DW535" s="399">
        <v>0</v>
      </c>
      <c r="DX535" s="399">
        <v>0</v>
      </c>
      <c r="DY535" s="399">
        <v>-436.35031999999956</v>
      </c>
      <c r="DZ535" s="399">
        <v>121.98592000000008</v>
      </c>
      <c r="EA535" s="399">
        <v>0</v>
      </c>
      <c r="EB535" s="399">
        <v>0</v>
      </c>
      <c r="EC535" s="399">
        <v>-312.2376235874417</v>
      </c>
      <c r="ED535" s="399">
        <v>0</v>
      </c>
      <c r="EE535" s="399">
        <v>0</v>
      </c>
      <c r="EF535" s="399">
        <v>0</v>
      </c>
      <c r="EG535" s="399">
        <v>0</v>
      </c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>
        <v>0</v>
      </c>
      <c r="EN535" s="399">
        <v>0</v>
      </c>
      <c r="EO535" s="399">
        <v>0</v>
      </c>
      <c r="EP535" s="399">
        <v>0</v>
      </c>
      <c r="EQ535" s="399">
        <v>0</v>
      </c>
      <c r="ER535" s="399">
        <v>0</v>
      </c>
      <c r="ES535" s="399">
        <v>0</v>
      </c>
      <c r="ET535" s="399">
        <v>0</v>
      </c>
      <c r="EU535" s="399">
        <v>0</v>
      </c>
      <c r="EV535" s="399">
        <v>225</v>
      </c>
      <c r="EW535" s="399">
        <v>0</v>
      </c>
      <c r="EX535" s="399">
        <v>0</v>
      </c>
      <c r="EY535" s="399">
        <v>0</v>
      </c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534</v>
      </c>
      <c r="B536" s="399" t="s">
        <v>957</v>
      </c>
      <c r="C536" s="399" t="s">
        <v>2366</v>
      </c>
      <c r="D536" s="399" t="s">
        <v>534</v>
      </c>
      <c r="E536" s="399" t="s">
        <v>922</v>
      </c>
      <c r="F536" s="399" t="s">
        <v>2374</v>
      </c>
      <c r="G536" s="399" t="s">
        <v>1240</v>
      </c>
      <c r="H536" s="399" t="s">
        <v>1240</v>
      </c>
      <c r="I536" s="399" t="s">
        <v>894</v>
      </c>
      <c r="J536" s="399" t="s">
        <v>2358</v>
      </c>
      <c r="K536" s="789">
        <v>44743</v>
      </c>
      <c r="L536" s="399">
        <v>0</v>
      </c>
      <c r="M536" s="399">
        <v>0</v>
      </c>
      <c r="N536" s="399">
        <v>0.65900000000000003</v>
      </c>
      <c r="O536" s="399">
        <v>0.61946000000000001</v>
      </c>
      <c r="P536" s="399">
        <v>0.65900000000000003</v>
      </c>
      <c r="Q536" s="399">
        <v>0.61946000000000001</v>
      </c>
      <c r="R536" s="399"/>
      <c r="S536" s="399">
        <v>2740.31</v>
      </c>
      <c r="T536" s="399">
        <v>144.41999999999999</v>
      </c>
      <c r="U536" s="399"/>
      <c r="V536" s="399">
        <v>1901.0370700000001</v>
      </c>
      <c r="W536" s="399">
        <v>1901.0370700000001</v>
      </c>
      <c r="X536" s="399">
        <v>1862.61078</v>
      </c>
      <c r="Y536" s="399">
        <v>0</v>
      </c>
      <c r="Z536" s="399">
        <v>35.203021246192243</v>
      </c>
      <c r="AA536" s="399">
        <v>0</v>
      </c>
      <c r="AB536" s="399">
        <v>0</v>
      </c>
      <c r="AC536" s="399">
        <v>0</v>
      </c>
      <c r="AD536" s="399">
        <v>496.00479393000762</v>
      </c>
      <c r="AE536" s="399">
        <v>1263.9669859910939</v>
      </c>
      <c r="AF536" s="399">
        <v>95.173981772490265</v>
      </c>
      <c r="AG536" s="399">
        <v>0</v>
      </c>
      <c r="AH536" s="399">
        <v>0</v>
      </c>
      <c r="AI536" s="399">
        <v>0</v>
      </c>
      <c r="AJ536" s="399">
        <v>0</v>
      </c>
      <c r="AK536" s="399">
        <v>0</v>
      </c>
      <c r="AL536" s="399">
        <v>6.249135975309688</v>
      </c>
      <c r="AM536" s="399"/>
      <c r="AN536" s="399">
        <v>0.3279745490736436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4.1112389785243613</v>
      </c>
      <c r="BH536" s="399">
        <v>0</v>
      </c>
      <c r="BI536" s="399">
        <v>0</v>
      </c>
      <c r="BJ536" s="399">
        <v>0</v>
      </c>
      <c r="BK536" s="399">
        <v>0</v>
      </c>
      <c r="BL536" s="399">
        <v>0</v>
      </c>
      <c r="BM536" s="399"/>
      <c r="BN536" s="399"/>
      <c r="BO536" s="399"/>
      <c r="BP536" s="399"/>
      <c r="BQ536" s="399">
        <v>111.75664680000004</v>
      </c>
      <c r="BR536" s="399"/>
      <c r="BS536" s="399"/>
      <c r="BT536" s="399"/>
      <c r="BU536" s="399"/>
      <c r="BV536" s="399">
        <v>99.28522075101462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1752.3804</v>
      </c>
      <c r="CJ536" s="399">
        <v>-34.624445799999876</v>
      </c>
      <c r="CK536" s="399"/>
      <c r="CL536" s="399"/>
      <c r="CM536" s="399"/>
      <c r="CN536" s="399"/>
      <c r="CO536" s="399">
        <v>-42.274850000000065</v>
      </c>
      <c r="CP536" s="399">
        <v>3.8485600000000026</v>
      </c>
      <c r="CQ536" s="399">
        <v>31</v>
      </c>
      <c r="CR536" s="399">
        <v>18.502984827803857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20.758471034980289</v>
      </c>
      <c r="DA536" s="399">
        <v>0</v>
      </c>
      <c r="DB536" s="399">
        <v>0</v>
      </c>
      <c r="DC536" s="399">
        <v>3.8484231905060824</v>
      </c>
      <c r="DD536" s="399">
        <v>0</v>
      </c>
      <c r="DE536" s="399">
        <v>0</v>
      </c>
      <c r="DF536" s="399">
        <v>0</v>
      </c>
      <c r="DG536" s="399">
        <v>0.16624067977406565</v>
      </c>
      <c r="DH536" s="399">
        <v>0</v>
      </c>
      <c r="DI536" s="399">
        <v>-5.4082794074819738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-0.82228980564482956</v>
      </c>
      <c r="DP536" s="399">
        <v>-3.9580864329813614E-2</v>
      </c>
      <c r="DQ536" s="399">
        <v>0</v>
      </c>
      <c r="DR536" s="399">
        <v>0</v>
      </c>
      <c r="DS536" s="399"/>
      <c r="DT536" s="399"/>
      <c r="DU536" s="399"/>
      <c r="DV536" s="399">
        <v>1263.9669859910939</v>
      </c>
      <c r="DW536" s="399">
        <v>0</v>
      </c>
      <c r="DX536" s="399">
        <v>0</v>
      </c>
      <c r="DY536" s="399">
        <v>-42.274850000000015</v>
      </c>
      <c r="DZ536" s="399">
        <v>3.848559999999992</v>
      </c>
      <c r="EA536" s="399">
        <v>0</v>
      </c>
      <c r="EB536" s="399">
        <v>0</v>
      </c>
      <c r="EC536" s="399">
        <v>-56.925572504321735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0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225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535</v>
      </c>
      <c r="B537" s="399" t="s">
        <v>957</v>
      </c>
      <c r="C537" s="399" t="s">
        <v>2366</v>
      </c>
      <c r="D537" s="399" t="s">
        <v>534</v>
      </c>
      <c r="E537" s="399" t="s">
        <v>922</v>
      </c>
      <c r="F537" s="399" t="s">
        <v>2374</v>
      </c>
      <c r="G537" s="399" t="s">
        <v>1240</v>
      </c>
      <c r="H537" s="399" t="s">
        <v>1240</v>
      </c>
      <c r="I537" s="399" t="s">
        <v>2328</v>
      </c>
      <c r="J537" s="399" t="s">
        <v>2358</v>
      </c>
      <c r="K537" s="789">
        <v>44743</v>
      </c>
      <c r="L537" s="399">
        <v>0</v>
      </c>
      <c r="M537" s="399">
        <v>0</v>
      </c>
      <c r="N537" s="399">
        <v>5.2229999999999999</v>
      </c>
      <c r="O537" s="399">
        <v>4.9096200000000003</v>
      </c>
      <c r="P537" s="399">
        <v>5.2229999999999999</v>
      </c>
      <c r="Q537" s="399">
        <v>4.9096200000000003</v>
      </c>
      <c r="R537" s="399"/>
      <c r="S537" s="399">
        <v>69.64</v>
      </c>
      <c r="T537" s="399">
        <v>144.41999999999999</v>
      </c>
      <c r="U537" s="399"/>
      <c r="V537" s="399">
        <v>1118.0353799999998</v>
      </c>
      <c r="W537" s="399">
        <v>1118.0353799999998</v>
      </c>
      <c r="X537" s="399">
        <v>1100.17272</v>
      </c>
      <c r="Y537" s="399">
        <v>0</v>
      </c>
      <c r="Z537" s="399">
        <v>279.00664638674061</v>
      </c>
      <c r="AA537" s="399">
        <v>0</v>
      </c>
      <c r="AB537" s="399">
        <v>0</v>
      </c>
      <c r="AC537" s="399">
        <v>0</v>
      </c>
      <c r="AD537" s="399">
        <v>0</v>
      </c>
      <c r="AE537" s="399">
        <v>0</v>
      </c>
      <c r="AF537" s="399">
        <v>754.3151848220283</v>
      </c>
      <c r="AG537" s="399">
        <v>0</v>
      </c>
      <c r="AH537" s="399">
        <v>0</v>
      </c>
      <c r="AI537" s="399">
        <v>0</v>
      </c>
      <c r="AJ537" s="399">
        <v>0</v>
      </c>
      <c r="AK537" s="399">
        <v>0</v>
      </c>
      <c r="AL537" s="399">
        <v>49.528432775481789</v>
      </c>
      <c r="AM537" s="399"/>
      <c r="AN537" s="399">
        <v>2.5994098176200917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32.584220310823575</v>
      </c>
      <c r="BH537" s="399">
        <v>0</v>
      </c>
      <c r="BI537" s="399">
        <v>0</v>
      </c>
      <c r="BJ537" s="399">
        <v>0</v>
      </c>
      <c r="BK537" s="399">
        <v>0</v>
      </c>
      <c r="BL537" s="399">
        <v>0</v>
      </c>
      <c r="BM537" s="399"/>
      <c r="BN537" s="399"/>
      <c r="BO537" s="399"/>
      <c r="BP537" s="399"/>
      <c r="BQ537" s="399">
        <v>66.010363199999901</v>
      </c>
      <c r="BR537" s="399"/>
      <c r="BS537" s="399"/>
      <c r="BT537" s="399"/>
      <c r="BU537" s="399"/>
      <c r="BV537" s="399">
        <v>786.89940513285183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1034.2424000000001</v>
      </c>
      <c r="CJ537" s="399">
        <v>-16.740857199999937</v>
      </c>
      <c r="CK537" s="399"/>
      <c r="CL537" s="399"/>
      <c r="CM537" s="399"/>
      <c r="CN537" s="399"/>
      <c r="CO537" s="399">
        <v>-48.364979999999989</v>
      </c>
      <c r="CP537" s="399">
        <v>30.502320000000019</v>
      </c>
      <c r="CQ537" s="399">
        <v>31</v>
      </c>
      <c r="CR537" s="399">
        <v>-17.876182792234658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0</v>
      </c>
      <c r="DA537" s="399">
        <v>0</v>
      </c>
      <c r="DB537" s="399">
        <v>0</v>
      </c>
      <c r="DC537" s="399">
        <v>30.501235696529989</v>
      </c>
      <c r="DD537" s="399">
        <v>0</v>
      </c>
      <c r="DE537" s="399">
        <v>0</v>
      </c>
      <c r="DF537" s="399">
        <v>0</v>
      </c>
      <c r="DG537" s="399">
        <v>1.3175645985735116</v>
      </c>
      <c r="DH537" s="399">
        <v>0</v>
      </c>
      <c r="DI537" s="399">
        <v>-42.864102193138621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-6.5171770180317807</v>
      </c>
      <c r="DP537" s="399">
        <v>-0.313703876167855</v>
      </c>
      <c r="DQ537" s="399">
        <v>0</v>
      </c>
      <c r="DR537" s="399">
        <v>0</v>
      </c>
      <c r="DS537" s="399"/>
      <c r="DT537" s="399"/>
      <c r="DU537" s="399"/>
      <c r="DV537" s="399">
        <v>0</v>
      </c>
      <c r="DW537" s="399">
        <v>0</v>
      </c>
      <c r="DX537" s="399">
        <v>0</v>
      </c>
      <c r="DY537" s="399">
        <v>-48.364980000000003</v>
      </c>
      <c r="DZ537" s="399">
        <v>30.502320000000054</v>
      </c>
      <c r="EA537" s="399">
        <v>0</v>
      </c>
      <c r="EB537" s="399">
        <v>0</v>
      </c>
      <c r="EC537" s="399">
        <v>0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0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225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536</v>
      </c>
      <c r="B538" s="399" t="s">
        <v>957</v>
      </c>
      <c r="C538" s="399" t="s">
        <v>2366</v>
      </c>
      <c r="D538" s="399" t="s">
        <v>534</v>
      </c>
      <c r="E538" s="399" t="s">
        <v>922</v>
      </c>
      <c r="F538" s="399" t="s">
        <v>2374</v>
      </c>
      <c r="G538" s="399" t="s">
        <v>1240</v>
      </c>
      <c r="H538" s="399" t="s">
        <v>1240</v>
      </c>
      <c r="I538" s="399" t="s">
        <v>1240</v>
      </c>
      <c r="J538" s="399" t="s">
        <v>2358</v>
      </c>
      <c r="K538" s="789">
        <v>44743</v>
      </c>
      <c r="L538" s="399">
        <v>78</v>
      </c>
      <c r="M538" s="399">
        <v>73.319999999999993</v>
      </c>
      <c r="N538" s="399">
        <v>0</v>
      </c>
      <c r="O538" s="399">
        <v>0</v>
      </c>
      <c r="P538" s="399">
        <v>0</v>
      </c>
      <c r="Q538" s="399">
        <v>0</v>
      </c>
      <c r="R538" s="399">
        <v>34.950000000000003</v>
      </c>
      <c r="S538" s="399"/>
      <c r="T538" s="399"/>
      <c r="U538" s="399">
        <v>2726.1000000000004</v>
      </c>
      <c r="V538" s="399"/>
      <c r="W538" s="399">
        <v>2726.1000000000004</v>
      </c>
      <c r="X538" s="399">
        <v>2689.4399999999996</v>
      </c>
      <c r="Y538" s="399">
        <v>0</v>
      </c>
      <c r="Z538" s="399">
        <v>0</v>
      </c>
      <c r="AA538" s="399">
        <v>0</v>
      </c>
      <c r="AB538" s="399">
        <v>0</v>
      </c>
      <c r="AC538" s="399">
        <v>0</v>
      </c>
      <c r="AD538" s="399">
        <v>988.24280189208594</v>
      </c>
      <c r="AE538" s="399">
        <v>1738.2150234222775</v>
      </c>
      <c r="AF538" s="399"/>
      <c r="AG538" s="399"/>
      <c r="AH538" s="399"/>
      <c r="AI538" s="399">
        <v>0</v>
      </c>
      <c r="AJ538" s="399">
        <v>0</v>
      </c>
      <c r="AK538" s="399">
        <v>0</v>
      </c>
      <c r="AL538" s="399">
        <v>0</v>
      </c>
      <c r="AM538" s="399"/>
      <c r="AN538" s="399">
        <v>0</v>
      </c>
      <c r="AO538" s="399">
        <v>0</v>
      </c>
      <c r="AP538" s="399">
        <v>0</v>
      </c>
      <c r="AQ538" s="399">
        <v>0</v>
      </c>
      <c r="AR538" s="399">
        <v>0</v>
      </c>
      <c r="AS538" s="399"/>
      <c r="AT538" s="399"/>
      <c r="AU538" s="399">
        <v>0</v>
      </c>
      <c r="AV538" s="399">
        <v>0</v>
      </c>
      <c r="AW538" s="399">
        <v>0</v>
      </c>
      <c r="AX538" s="399"/>
      <c r="AY538" s="399"/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/>
      <c r="BG538" s="399">
        <v>0</v>
      </c>
      <c r="BH538" s="399">
        <v>0</v>
      </c>
      <c r="BI538" s="399">
        <v>33.369999999999997</v>
      </c>
      <c r="BJ538" s="399">
        <v>154.04</v>
      </c>
      <c r="BK538" s="399">
        <v>676.27</v>
      </c>
      <c r="BL538" s="399">
        <v>1</v>
      </c>
      <c r="BM538" s="399"/>
      <c r="BN538" s="399"/>
      <c r="BO538" s="399"/>
      <c r="BP538" s="399"/>
      <c r="BQ538" s="399">
        <v>161.36640000000023</v>
      </c>
      <c r="BR538" s="399"/>
      <c r="BS538" s="399"/>
      <c r="BT538" s="399"/>
      <c r="BU538" s="399"/>
      <c r="BV538" s="399">
        <v>0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2528.0735999999997</v>
      </c>
      <c r="CJ538" s="399">
        <v>-34.490400000001046</v>
      </c>
      <c r="CK538" s="399"/>
      <c r="CL538" s="399"/>
      <c r="CM538" s="399"/>
      <c r="CN538" s="399"/>
      <c r="CO538" s="399">
        <v>-36.660000000000466</v>
      </c>
      <c r="CP538" s="399">
        <v>0</v>
      </c>
      <c r="CQ538" s="399">
        <v>31</v>
      </c>
      <c r="CR538" s="399">
        <v>41.359296985944638</v>
      </c>
      <c r="CS538" s="399">
        <v>0</v>
      </c>
      <c r="CT538" s="399">
        <v>0</v>
      </c>
      <c r="CU538" s="399">
        <v>0</v>
      </c>
      <c r="CV538" s="399">
        <v>0</v>
      </c>
      <c r="CW538" s="399"/>
      <c r="CX538" s="399"/>
      <c r="CY538" s="399"/>
      <c r="CZ538" s="399">
        <v>41.359296985944638</v>
      </c>
      <c r="DA538" s="399">
        <v>0</v>
      </c>
      <c r="DB538" s="399">
        <v>0</v>
      </c>
      <c r="DC538" s="399"/>
      <c r="DD538" s="399"/>
      <c r="DE538" s="399">
        <v>0</v>
      </c>
      <c r="DF538" s="399">
        <v>0</v>
      </c>
      <c r="DG538" s="399">
        <v>0</v>
      </c>
      <c r="DH538" s="399">
        <v>0</v>
      </c>
      <c r="DI538" s="399">
        <v>0</v>
      </c>
      <c r="DJ538" s="399"/>
      <c r="DK538" s="399">
        <v>0</v>
      </c>
      <c r="DL538" s="399">
        <v>0</v>
      </c>
      <c r="DM538" s="399"/>
      <c r="DN538" s="399">
        <v>0</v>
      </c>
      <c r="DO538" s="399">
        <v>0</v>
      </c>
      <c r="DP538" s="399">
        <v>0</v>
      </c>
      <c r="DQ538" s="399">
        <v>0</v>
      </c>
      <c r="DR538" s="399">
        <v>0</v>
      </c>
      <c r="DS538" s="399"/>
      <c r="DT538" s="399"/>
      <c r="DU538" s="399">
        <v>1738.2150234222775</v>
      </c>
      <c r="DV538" s="399"/>
      <c r="DW538" s="399">
        <v>0</v>
      </c>
      <c r="DX538" s="399">
        <v>0</v>
      </c>
      <c r="DY538" s="399">
        <v>-36.660000000000764</v>
      </c>
      <c r="DZ538" s="399"/>
      <c r="EA538" s="399">
        <v>0</v>
      </c>
      <c r="EB538" s="399"/>
      <c r="EC538" s="399">
        <v>-78.284390684721075</v>
      </c>
      <c r="ED538" s="399"/>
      <c r="EE538" s="399">
        <v>0</v>
      </c>
      <c r="EF538" s="399">
        <v>0</v>
      </c>
      <c r="EG538" s="399"/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/>
      <c r="EN538" s="399"/>
      <c r="EO538" s="399">
        <v>0</v>
      </c>
      <c r="EP538" s="399">
        <v>0</v>
      </c>
      <c r="EQ538" s="399"/>
      <c r="ER538" s="399">
        <v>0</v>
      </c>
      <c r="ES538" s="399"/>
      <c r="ET538" s="399">
        <v>0</v>
      </c>
      <c r="EU538" s="399"/>
      <c r="EV538" s="399">
        <v>225</v>
      </c>
      <c r="EW538" s="399"/>
      <c r="EX538" s="399"/>
      <c r="EY538" s="399"/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537</v>
      </c>
      <c r="B539" s="399" t="s">
        <v>957</v>
      </c>
      <c r="C539" s="399" t="s">
        <v>2357</v>
      </c>
      <c r="D539" s="399" t="s">
        <v>1826</v>
      </c>
      <c r="E539" s="399" t="s">
        <v>2375</v>
      </c>
      <c r="F539" s="399" t="s">
        <v>1240</v>
      </c>
      <c r="G539" s="399" t="s">
        <v>1240</v>
      </c>
      <c r="H539" s="399" t="s">
        <v>1240</v>
      </c>
      <c r="I539" s="399" t="s">
        <v>1240</v>
      </c>
      <c r="J539" s="399" t="s">
        <v>2358</v>
      </c>
      <c r="K539" s="789">
        <v>44743</v>
      </c>
      <c r="L539" s="399">
        <v>0</v>
      </c>
      <c r="M539" s="399">
        <v>0</v>
      </c>
      <c r="N539" s="399">
        <v>5.3940000000000001</v>
      </c>
      <c r="O539" s="399">
        <v>5.3940000000000001</v>
      </c>
      <c r="P539" s="399">
        <v>5.3940000000000001</v>
      </c>
      <c r="Q539" s="399">
        <v>5.3940000000000001</v>
      </c>
      <c r="R539" s="399"/>
      <c r="S539" s="399">
        <v>522.37</v>
      </c>
      <c r="T539" s="399">
        <v>144.41999999999999</v>
      </c>
      <c r="U539" s="399"/>
      <c r="V539" s="399">
        <v>3596.6652600000002</v>
      </c>
      <c r="W539" s="399">
        <v>3596.6652600000002</v>
      </c>
      <c r="X539" s="399">
        <v>3515.4855600000001</v>
      </c>
      <c r="Y539" s="399">
        <v>0</v>
      </c>
      <c r="Z539" s="399">
        <v>331.19686149680103</v>
      </c>
      <c r="AA539" s="399">
        <v>0</v>
      </c>
      <c r="AB539" s="399">
        <v>0</v>
      </c>
      <c r="AC539" s="399">
        <v>0</v>
      </c>
      <c r="AD539" s="399">
        <v>549.99194676681088</v>
      </c>
      <c r="AE539" s="399">
        <v>1790.3075360589964</v>
      </c>
      <c r="AF539" s="399">
        <v>779.01131666284141</v>
      </c>
      <c r="AG539" s="399">
        <v>0</v>
      </c>
      <c r="AH539" s="399">
        <v>0</v>
      </c>
      <c r="AI539" s="399">
        <v>0</v>
      </c>
      <c r="AJ539" s="399">
        <v>0</v>
      </c>
      <c r="AK539" s="399">
        <v>0</v>
      </c>
      <c r="AL539" s="399">
        <v>51.149983992140299</v>
      </c>
      <c r="AM539" s="399"/>
      <c r="AN539" s="399">
        <v>7.8474888959899891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87.158001308250704</v>
      </c>
      <c r="BH539" s="399">
        <v>0</v>
      </c>
      <c r="BI539" s="399">
        <v>0</v>
      </c>
      <c r="BJ539" s="399">
        <v>0</v>
      </c>
      <c r="BK539" s="399">
        <v>0</v>
      </c>
      <c r="BL539" s="399">
        <v>4</v>
      </c>
      <c r="BM539" s="399"/>
      <c r="BN539" s="399"/>
      <c r="BO539" s="399"/>
      <c r="BP539" s="399"/>
      <c r="BQ539" s="399"/>
      <c r="BR539" s="399"/>
      <c r="BS539" s="399"/>
      <c r="BT539" s="399"/>
      <c r="BU539" s="399"/>
      <c r="BV539" s="399">
        <v>866.16931797109214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3512.8785999999996</v>
      </c>
      <c r="CJ539" s="399">
        <v>-83.81666000000132</v>
      </c>
      <c r="CK539" s="399"/>
      <c r="CL539" s="399"/>
      <c r="CM539" s="399"/>
      <c r="CN539" s="399"/>
      <c r="CO539" s="399">
        <v>-112.68065999999993</v>
      </c>
      <c r="CP539" s="399">
        <v>31.500960000000021</v>
      </c>
      <c r="CQ539" s="399">
        <v>31</v>
      </c>
      <c r="CR539" s="399">
        <v>-0.5177094069983923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23.017906351211082</v>
      </c>
      <c r="DA539" s="399">
        <v>0</v>
      </c>
      <c r="DB539" s="399">
        <v>0</v>
      </c>
      <c r="DC539" s="399">
        <v>31.499840196646119</v>
      </c>
      <c r="DD539" s="399">
        <v>0</v>
      </c>
      <c r="DE539" s="399">
        <v>0</v>
      </c>
      <c r="DF539" s="399">
        <v>0</v>
      </c>
      <c r="DG539" s="399">
        <v>3.5242916942847273</v>
      </c>
      <c r="DH539" s="399">
        <v>0</v>
      </c>
      <c r="DI539" s="399">
        <v>-50.88214313564248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-6.7305481208622311</v>
      </c>
      <c r="DP539" s="399">
        <v>-0.94705639263535346</v>
      </c>
      <c r="DQ539" s="399">
        <v>0</v>
      </c>
      <c r="DR539" s="399">
        <v>0</v>
      </c>
      <c r="DS539" s="399"/>
      <c r="DT539" s="399"/>
      <c r="DU539" s="399"/>
      <c r="DV539" s="399">
        <v>1790.3075360589964</v>
      </c>
      <c r="DW539" s="399">
        <v>0</v>
      </c>
      <c r="DX539" s="399">
        <v>0</v>
      </c>
      <c r="DY539" s="399">
        <v>-112.68065999999999</v>
      </c>
      <c r="DZ539" s="399">
        <v>31.500960000000077</v>
      </c>
      <c r="EA539" s="399">
        <v>0</v>
      </c>
      <c r="EB539" s="399">
        <v>0</v>
      </c>
      <c r="EC539" s="399">
        <v>-80.630493184156421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0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225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538</v>
      </c>
      <c r="B540" s="399" t="s">
        <v>957</v>
      </c>
      <c r="C540" s="399" t="s">
        <v>2357</v>
      </c>
      <c r="D540" s="399" t="s">
        <v>2369</v>
      </c>
      <c r="E540" s="399" t="s">
        <v>895</v>
      </c>
      <c r="F540" s="399" t="s">
        <v>2376</v>
      </c>
      <c r="G540" s="399" t="s">
        <v>2377</v>
      </c>
      <c r="H540" s="399" t="s">
        <v>1240</v>
      </c>
      <c r="I540" s="399" t="s">
        <v>1240</v>
      </c>
      <c r="J540" s="399" t="s">
        <v>2358</v>
      </c>
      <c r="K540" s="789">
        <v>44743</v>
      </c>
      <c r="L540" s="399">
        <v>0</v>
      </c>
      <c r="M540" s="399">
        <v>0</v>
      </c>
      <c r="N540" s="399">
        <v>0</v>
      </c>
      <c r="O540" s="399">
        <v>0</v>
      </c>
      <c r="P540" s="399">
        <v>0</v>
      </c>
      <c r="Q540" s="399">
        <v>0</v>
      </c>
      <c r="R540" s="399"/>
      <c r="S540" s="399"/>
      <c r="T540" s="399"/>
      <c r="U540" s="399"/>
      <c r="V540" s="399"/>
      <c r="W540" s="399"/>
      <c r="X540" s="399"/>
      <c r="Y540" s="399"/>
      <c r="Z540" s="399"/>
      <c r="AA540" s="399">
        <v>0</v>
      </c>
      <c r="AB540" s="399"/>
      <c r="AC540" s="399"/>
      <c r="AD540" s="399"/>
      <c r="AE540" s="399"/>
      <c r="AF540" s="399"/>
      <c r="AG540" s="399"/>
      <c r="AH540" s="399"/>
      <c r="AI540" s="399"/>
      <c r="AJ540" s="399"/>
      <c r="AK540" s="399"/>
      <c r="AL540" s="399"/>
      <c r="AM540" s="399"/>
      <c r="AN540" s="399"/>
      <c r="AO540" s="399"/>
      <c r="AP540" s="399"/>
      <c r="AQ540" s="399"/>
      <c r="AR540" s="399"/>
      <c r="AS540" s="399"/>
      <c r="AT540" s="399"/>
      <c r="AU540" s="399"/>
      <c r="AV540" s="399"/>
      <c r="AW540" s="399"/>
      <c r="AX540" s="399"/>
      <c r="AY540" s="399"/>
      <c r="AZ540" s="399">
        <v>0</v>
      </c>
      <c r="BA540" s="399"/>
      <c r="BB540" s="399"/>
      <c r="BC540" s="399"/>
      <c r="BD540" s="399"/>
      <c r="BE540" s="399"/>
      <c r="BF540" s="399"/>
      <c r="BG540" s="399"/>
      <c r="BH540" s="399"/>
      <c r="BI540" s="399">
        <v>0</v>
      </c>
      <c r="BJ540" s="399">
        <v>0</v>
      </c>
      <c r="BK540" s="399">
        <v>220.4</v>
      </c>
      <c r="BL540" s="399">
        <v>2</v>
      </c>
      <c r="BM540" s="399"/>
      <c r="BN540" s="399"/>
      <c r="BO540" s="399"/>
      <c r="BP540" s="399"/>
      <c r="BQ540" s="399"/>
      <c r="BR540" s="399"/>
      <c r="BS540" s="399"/>
      <c r="BT540" s="399"/>
      <c r="BU540" s="399"/>
      <c r="BV540" s="399"/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/>
      <c r="CJ540" s="399">
        <v>-0.03</v>
      </c>
      <c r="CK540" s="399"/>
      <c r="CL540" s="399"/>
      <c r="CM540" s="399"/>
      <c r="CN540" s="399"/>
      <c r="CO540" s="399">
        <v>0</v>
      </c>
      <c r="CP540" s="399">
        <v>0</v>
      </c>
      <c r="CQ540" s="399">
        <v>31</v>
      </c>
      <c r="CR540" s="399"/>
      <c r="CS540" s="399"/>
      <c r="CT540" s="399"/>
      <c r="CU540" s="399"/>
      <c r="CV540" s="399"/>
      <c r="CW540" s="399"/>
      <c r="CX540" s="399"/>
      <c r="CY540" s="399"/>
      <c r="CZ540" s="399"/>
      <c r="DA540" s="399"/>
      <c r="DB540" s="399"/>
      <c r="DC540" s="399"/>
      <c r="DD540" s="399"/>
      <c r="DE540" s="399"/>
      <c r="DF540" s="399"/>
      <c r="DG540" s="399"/>
      <c r="DH540" s="399"/>
      <c r="DI540" s="399"/>
      <c r="DJ540" s="399"/>
      <c r="DK540" s="399">
        <v>0</v>
      </c>
      <c r="DL540" s="399"/>
      <c r="DM540" s="399"/>
      <c r="DN540" s="399"/>
      <c r="DO540" s="399"/>
      <c r="DP540" s="399"/>
      <c r="DQ540" s="399"/>
      <c r="DR540" s="399"/>
      <c r="DS540" s="399"/>
      <c r="DT540" s="399"/>
      <c r="DU540" s="399"/>
      <c r="DV540" s="399"/>
      <c r="DW540" s="399"/>
      <c r="DX540" s="399"/>
      <c r="DY540" s="399"/>
      <c r="DZ540" s="399"/>
      <c r="EA540" s="399"/>
      <c r="EB540" s="399"/>
      <c r="EC540" s="399"/>
      <c r="ED540" s="399"/>
      <c r="EE540" s="399"/>
      <c r="EF540" s="399"/>
      <c r="EG540" s="399"/>
      <c r="EH540" s="399"/>
      <c r="EI540" s="399"/>
      <c r="EJ540" s="399"/>
      <c r="EK540" s="399"/>
      <c r="EL540" s="399"/>
      <c r="EM540" s="399"/>
      <c r="EN540" s="399"/>
      <c r="EO540" s="399"/>
      <c r="EP540" s="399"/>
      <c r="EQ540" s="399"/>
      <c r="ER540" s="399"/>
      <c r="ES540" s="399"/>
      <c r="ET540" s="399"/>
      <c r="EU540" s="399"/>
      <c r="EV540" s="399">
        <v>225</v>
      </c>
      <c r="EW540" s="399"/>
      <c r="EX540" s="399"/>
      <c r="EY540" s="399"/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539</v>
      </c>
      <c r="B541" s="399" t="s">
        <v>957</v>
      </c>
      <c r="C541" s="399" t="s">
        <v>2357</v>
      </c>
      <c r="D541" s="399" t="s">
        <v>2369</v>
      </c>
      <c r="E541" s="399" t="s">
        <v>895</v>
      </c>
      <c r="F541" s="399" t="s">
        <v>2376</v>
      </c>
      <c r="G541" s="399" t="s">
        <v>2377</v>
      </c>
      <c r="H541" s="399" t="s">
        <v>1240</v>
      </c>
      <c r="I541" s="399" t="s">
        <v>1240</v>
      </c>
      <c r="J541" s="399" t="s">
        <v>2358</v>
      </c>
      <c r="K541" s="789">
        <v>44743</v>
      </c>
      <c r="L541" s="399">
        <v>0</v>
      </c>
      <c r="M541" s="399">
        <v>0</v>
      </c>
      <c r="N541" s="399">
        <v>1.83</v>
      </c>
      <c r="O541" s="399">
        <v>1.83</v>
      </c>
      <c r="P541" s="399">
        <v>1.83</v>
      </c>
      <c r="Q541" s="399">
        <v>1.83</v>
      </c>
      <c r="R541" s="399"/>
      <c r="S541" s="399">
        <v>522.37</v>
      </c>
      <c r="T541" s="399">
        <v>144.41999999999999</v>
      </c>
      <c r="U541" s="399"/>
      <c r="V541" s="399">
        <v>1220.2257</v>
      </c>
      <c r="W541" s="399">
        <v>1220.2257</v>
      </c>
      <c r="X541" s="399">
        <v>1192.6842000000001</v>
      </c>
      <c r="Y541" s="399">
        <v>0</v>
      </c>
      <c r="Z541" s="399">
        <v>112.36378504618945</v>
      </c>
      <c r="AA541" s="399">
        <v>0</v>
      </c>
      <c r="AB541" s="399">
        <v>0</v>
      </c>
      <c r="AC541" s="399">
        <v>0</v>
      </c>
      <c r="AD541" s="399">
        <v>186.59348583301147</v>
      </c>
      <c r="AE541" s="399">
        <v>607.39020967518786</v>
      </c>
      <c r="AF541" s="399">
        <v>264.29193724378939</v>
      </c>
      <c r="AG541" s="399">
        <v>0</v>
      </c>
      <c r="AH541" s="399">
        <v>0</v>
      </c>
      <c r="AI541" s="399">
        <v>0</v>
      </c>
      <c r="AJ541" s="399">
        <v>0</v>
      </c>
      <c r="AK541" s="399">
        <v>0</v>
      </c>
      <c r="AL541" s="399">
        <v>17.353442844941924</v>
      </c>
      <c r="AM541" s="399"/>
      <c r="AN541" s="399">
        <v>2.6623849980833665</v>
      </c>
      <c r="AO541" s="399">
        <v>0</v>
      </c>
      <c r="AP541" s="399">
        <v>0</v>
      </c>
      <c r="AQ541" s="399">
        <v>0</v>
      </c>
      <c r="AR541" s="399">
        <v>0</v>
      </c>
      <c r="AS541" s="399">
        <v>0</v>
      </c>
      <c r="AT541" s="399">
        <v>0</v>
      </c>
      <c r="AU541" s="399">
        <v>0</v>
      </c>
      <c r="AV541" s="399">
        <v>0</v>
      </c>
      <c r="AW541" s="399">
        <v>0</v>
      </c>
      <c r="AX541" s="399">
        <v>0</v>
      </c>
      <c r="AY541" s="399">
        <v>0</v>
      </c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>
        <v>0</v>
      </c>
      <c r="BG541" s="399">
        <v>29.569733480552241</v>
      </c>
      <c r="BH541" s="399">
        <v>0</v>
      </c>
      <c r="BI541" s="399">
        <v>0</v>
      </c>
      <c r="BJ541" s="399">
        <v>0</v>
      </c>
      <c r="BK541" s="399">
        <v>0</v>
      </c>
      <c r="BL541" s="399">
        <v>0</v>
      </c>
      <c r="BM541" s="399"/>
      <c r="BN541" s="399"/>
      <c r="BO541" s="399"/>
      <c r="BP541" s="399"/>
      <c r="BQ541" s="399"/>
      <c r="BR541" s="399">
        <v>143.10600000000005</v>
      </c>
      <c r="BS541" s="399"/>
      <c r="BT541" s="399"/>
      <c r="BU541" s="399"/>
      <c r="BV541" s="399">
        <v>293.86167072434165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1049.5781999999999</v>
      </c>
      <c r="CJ541" s="399">
        <v>-24.240900000000011</v>
      </c>
      <c r="CK541" s="399"/>
      <c r="CL541" s="399"/>
      <c r="CM541" s="399"/>
      <c r="CN541" s="399"/>
      <c r="CO541" s="399">
        <v>-38.228699999999975</v>
      </c>
      <c r="CP541" s="399">
        <v>10.687200000000006</v>
      </c>
      <c r="CQ541" s="399">
        <v>31</v>
      </c>
      <c r="CR541" s="399">
        <v>-0.17564112250772723</v>
      </c>
      <c r="CS541" s="399">
        <v>0</v>
      </c>
      <c r="CT541" s="399">
        <v>0</v>
      </c>
      <c r="CU541" s="399">
        <v>0</v>
      </c>
      <c r="CV541" s="399">
        <v>0</v>
      </c>
      <c r="CW541" s="399">
        <v>0</v>
      </c>
      <c r="CX541" s="399">
        <v>0</v>
      </c>
      <c r="CY541" s="399">
        <v>0</v>
      </c>
      <c r="CZ541" s="399">
        <v>7.8091895852273581</v>
      </c>
      <c r="DA541" s="399">
        <v>0</v>
      </c>
      <c r="DB541" s="399">
        <v>0</v>
      </c>
      <c r="DC541" s="399">
        <v>10.686820088962236</v>
      </c>
      <c r="DD541" s="399">
        <v>0</v>
      </c>
      <c r="DE541" s="399">
        <v>0</v>
      </c>
      <c r="DF541" s="399">
        <v>0</v>
      </c>
      <c r="DG541" s="399">
        <v>1.1956718206416497</v>
      </c>
      <c r="DH541" s="399">
        <v>0</v>
      </c>
      <c r="DI541" s="399">
        <v>-17.262573588844219</v>
      </c>
      <c r="DJ541" s="399"/>
      <c r="DK541" s="399">
        <v>0</v>
      </c>
      <c r="DL541" s="399">
        <v>0</v>
      </c>
      <c r="DM541" s="399">
        <v>0</v>
      </c>
      <c r="DN541" s="399">
        <v>0</v>
      </c>
      <c r="DO541" s="399">
        <v>-2.2834451355539258</v>
      </c>
      <c r="DP541" s="399">
        <v>-0.32130389294080342</v>
      </c>
      <c r="DQ541" s="399">
        <v>0</v>
      </c>
      <c r="DR541" s="399">
        <v>0</v>
      </c>
      <c r="DS541" s="399"/>
      <c r="DT541" s="399"/>
      <c r="DU541" s="399"/>
      <c r="DV541" s="399">
        <v>607.39020967518786</v>
      </c>
      <c r="DW541" s="399">
        <v>0</v>
      </c>
      <c r="DX541" s="399">
        <v>0</v>
      </c>
      <c r="DY541" s="399">
        <v>-38.228700000000003</v>
      </c>
      <c r="DZ541" s="399">
        <v>10.687200000000018</v>
      </c>
      <c r="EA541" s="399">
        <v>0</v>
      </c>
      <c r="EB541" s="399">
        <v>0</v>
      </c>
      <c r="EC541" s="399">
        <v>-27.35517288227777</v>
      </c>
      <c r="ED541" s="399">
        <v>0</v>
      </c>
      <c r="EE541" s="399">
        <v>0</v>
      </c>
      <c r="EF541" s="399">
        <v>0</v>
      </c>
      <c r="EG541" s="399">
        <v>0</v>
      </c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>
        <v>0</v>
      </c>
      <c r="EN541" s="399">
        <v>0</v>
      </c>
      <c r="EO541" s="399">
        <v>0</v>
      </c>
      <c r="EP541" s="399">
        <v>0</v>
      </c>
      <c r="EQ541" s="399">
        <v>0</v>
      </c>
      <c r="ER541" s="399">
        <v>0</v>
      </c>
      <c r="ES541" s="399">
        <v>0</v>
      </c>
      <c r="ET541" s="399">
        <v>0</v>
      </c>
      <c r="EU541" s="399">
        <v>0</v>
      </c>
      <c r="EV541" s="399">
        <v>225</v>
      </c>
      <c r="EW541" s="399">
        <v>0</v>
      </c>
      <c r="EX541" s="399">
        <v>0</v>
      </c>
      <c r="EY541" s="399">
        <v>0</v>
      </c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540</v>
      </c>
      <c r="B542" s="399" t="s">
        <v>957</v>
      </c>
      <c r="C542" s="399" t="s">
        <v>2357</v>
      </c>
      <c r="D542" s="399" t="s">
        <v>2369</v>
      </c>
      <c r="E542" s="399" t="s">
        <v>895</v>
      </c>
      <c r="F542" s="399" t="s">
        <v>2376</v>
      </c>
      <c r="G542" s="399" t="s">
        <v>2378</v>
      </c>
      <c r="H542" s="399" t="s">
        <v>1240</v>
      </c>
      <c r="I542" s="399" t="s">
        <v>1240</v>
      </c>
      <c r="J542" s="399" t="s">
        <v>2358</v>
      </c>
      <c r="K542" s="789">
        <v>44743</v>
      </c>
      <c r="L542" s="399">
        <v>0</v>
      </c>
      <c r="M542" s="399">
        <v>0</v>
      </c>
      <c r="N542" s="399">
        <v>0.22</v>
      </c>
      <c r="O542" s="399">
        <v>8.7999999999999995E-2</v>
      </c>
      <c r="P542" s="399">
        <v>0.22</v>
      </c>
      <c r="Q542" s="399">
        <v>8.7999999999999995E-2</v>
      </c>
      <c r="R542" s="399"/>
      <c r="S542" s="399">
        <v>522.37</v>
      </c>
      <c r="T542" s="399">
        <v>144.41999999999999</v>
      </c>
      <c r="U542" s="399"/>
      <c r="V542" s="399">
        <v>146.69380000000001</v>
      </c>
      <c r="W542" s="399">
        <v>146.69380000000001</v>
      </c>
      <c r="X542" s="399">
        <v>143.3828</v>
      </c>
      <c r="Y542" s="399">
        <v>0</v>
      </c>
      <c r="Z542" s="399">
        <v>13.508214595716764</v>
      </c>
      <c r="AA542" s="399">
        <v>0</v>
      </c>
      <c r="AB542" s="399">
        <v>0</v>
      </c>
      <c r="AC542" s="399">
        <v>0</v>
      </c>
      <c r="AD542" s="399">
        <v>22.432003761345641</v>
      </c>
      <c r="AE542" s="399">
        <v>73.019588048383241</v>
      </c>
      <c r="AF542" s="399">
        <v>31.772801198706919</v>
      </c>
      <c r="AG542" s="399">
        <v>0</v>
      </c>
      <c r="AH542" s="399">
        <v>0</v>
      </c>
      <c r="AI542" s="399">
        <v>0</v>
      </c>
      <c r="AJ542" s="399">
        <v>0</v>
      </c>
      <c r="AK542" s="399">
        <v>0</v>
      </c>
      <c r="AL542" s="399">
        <v>2.0862062436542206</v>
      </c>
      <c r="AM542" s="399"/>
      <c r="AN542" s="399">
        <v>0.32006814184608778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3.5548313473887938</v>
      </c>
      <c r="BH542" s="399">
        <v>0</v>
      </c>
      <c r="BI542" s="399">
        <v>0</v>
      </c>
      <c r="BJ542" s="399">
        <v>0</v>
      </c>
      <c r="BK542" s="399">
        <v>0</v>
      </c>
      <c r="BL542" s="399">
        <v>0</v>
      </c>
      <c r="BM542" s="399"/>
      <c r="BN542" s="399"/>
      <c r="BO542" s="399"/>
      <c r="BP542" s="399"/>
      <c r="BQ542" s="399"/>
      <c r="BR542" s="399"/>
      <c r="BS542" s="399">
        <v>92.911280000000005</v>
      </c>
      <c r="BT542" s="399"/>
      <c r="BU542" s="399"/>
      <c r="BV542" s="399">
        <v>35.327632546095714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51.618600000000001</v>
      </c>
      <c r="CJ542" s="399">
        <v>-4.7159999999990987E-2</v>
      </c>
      <c r="CK542" s="399"/>
      <c r="CL542" s="399"/>
      <c r="CM542" s="399"/>
      <c r="CN542" s="399"/>
      <c r="CO542" s="399">
        <v>-4.595799999999997</v>
      </c>
      <c r="CP542" s="399">
        <v>1.2848000000000008</v>
      </c>
      <c r="CQ542" s="399">
        <v>31</v>
      </c>
      <c r="CR542" s="399">
        <v>-2.1115326203116069E-2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0.93880967691258022</v>
      </c>
      <c r="DA542" s="399">
        <v>0</v>
      </c>
      <c r="DB542" s="399">
        <v>0</v>
      </c>
      <c r="DC542" s="399">
        <v>1.2847543276348041</v>
      </c>
      <c r="DD542" s="399">
        <v>0</v>
      </c>
      <c r="DE542" s="399">
        <v>0</v>
      </c>
      <c r="DF542" s="399">
        <v>0</v>
      </c>
      <c r="DG542" s="399">
        <v>0.14374196750883206</v>
      </c>
      <c r="DH542" s="399">
        <v>0</v>
      </c>
      <c r="DI542" s="399">
        <v>-2.0752820707900153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-0.2745125299573028</v>
      </c>
      <c r="DP542" s="399">
        <v>-3.86266975120092E-2</v>
      </c>
      <c r="DQ542" s="399">
        <v>0</v>
      </c>
      <c r="DR542" s="399">
        <v>0</v>
      </c>
      <c r="DS542" s="399"/>
      <c r="DT542" s="399"/>
      <c r="DU542" s="399"/>
      <c r="DV542" s="399">
        <v>73.019588048383241</v>
      </c>
      <c r="DW542" s="399">
        <v>0</v>
      </c>
      <c r="DX542" s="399">
        <v>0</v>
      </c>
      <c r="DY542" s="399">
        <v>-4.595799999999997</v>
      </c>
      <c r="DZ542" s="399">
        <v>1.2848000000000042</v>
      </c>
      <c r="EA542" s="399">
        <v>0</v>
      </c>
      <c r="EB542" s="399">
        <v>0</v>
      </c>
      <c r="EC542" s="399">
        <v>-3.288600018634483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0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225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1772">
        <v>541</v>
      </c>
      <c r="B543" s="1772" t="s">
        <v>2379</v>
      </c>
      <c r="C543" s="1772" t="s">
        <v>2357</v>
      </c>
      <c r="D543" s="1772" t="s">
        <v>1823</v>
      </c>
      <c r="E543" s="1772" t="s">
        <v>890</v>
      </c>
      <c r="F543" s="1772" t="s">
        <v>890</v>
      </c>
      <c r="G543" s="1772" t="s">
        <v>1240</v>
      </c>
      <c r="H543" s="1772" t="s">
        <v>1240</v>
      </c>
      <c r="I543" s="1772" t="s">
        <v>1240</v>
      </c>
      <c r="J543" s="1772" t="s">
        <v>2358</v>
      </c>
      <c r="K543" s="1773">
        <v>44774</v>
      </c>
      <c r="L543" s="1772">
        <v>0</v>
      </c>
      <c r="M543" s="1772">
        <v>0</v>
      </c>
      <c r="N543" s="1772">
        <v>2394.3290000000002</v>
      </c>
      <c r="O543" s="1772">
        <v>2394.3290000000002</v>
      </c>
      <c r="P543" s="1772">
        <v>2394.3290000000002</v>
      </c>
      <c r="Q543" s="1772">
        <v>2394.3290000000002</v>
      </c>
      <c r="R543" s="1772"/>
      <c r="S543" s="1772">
        <v>522.37</v>
      </c>
      <c r="T543" s="1772">
        <v>144.41999999999999</v>
      </c>
      <c r="U543" s="1772"/>
      <c r="V543" s="1772">
        <v>1596514.6339100001</v>
      </c>
      <c r="W543" s="1772">
        <v>1596514.6339100001</v>
      </c>
      <c r="X543" s="1772">
        <v>1560479.9824600001</v>
      </c>
      <c r="Y543" s="1772">
        <v>0</v>
      </c>
      <c r="Z543" s="1772">
        <v>147014.13611249058</v>
      </c>
      <c r="AA543" s="1772">
        <v>0</v>
      </c>
      <c r="AB543" s="1772">
        <v>0</v>
      </c>
      <c r="AC543" s="1772">
        <v>0</v>
      </c>
      <c r="AD543" s="1772">
        <v>244134.53242681341</v>
      </c>
      <c r="AE543" s="1772">
        <v>794695.0783286246</v>
      </c>
      <c r="AF543" s="1772">
        <v>345793.36055135791</v>
      </c>
      <c r="AG543" s="1772">
        <v>0</v>
      </c>
      <c r="AH543" s="1772">
        <v>0</v>
      </c>
      <c r="AI543" s="1772">
        <v>0</v>
      </c>
      <c r="AJ543" s="1772">
        <v>0</v>
      </c>
      <c r="AK543" s="1772">
        <v>0</v>
      </c>
      <c r="AL543" s="1772">
        <v>22704.836859828938</v>
      </c>
      <c r="AM543" s="1772"/>
      <c r="AN543" s="1772">
        <v>3483.401972719098</v>
      </c>
      <c r="AO543" s="1772">
        <v>0</v>
      </c>
      <c r="AP543" s="1772">
        <v>0</v>
      </c>
      <c r="AQ543" s="1772">
        <v>0</v>
      </c>
      <c r="AR543" s="1772">
        <v>0</v>
      </c>
      <c r="AS543" s="1772">
        <v>0</v>
      </c>
      <c r="AT543" s="1772">
        <v>0</v>
      </c>
      <c r="AU543" s="1772">
        <v>0</v>
      </c>
      <c r="AV543" s="1772">
        <v>0</v>
      </c>
      <c r="AW543" s="1772">
        <v>0</v>
      </c>
      <c r="AX543" s="1772">
        <v>0</v>
      </c>
      <c r="AY543" s="1772">
        <v>0</v>
      </c>
      <c r="AZ543" s="1772">
        <v>0</v>
      </c>
      <c r="BA543" s="1772"/>
      <c r="BB543" s="1772">
        <v>0</v>
      </c>
      <c r="BC543" s="1772">
        <v>0</v>
      </c>
      <c r="BD543" s="1772">
        <v>0</v>
      </c>
      <c r="BE543" s="1772">
        <v>0</v>
      </c>
      <c r="BF543" s="1772">
        <v>0</v>
      </c>
      <c r="BG543" s="1772">
        <v>38688.344478009385</v>
      </c>
      <c r="BH543" s="1772">
        <v>0</v>
      </c>
      <c r="BI543" s="1772">
        <v>486.25</v>
      </c>
      <c r="BJ543" s="1772">
        <v>2243.3000000000002</v>
      </c>
      <c r="BK543" s="1772">
        <v>224084.5</v>
      </c>
      <c r="BL543" s="1772">
        <v>12091</v>
      </c>
      <c r="BM543" s="1772"/>
      <c r="BN543" s="1772"/>
      <c r="BO543" s="1772"/>
      <c r="BP543" s="1772"/>
      <c r="BQ543" s="1772"/>
      <c r="BR543" s="1772"/>
      <c r="BS543" s="1772"/>
      <c r="BT543" s="1772"/>
      <c r="BU543" s="1772"/>
      <c r="BV543" s="1772">
        <v>384481.70502936729</v>
      </c>
      <c r="BW543" s="1772"/>
      <c r="BX543" s="1772"/>
      <c r="BY543" s="1772"/>
      <c r="BZ543" s="1772"/>
      <c r="CA543" s="1772"/>
      <c r="CB543" s="1772"/>
      <c r="CC543" s="1772"/>
      <c r="CD543" s="1772"/>
      <c r="CE543" s="1772"/>
      <c r="CF543" s="1772"/>
      <c r="CG543" s="1772"/>
      <c r="CH543" s="1772"/>
      <c r="CI543" s="1772">
        <v>1560480.6342</v>
      </c>
      <c r="CJ543" s="1772">
        <v>-36034.029710000148</v>
      </c>
      <c r="CK543" s="1772"/>
      <c r="CL543" s="1772"/>
      <c r="CM543" s="1772"/>
      <c r="CN543" s="1772"/>
      <c r="CO543" s="1772">
        <v>-50017.532809999968</v>
      </c>
      <c r="CP543" s="1772">
        <v>13982.881360000008</v>
      </c>
      <c r="CQ543" s="1772">
        <v>31</v>
      </c>
      <c r="CR543" s="1772">
        <v>-229.80471760267392</v>
      </c>
      <c r="CS543" s="1772">
        <v>0</v>
      </c>
      <c r="CT543" s="1772">
        <v>0</v>
      </c>
      <c r="CU543" s="1772">
        <v>0</v>
      </c>
      <c r="CV543" s="1772">
        <v>0</v>
      </c>
      <c r="CW543" s="1772">
        <v>0</v>
      </c>
      <c r="CX543" s="1772">
        <v>0</v>
      </c>
      <c r="CY543" s="1772">
        <v>0</v>
      </c>
      <c r="CZ543" s="1772">
        <v>10217.360158692813</v>
      </c>
      <c r="DA543" s="1772">
        <v>0</v>
      </c>
      <c r="DB543" s="1772">
        <v>0</v>
      </c>
      <c r="DC543" s="1772">
        <v>13982.384293325071</v>
      </c>
      <c r="DD543" s="1772">
        <v>0</v>
      </c>
      <c r="DE543" s="1772">
        <v>0</v>
      </c>
      <c r="DF543" s="1772">
        <v>0</v>
      </c>
      <c r="DG543" s="1772">
        <v>1564.3889151066105</v>
      </c>
      <c r="DH543" s="1772">
        <v>0</v>
      </c>
      <c r="DI543" s="1772">
        <v>-22585.945660329962</v>
      </c>
      <c r="DJ543" s="1772"/>
      <c r="DK543" s="1772">
        <v>0</v>
      </c>
      <c r="DL543" s="1772">
        <v>0</v>
      </c>
      <c r="DM543" s="1772">
        <v>0</v>
      </c>
      <c r="DN543" s="1772">
        <v>0</v>
      </c>
      <c r="DO543" s="1772">
        <v>-2987.6059606369927</v>
      </c>
      <c r="DP543" s="1772">
        <v>-420.38646376014322</v>
      </c>
      <c r="DQ543" s="1772">
        <v>0</v>
      </c>
      <c r="DR543" s="1772">
        <v>0</v>
      </c>
      <c r="DS543" s="1772"/>
      <c r="DT543" s="1772"/>
      <c r="DU543" s="1772"/>
      <c r="DV543" s="1772">
        <v>794695.0783286246</v>
      </c>
      <c r="DW543" s="1772">
        <v>0</v>
      </c>
      <c r="DX543" s="1772">
        <v>0</v>
      </c>
      <c r="DY543" s="1772">
        <v>-50017.532810000004</v>
      </c>
      <c r="DZ543" s="1772">
        <v>13982.881359999999</v>
      </c>
      <c r="EA543" s="1772">
        <v>0</v>
      </c>
      <c r="EB543" s="1772">
        <v>0</v>
      </c>
      <c r="EC543" s="1772">
        <v>-35790.865427350393</v>
      </c>
      <c r="ED543" s="1772">
        <v>0</v>
      </c>
      <c r="EE543" s="1772">
        <v>0</v>
      </c>
      <c r="EF543" s="1772">
        <v>0</v>
      </c>
      <c r="EG543" s="1772">
        <v>0</v>
      </c>
      <c r="EH543" s="1772">
        <v>0</v>
      </c>
      <c r="EI543" s="1772">
        <v>0</v>
      </c>
      <c r="EJ543" s="1772">
        <v>0</v>
      </c>
      <c r="EK543" s="1772">
        <v>0</v>
      </c>
      <c r="EL543" s="1772">
        <v>0</v>
      </c>
      <c r="EM543" s="1772">
        <v>0</v>
      </c>
      <c r="EN543" s="1772">
        <v>0</v>
      </c>
      <c r="EO543" s="1772">
        <v>0</v>
      </c>
      <c r="EP543" s="1772">
        <v>0</v>
      </c>
      <c r="EQ543" s="1772">
        <v>0</v>
      </c>
      <c r="ER543" s="1772">
        <v>0</v>
      </c>
      <c r="ES543" s="1772">
        <v>0</v>
      </c>
      <c r="ET543" s="1772">
        <v>0</v>
      </c>
      <c r="EU543" s="1772">
        <v>0</v>
      </c>
      <c r="EV543" s="1772">
        <v>225</v>
      </c>
      <c r="EW543" s="1772">
        <v>0</v>
      </c>
      <c r="EX543" s="1772">
        <v>0</v>
      </c>
      <c r="EY543" s="1772">
        <v>0</v>
      </c>
      <c r="EZ543" s="1772"/>
      <c r="FA543" s="1772">
        <v>0</v>
      </c>
      <c r="FB543" s="1772"/>
      <c r="FC543" s="1772"/>
      <c r="FD543" s="1772"/>
      <c r="FE543" s="1772"/>
      <c r="FF543" s="1772">
        <v>0</v>
      </c>
      <c r="FG543" s="1772">
        <v>0</v>
      </c>
      <c r="FH543" s="1772">
        <v>0</v>
      </c>
      <c r="FI543" s="1772">
        <v>0</v>
      </c>
    </row>
    <row r="544" spans="1:165">
      <c r="A544" s="1772">
        <v>542</v>
      </c>
      <c r="B544" s="1772" t="s">
        <v>2379</v>
      </c>
      <c r="C544" s="1772" t="s">
        <v>2357</v>
      </c>
      <c r="D544" s="1772" t="s">
        <v>1823</v>
      </c>
      <c r="E544" s="1772" t="s">
        <v>890</v>
      </c>
      <c r="F544" s="1772" t="s">
        <v>890</v>
      </c>
      <c r="G544" s="1772" t="s">
        <v>1240</v>
      </c>
      <c r="H544" s="1772" t="s">
        <v>1240</v>
      </c>
      <c r="I544" s="1772" t="s">
        <v>1240</v>
      </c>
      <c r="J544" s="1772" t="s">
        <v>2358</v>
      </c>
      <c r="K544" s="1773">
        <v>44774</v>
      </c>
      <c r="L544" s="1772">
        <v>0</v>
      </c>
      <c r="M544" s="1772">
        <v>0</v>
      </c>
      <c r="N544" s="1772">
        <v>-2.63</v>
      </c>
      <c r="O544" s="1772">
        <v>-2.63</v>
      </c>
      <c r="P544" s="1772">
        <v>-2.63</v>
      </c>
      <c r="Q544" s="1772">
        <v>-2.63</v>
      </c>
      <c r="R544" s="1772"/>
      <c r="S544" s="1772">
        <v>522.37</v>
      </c>
      <c r="T544" s="1772">
        <v>144.41999999999999</v>
      </c>
      <c r="U544" s="1772"/>
      <c r="V544" s="1772">
        <v>-1753.6577</v>
      </c>
      <c r="W544" s="1772">
        <v>-1753.6577</v>
      </c>
      <c r="X544" s="1772">
        <v>-1714.0762</v>
      </c>
      <c r="Y544" s="1772">
        <v>0</v>
      </c>
      <c r="Z544" s="1772">
        <v>-161.48456539425038</v>
      </c>
      <c r="AA544" s="1772">
        <v>0</v>
      </c>
      <c r="AB544" s="1772">
        <v>0</v>
      </c>
      <c r="AC544" s="1772">
        <v>0</v>
      </c>
      <c r="AD544" s="1772">
        <v>-268.16440860154103</v>
      </c>
      <c r="AE544" s="1772">
        <v>-872.91598439658139</v>
      </c>
      <c r="AF544" s="1772">
        <v>-379.82939614817815</v>
      </c>
      <c r="AG544" s="1772">
        <v>0</v>
      </c>
      <c r="AH544" s="1772">
        <v>0</v>
      </c>
      <c r="AI544" s="1772">
        <v>0</v>
      </c>
      <c r="AJ544" s="1772">
        <v>0</v>
      </c>
      <c r="AK544" s="1772">
        <v>0</v>
      </c>
      <c r="AL544" s="1772">
        <v>-24.939647367320909</v>
      </c>
      <c r="AM544" s="1772"/>
      <c r="AN544" s="1772">
        <v>-3.8262691502509583</v>
      </c>
      <c r="AO544" s="1772">
        <v>0</v>
      </c>
      <c r="AP544" s="1772">
        <v>0</v>
      </c>
      <c r="AQ544" s="1772">
        <v>0</v>
      </c>
      <c r="AR544" s="1772">
        <v>0</v>
      </c>
      <c r="AS544" s="1772">
        <v>0</v>
      </c>
      <c r="AT544" s="1772">
        <v>0</v>
      </c>
      <c r="AU544" s="1772">
        <v>0</v>
      </c>
      <c r="AV544" s="1772">
        <v>0</v>
      </c>
      <c r="AW544" s="1772">
        <v>0</v>
      </c>
      <c r="AX544" s="1772">
        <v>0</v>
      </c>
      <c r="AY544" s="1772">
        <v>0</v>
      </c>
      <c r="AZ544" s="1772">
        <v>0</v>
      </c>
      <c r="BA544" s="1772"/>
      <c r="BB544" s="1772">
        <v>0</v>
      </c>
      <c r="BC544" s="1772">
        <v>0</v>
      </c>
      <c r="BD544" s="1772">
        <v>0</v>
      </c>
      <c r="BE544" s="1772">
        <v>0</v>
      </c>
      <c r="BF544" s="1772">
        <v>0</v>
      </c>
      <c r="BG544" s="1772">
        <v>-42.4963929256024</v>
      </c>
      <c r="BH544" s="1772">
        <v>0</v>
      </c>
      <c r="BI544" s="1772">
        <v>-0.65</v>
      </c>
      <c r="BJ544" s="1772">
        <v>-3.02</v>
      </c>
      <c r="BK544" s="1772">
        <v>-500.39</v>
      </c>
      <c r="BL544" s="1772">
        <v>0</v>
      </c>
      <c r="BM544" s="1772"/>
      <c r="BN544" s="1772"/>
      <c r="BO544" s="1772"/>
      <c r="BP544" s="1772"/>
      <c r="BQ544" s="1772"/>
      <c r="BR544" s="1772"/>
      <c r="BS544" s="1772"/>
      <c r="BT544" s="1772"/>
      <c r="BU544" s="1772"/>
      <c r="BV544" s="1772">
        <v>-422.32578907378053</v>
      </c>
      <c r="BW544" s="1772"/>
      <c r="BX544" s="1772"/>
      <c r="BY544" s="1772"/>
      <c r="BZ544" s="1772"/>
      <c r="CA544" s="1772"/>
      <c r="CB544" s="1772"/>
      <c r="CC544" s="1772"/>
      <c r="CD544" s="1772"/>
      <c r="CE544" s="1772"/>
      <c r="CF544" s="1772"/>
      <c r="CG544" s="1772"/>
      <c r="CH544" s="1772"/>
      <c r="CI544" s="1772">
        <v>-1714.0762</v>
      </c>
      <c r="CJ544" s="1772">
        <v>39.551500000000033</v>
      </c>
      <c r="CK544" s="1772"/>
      <c r="CL544" s="1772"/>
      <c r="CM544" s="1772"/>
      <c r="CN544" s="1772"/>
      <c r="CO544" s="1772">
        <v>54.940699999999964</v>
      </c>
      <c r="CP544" s="1772">
        <v>-15.359200000000008</v>
      </c>
      <c r="CQ544" s="1772">
        <v>31</v>
      </c>
      <c r="CR544" s="1772">
        <v>0.25242412688260174</v>
      </c>
      <c r="CS544" s="1772">
        <v>0</v>
      </c>
      <c r="CT544" s="1772">
        <v>0</v>
      </c>
      <c r="CU544" s="1772">
        <v>0</v>
      </c>
      <c r="CV544" s="1772">
        <v>0</v>
      </c>
      <c r="CW544" s="1772">
        <v>0</v>
      </c>
      <c r="CX544" s="1772">
        <v>0</v>
      </c>
      <c r="CY544" s="1772">
        <v>0</v>
      </c>
      <c r="CZ544" s="1772">
        <v>-11.223042955818585</v>
      </c>
      <c r="DA544" s="1772">
        <v>0</v>
      </c>
      <c r="DB544" s="1772">
        <v>0</v>
      </c>
      <c r="DC544" s="1772">
        <v>-15.358654007634243</v>
      </c>
      <c r="DD544" s="1772">
        <v>0</v>
      </c>
      <c r="DE544" s="1772">
        <v>0</v>
      </c>
      <c r="DF544" s="1772">
        <v>0</v>
      </c>
      <c r="DG544" s="1772">
        <v>-1.7183698843101283</v>
      </c>
      <c r="DH544" s="1772">
        <v>0</v>
      </c>
      <c r="DI544" s="1772">
        <v>24.809053846262458</v>
      </c>
      <c r="DJ544" s="1772"/>
      <c r="DK544" s="1772">
        <v>0</v>
      </c>
      <c r="DL544" s="1772">
        <v>0</v>
      </c>
      <c r="DM544" s="1772">
        <v>0</v>
      </c>
      <c r="DN544" s="1772">
        <v>0</v>
      </c>
      <c r="DO544" s="1772">
        <v>3.2816725172168475</v>
      </c>
      <c r="DP544" s="1772">
        <v>0.46176461116629186</v>
      </c>
      <c r="DQ544" s="1772">
        <v>0</v>
      </c>
      <c r="DR544" s="1772">
        <v>0</v>
      </c>
      <c r="DS544" s="1772"/>
      <c r="DT544" s="1772"/>
      <c r="DU544" s="1772"/>
      <c r="DV544" s="1772">
        <v>-872.91598439658139</v>
      </c>
      <c r="DW544" s="1772">
        <v>0</v>
      </c>
      <c r="DX544" s="1772">
        <v>0</v>
      </c>
      <c r="DY544" s="1772">
        <v>54.940700000000106</v>
      </c>
      <c r="DZ544" s="1772">
        <v>-15.359199999999987</v>
      </c>
      <c r="EA544" s="1772">
        <v>0</v>
      </c>
      <c r="EB544" s="1772">
        <v>0</v>
      </c>
      <c r="EC544" s="1772">
        <v>39.313718404584961</v>
      </c>
      <c r="ED544" s="1772">
        <v>0</v>
      </c>
      <c r="EE544" s="1772">
        <v>0</v>
      </c>
      <c r="EF544" s="1772">
        <v>0</v>
      </c>
      <c r="EG544" s="1772">
        <v>0</v>
      </c>
      <c r="EH544" s="1772">
        <v>0</v>
      </c>
      <c r="EI544" s="1772">
        <v>0</v>
      </c>
      <c r="EJ544" s="1772">
        <v>0</v>
      </c>
      <c r="EK544" s="1772">
        <v>0</v>
      </c>
      <c r="EL544" s="1772">
        <v>0</v>
      </c>
      <c r="EM544" s="1772">
        <v>0</v>
      </c>
      <c r="EN544" s="1772">
        <v>0</v>
      </c>
      <c r="EO544" s="1772">
        <v>0</v>
      </c>
      <c r="EP544" s="1772">
        <v>0</v>
      </c>
      <c r="EQ544" s="1772">
        <v>0</v>
      </c>
      <c r="ER544" s="1772">
        <v>0</v>
      </c>
      <c r="ES544" s="1772">
        <v>0</v>
      </c>
      <c r="ET544" s="1772">
        <v>0</v>
      </c>
      <c r="EU544" s="1772">
        <v>0</v>
      </c>
      <c r="EV544" s="1772">
        <v>225</v>
      </c>
      <c r="EW544" s="1772">
        <v>0</v>
      </c>
      <c r="EX544" s="1772">
        <v>0</v>
      </c>
      <c r="EY544" s="1772">
        <v>0</v>
      </c>
      <c r="EZ544" s="1772"/>
      <c r="FA544" s="1772">
        <v>0</v>
      </c>
      <c r="FB544" s="1772"/>
      <c r="FC544" s="1772"/>
      <c r="FD544" s="1772"/>
      <c r="FE544" s="1772"/>
      <c r="FF544" s="1772">
        <v>0</v>
      </c>
      <c r="FG544" s="1772">
        <v>0</v>
      </c>
      <c r="FH544" s="1772">
        <v>0</v>
      </c>
      <c r="FI544" s="1772">
        <v>0</v>
      </c>
    </row>
    <row r="545" spans="1:165">
      <c r="A545" s="1772">
        <v>543</v>
      </c>
      <c r="B545" s="1772" t="s">
        <v>2379</v>
      </c>
      <c r="C545" s="1772" t="s">
        <v>2357</v>
      </c>
      <c r="D545" s="1772" t="s">
        <v>1823</v>
      </c>
      <c r="E545" s="1772" t="s">
        <v>890</v>
      </c>
      <c r="F545" s="1772" t="s">
        <v>890</v>
      </c>
      <c r="G545" s="1772" t="s">
        <v>1240</v>
      </c>
      <c r="H545" s="1772" t="s">
        <v>1240</v>
      </c>
      <c r="I545" s="1772" t="s">
        <v>1240</v>
      </c>
      <c r="J545" s="1772" t="s">
        <v>2358</v>
      </c>
      <c r="K545" s="1773">
        <v>44774</v>
      </c>
      <c r="L545" s="1772">
        <v>0</v>
      </c>
      <c r="M545" s="1772">
        <v>0</v>
      </c>
      <c r="N545" s="1772">
        <v>23.007999999999999</v>
      </c>
      <c r="O545" s="1772">
        <v>23.007999999999999</v>
      </c>
      <c r="P545" s="1772">
        <v>23.007999999999999</v>
      </c>
      <c r="Q545" s="1772">
        <v>23.007999999999999</v>
      </c>
      <c r="R545" s="1772"/>
      <c r="S545" s="1772">
        <v>522.37</v>
      </c>
      <c r="T545" s="1772">
        <v>144.41999999999999</v>
      </c>
      <c r="U545" s="1772"/>
      <c r="V545" s="1772">
        <v>15341.50432</v>
      </c>
      <c r="W545" s="1772">
        <v>15341.50432</v>
      </c>
      <c r="X545" s="1772">
        <v>14995.233919999999</v>
      </c>
      <c r="Y545" s="1772">
        <v>0</v>
      </c>
      <c r="Z545" s="1772">
        <v>1412.7136428102331</v>
      </c>
      <c r="AA545" s="1772">
        <v>0</v>
      </c>
      <c r="AB545" s="1772">
        <v>0</v>
      </c>
      <c r="AC545" s="1772">
        <v>0</v>
      </c>
      <c r="AD545" s="1772">
        <v>2345.9797388229113</v>
      </c>
      <c r="AE545" s="1772">
        <v>7636.5212809872801</v>
      </c>
      <c r="AF545" s="1772">
        <v>3322.8573180902217</v>
      </c>
      <c r="AG545" s="1772">
        <v>0</v>
      </c>
      <c r="AH545" s="1772">
        <v>0</v>
      </c>
      <c r="AI545" s="1772">
        <v>0</v>
      </c>
      <c r="AJ545" s="1772">
        <v>0</v>
      </c>
      <c r="AK545" s="1772">
        <v>0</v>
      </c>
      <c r="AL545" s="1772">
        <v>218.17924206361957</v>
      </c>
      <c r="AM545" s="1772"/>
      <c r="AN545" s="1772">
        <v>33.473308216339944</v>
      </c>
      <c r="AO545" s="1772">
        <v>0</v>
      </c>
      <c r="AP545" s="1772">
        <v>0</v>
      </c>
      <c r="AQ545" s="1772">
        <v>0</v>
      </c>
      <c r="AR545" s="1772">
        <v>0</v>
      </c>
      <c r="AS545" s="1772">
        <v>0</v>
      </c>
      <c r="AT545" s="1772">
        <v>0</v>
      </c>
      <c r="AU545" s="1772">
        <v>0</v>
      </c>
      <c r="AV545" s="1772">
        <v>0</v>
      </c>
      <c r="AW545" s="1772">
        <v>0</v>
      </c>
      <c r="AX545" s="1772">
        <v>0</v>
      </c>
      <c r="AY545" s="1772">
        <v>0</v>
      </c>
      <c r="AZ545" s="1772">
        <v>0</v>
      </c>
      <c r="BA545" s="1772"/>
      <c r="BB545" s="1772">
        <v>0</v>
      </c>
      <c r="BC545" s="1772">
        <v>0</v>
      </c>
      <c r="BD545" s="1772">
        <v>0</v>
      </c>
      <c r="BE545" s="1772">
        <v>0</v>
      </c>
      <c r="BF545" s="1772">
        <v>0</v>
      </c>
      <c r="BG545" s="1772">
        <v>371.77072563964259</v>
      </c>
      <c r="BH545" s="1772">
        <v>0</v>
      </c>
      <c r="BI545" s="1772">
        <v>3.24</v>
      </c>
      <c r="BJ545" s="1772">
        <v>14.9</v>
      </c>
      <c r="BK545" s="1772">
        <v>5000.0600000000004</v>
      </c>
      <c r="BL545" s="1772">
        <v>128</v>
      </c>
      <c r="BM545" s="1772"/>
      <c r="BN545" s="1772"/>
      <c r="BO545" s="1772"/>
      <c r="BP545" s="1772"/>
      <c r="BQ545" s="1772"/>
      <c r="BR545" s="1772"/>
      <c r="BS545" s="1772"/>
      <c r="BT545" s="1772"/>
      <c r="BU545" s="1772"/>
      <c r="BV545" s="1772">
        <v>3694.6280437298642</v>
      </c>
      <c r="BW545" s="1772"/>
      <c r="BX545" s="1772"/>
      <c r="BY545" s="1772"/>
      <c r="BZ545" s="1772"/>
      <c r="CA545" s="1772"/>
      <c r="CB545" s="1772"/>
      <c r="CC545" s="1772"/>
      <c r="CD545" s="1772"/>
      <c r="CE545" s="1772"/>
      <c r="CF545" s="1772"/>
      <c r="CG545" s="1772"/>
      <c r="CH545" s="1772"/>
      <c r="CI545" s="1772">
        <v>14996.537400000001</v>
      </c>
      <c r="CJ545" s="1772">
        <v>-344.99691999999959</v>
      </c>
      <c r="CK545" s="1772"/>
      <c r="CL545" s="1772"/>
      <c r="CM545" s="1772"/>
      <c r="CN545" s="1772"/>
      <c r="CO545" s="1772">
        <v>-480.63711999999964</v>
      </c>
      <c r="CP545" s="1772">
        <v>134.36672000000007</v>
      </c>
      <c r="CQ545" s="1772">
        <v>31</v>
      </c>
      <c r="CR545" s="1772">
        <v>-2.2082792058236009</v>
      </c>
      <c r="CS545" s="1772">
        <v>0</v>
      </c>
      <c r="CT545" s="1772">
        <v>0</v>
      </c>
      <c r="CU545" s="1772">
        <v>0</v>
      </c>
      <c r="CV545" s="1772">
        <v>0</v>
      </c>
      <c r="CW545" s="1772">
        <v>0</v>
      </c>
      <c r="CX545" s="1772">
        <v>0</v>
      </c>
      <c r="CY545" s="1772">
        <v>0</v>
      </c>
      <c r="CZ545" s="1772">
        <v>98.182422938202762</v>
      </c>
      <c r="DA545" s="1772">
        <v>0</v>
      </c>
      <c r="DB545" s="1772">
        <v>0</v>
      </c>
      <c r="DC545" s="1772">
        <v>134.36194350100686</v>
      </c>
      <c r="DD545" s="1772">
        <v>0</v>
      </c>
      <c r="DE545" s="1772">
        <v>0</v>
      </c>
      <c r="DF545" s="1772">
        <v>0</v>
      </c>
      <c r="DG545" s="1772">
        <v>15.032796311105471</v>
      </c>
      <c r="DH545" s="1772">
        <v>0</v>
      </c>
      <c r="DI545" s="1772">
        <v>-217.03677220334839</v>
      </c>
      <c r="DJ545" s="1772"/>
      <c r="DK545" s="1772">
        <v>0</v>
      </c>
      <c r="DL545" s="1772">
        <v>0</v>
      </c>
      <c r="DM545" s="1772">
        <v>0</v>
      </c>
      <c r="DN545" s="1772">
        <v>0</v>
      </c>
      <c r="DO545" s="1772">
        <v>-28.709019496625558</v>
      </c>
      <c r="DP545" s="1772">
        <v>-4.0396502561650358</v>
      </c>
      <c r="DQ545" s="1772">
        <v>0</v>
      </c>
      <c r="DR545" s="1772">
        <v>0</v>
      </c>
      <c r="DS545" s="1772"/>
      <c r="DT545" s="1772"/>
      <c r="DU545" s="1772"/>
      <c r="DV545" s="1772">
        <v>7636.5212809872801</v>
      </c>
      <c r="DW545" s="1772">
        <v>0</v>
      </c>
      <c r="DX545" s="1772">
        <v>0</v>
      </c>
      <c r="DY545" s="1772">
        <v>-480.63711999999941</v>
      </c>
      <c r="DZ545" s="1772">
        <v>134.36671999999999</v>
      </c>
      <c r="EA545" s="1772">
        <v>0</v>
      </c>
      <c r="EB545" s="1772">
        <v>0</v>
      </c>
      <c r="EC545" s="1772">
        <v>-343.92776922155554</v>
      </c>
      <c r="ED545" s="1772">
        <v>0</v>
      </c>
      <c r="EE545" s="1772">
        <v>0</v>
      </c>
      <c r="EF545" s="1772">
        <v>0</v>
      </c>
      <c r="EG545" s="1772">
        <v>0</v>
      </c>
      <c r="EH545" s="1772">
        <v>0</v>
      </c>
      <c r="EI545" s="1772">
        <v>0</v>
      </c>
      <c r="EJ545" s="1772">
        <v>0</v>
      </c>
      <c r="EK545" s="1772">
        <v>0</v>
      </c>
      <c r="EL545" s="1772">
        <v>0</v>
      </c>
      <c r="EM545" s="1772">
        <v>0</v>
      </c>
      <c r="EN545" s="1772">
        <v>0</v>
      </c>
      <c r="EO545" s="1772">
        <v>0</v>
      </c>
      <c r="EP545" s="1772">
        <v>0</v>
      </c>
      <c r="EQ545" s="1772">
        <v>0</v>
      </c>
      <c r="ER545" s="1772">
        <v>0</v>
      </c>
      <c r="ES545" s="1772">
        <v>0</v>
      </c>
      <c r="ET545" s="1772">
        <v>0</v>
      </c>
      <c r="EU545" s="1772">
        <v>0</v>
      </c>
      <c r="EV545" s="1772">
        <v>225</v>
      </c>
      <c r="EW545" s="1772">
        <v>0</v>
      </c>
      <c r="EX545" s="1772">
        <v>0</v>
      </c>
      <c r="EY545" s="1772">
        <v>0</v>
      </c>
      <c r="EZ545" s="1772"/>
      <c r="FA545" s="1772">
        <v>0</v>
      </c>
      <c r="FB545" s="1772"/>
      <c r="FC545" s="1772"/>
      <c r="FD545" s="1772"/>
      <c r="FE545" s="1772"/>
      <c r="FF545" s="1772">
        <v>0</v>
      </c>
      <c r="FG545" s="1772">
        <v>0</v>
      </c>
      <c r="FH545" s="1772">
        <v>0</v>
      </c>
      <c r="FI545" s="1772">
        <v>0</v>
      </c>
    </row>
    <row r="546" spans="1:165">
      <c r="A546" s="1772">
        <v>544</v>
      </c>
      <c r="B546" s="1772" t="s">
        <v>2379</v>
      </c>
      <c r="C546" s="1772" t="s">
        <v>2357</v>
      </c>
      <c r="D546" s="1772" t="s">
        <v>1823</v>
      </c>
      <c r="E546" s="1772" t="s">
        <v>890</v>
      </c>
      <c r="F546" s="1772" t="s">
        <v>2361</v>
      </c>
      <c r="G546" s="1772" t="s">
        <v>1240</v>
      </c>
      <c r="H546" s="1772" t="s">
        <v>1240</v>
      </c>
      <c r="I546" s="1772" t="s">
        <v>1240</v>
      </c>
      <c r="J546" s="1772" t="s">
        <v>2358</v>
      </c>
      <c r="K546" s="1773">
        <v>44774</v>
      </c>
      <c r="L546" s="1772">
        <v>0</v>
      </c>
      <c r="M546" s="1772">
        <v>0</v>
      </c>
      <c r="N546" s="1772">
        <v>15.99</v>
      </c>
      <c r="O546" s="1772">
        <v>15.99</v>
      </c>
      <c r="P546" s="1772">
        <v>15.99</v>
      </c>
      <c r="Q546" s="1772">
        <v>15.99</v>
      </c>
      <c r="R546" s="1772"/>
      <c r="S546" s="1772">
        <v>451.48</v>
      </c>
      <c r="T546" s="1772">
        <v>144.41999999999999</v>
      </c>
      <c r="U546" s="1772"/>
      <c r="V546" s="1772">
        <v>9528.4410000000007</v>
      </c>
      <c r="W546" s="1772">
        <v>9528.4410000000007</v>
      </c>
      <c r="X546" s="1772">
        <v>9458.7245999999996</v>
      </c>
      <c r="Y546" s="1772">
        <v>0</v>
      </c>
      <c r="Z546" s="1772">
        <v>0</v>
      </c>
      <c r="AA546" s="1772">
        <v>0</v>
      </c>
      <c r="AB546" s="1772">
        <v>0</v>
      </c>
      <c r="AC546" s="1772">
        <v>0</v>
      </c>
      <c r="AD546" s="1772">
        <v>1630.3988188359854</v>
      </c>
      <c r="AE546" s="1772">
        <v>5307.1964222438546</v>
      </c>
      <c r="AF546" s="1772">
        <v>2309.3049598514708</v>
      </c>
      <c r="AG546" s="1772">
        <v>0</v>
      </c>
      <c r="AH546" s="1772">
        <v>0</v>
      </c>
      <c r="AI546" s="1772">
        <v>0</v>
      </c>
      <c r="AJ546" s="1772">
        <v>0</v>
      </c>
      <c r="AK546" s="1772">
        <v>0</v>
      </c>
      <c r="AL546" s="1772">
        <v>0</v>
      </c>
      <c r="AM546" s="1772"/>
      <c r="AN546" s="1772">
        <v>23.263134491449744</v>
      </c>
      <c r="AO546" s="1772">
        <v>0</v>
      </c>
      <c r="AP546" s="1772">
        <v>0</v>
      </c>
      <c r="AQ546" s="1772">
        <v>0</v>
      </c>
      <c r="AR546" s="1772">
        <v>0</v>
      </c>
      <c r="AS546" s="1772">
        <v>0</v>
      </c>
      <c r="AT546" s="1772">
        <v>0</v>
      </c>
      <c r="AU546" s="1772">
        <v>0</v>
      </c>
      <c r="AV546" s="1772">
        <v>0</v>
      </c>
      <c r="AW546" s="1772">
        <v>0</v>
      </c>
      <c r="AX546" s="1772">
        <v>0</v>
      </c>
      <c r="AY546" s="1772">
        <v>0</v>
      </c>
      <c r="AZ546" s="1772">
        <v>0</v>
      </c>
      <c r="BA546" s="1772"/>
      <c r="BB546" s="1772">
        <v>0</v>
      </c>
      <c r="BC546" s="1772">
        <v>0</v>
      </c>
      <c r="BD546" s="1772">
        <v>0</v>
      </c>
      <c r="BE546" s="1772">
        <v>0</v>
      </c>
      <c r="BF546" s="1772">
        <v>0</v>
      </c>
      <c r="BG546" s="1772">
        <v>258.37160565794005</v>
      </c>
      <c r="BH546" s="1772">
        <v>0</v>
      </c>
      <c r="BI546" s="1772">
        <v>0.96</v>
      </c>
      <c r="BJ546" s="1772">
        <v>4.08</v>
      </c>
      <c r="BK546" s="1772">
        <v>400.47</v>
      </c>
      <c r="BL546" s="1772">
        <v>10</v>
      </c>
      <c r="BM546" s="1772"/>
      <c r="BN546" s="1772"/>
      <c r="BO546" s="1772"/>
      <c r="BP546" s="1772"/>
      <c r="BQ546" s="1772"/>
      <c r="BR546" s="1772"/>
      <c r="BS546" s="1772"/>
      <c r="BT546" s="1772">
        <v>6148.1549999999997</v>
      </c>
      <c r="BU546" s="1772"/>
      <c r="BV546" s="1772">
        <v>2567.6765655094109</v>
      </c>
      <c r="BW546" s="1772"/>
      <c r="BX546" s="1772"/>
      <c r="BY546" s="1772"/>
      <c r="BZ546" s="1772"/>
      <c r="CA546" s="1772"/>
      <c r="CB546" s="1772"/>
      <c r="CC546" s="1772"/>
      <c r="CD546" s="1772"/>
      <c r="CE546" s="1772"/>
      <c r="CF546" s="1772"/>
      <c r="CG546" s="1772"/>
      <c r="CH546" s="1772"/>
      <c r="CI546" s="1772">
        <v>3310.5695999999998</v>
      </c>
      <c r="CJ546" s="1772">
        <v>-24.494700000001103</v>
      </c>
      <c r="CK546" s="1772"/>
      <c r="CL546" s="1772"/>
      <c r="CM546" s="1772"/>
      <c r="CN546" s="1772"/>
      <c r="CO546" s="1772">
        <v>-163.09800000000072</v>
      </c>
      <c r="CP546" s="1772">
        <v>93.381600000000063</v>
      </c>
      <c r="CQ546" s="1772">
        <v>31</v>
      </c>
      <c r="CR546" s="1772">
        <v>169.25264363619044</v>
      </c>
      <c r="CS546" s="1772">
        <v>0</v>
      </c>
      <c r="CT546" s="1772">
        <v>0</v>
      </c>
      <c r="CU546" s="1772">
        <v>0</v>
      </c>
      <c r="CV546" s="1772">
        <v>0</v>
      </c>
      <c r="CW546" s="1772">
        <v>0</v>
      </c>
      <c r="CX546" s="1772">
        <v>0</v>
      </c>
      <c r="CY546" s="1772">
        <v>0</v>
      </c>
      <c r="CZ546" s="1772">
        <v>68.234394244691657</v>
      </c>
      <c r="DA546" s="1772">
        <v>0</v>
      </c>
      <c r="DB546" s="1772">
        <v>0</v>
      </c>
      <c r="DC546" s="1772">
        <v>93.378280449457179</v>
      </c>
      <c r="DD546" s="1772">
        <v>0</v>
      </c>
      <c r="DE546" s="1772">
        <v>0</v>
      </c>
      <c r="DF546" s="1772">
        <v>0</v>
      </c>
      <c r="DG546" s="1772">
        <v>10.447427547573795</v>
      </c>
      <c r="DH546" s="1772">
        <v>0</v>
      </c>
      <c r="DI546" s="1772">
        <v>0</v>
      </c>
      <c r="DJ546" s="1772"/>
      <c r="DK546" s="1772">
        <v>0</v>
      </c>
      <c r="DL546" s="1772">
        <v>0</v>
      </c>
      <c r="DM546" s="1772">
        <v>0</v>
      </c>
      <c r="DN546" s="1772">
        <v>0</v>
      </c>
      <c r="DO546" s="1772">
        <v>0</v>
      </c>
      <c r="DP546" s="1772">
        <v>-2.8074586055319415</v>
      </c>
      <c r="DQ546" s="1772">
        <v>0</v>
      </c>
      <c r="DR546" s="1772">
        <v>0</v>
      </c>
      <c r="DS546" s="1772"/>
      <c r="DT546" s="1772"/>
      <c r="DU546" s="1772"/>
      <c r="DV546" s="1772">
        <v>5307.1964222438546</v>
      </c>
      <c r="DW546" s="1772">
        <v>0</v>
      </c>
      <c r="DX546" s="1772">
        <v>0</v>
      </c>
      <c r="DY546" s="1772">
        <v>-163.09800000000087</v>
      </c>
      <c r="DZ546" s="1772">
        <v>93.381600000000162</v>
      </c>
      <c r="EA546" s="1772">
        <v>0</v>
      </c>
      <c r="EB546" s="1772">
        <v>0</v>
      </c>
      <c r="EC546" s="1772">
        <v>-239.02142862711571</v>
      </c>
      <c r="ED546" s="1772">
        <v>0</v>
      </c>
      <c r="EE546" s="1772">
        <v>0</v>
      </c>
      <c r="EF546" s="1772">
        <v>0</v>
      </c>
      <c r="EG546" s="1772">
        <v>0</v>
      </c>
      <c r="EH546" s="1772">
        <v>0</v>
      </c>
      <c r="EI546" s="1772">
        <v>0</v>
      </c>
      <c r="EJ546" s="1772">
        <v>0</v>
      </c>
      <c r="EK546" s="1772">
        <v>0</v>
      </c>
      <c r="EL546" s="1772">
        <v>0</v>
      </c>
      <c r="EM546" s="1772">
        <v>0</v>
      </c>
      <c r="EN546" s="1772">
        <v>0</v>
      </c>
      <c r="EO546" s="1772">
        <v>0</v>
      </c>
      <c r="EP546" s="1772">
        <v>0</v>
      </c>
      <c r="EQ546" s="1772">
        <v>0</v>
      </c>
      <c r="ER546" s="1772">
        <v>0</v>
      </c>
      <c r="ES546" s="1772">
        <v>0</v>
      </c>
      <c r="ET546" s="1772">
        <v>0</v>
      </c>
      <c r="EU546" s="1772">
        <v>0</v>
      </c>
      <c r="EV546" s="1772">
        <v>225</v>
      </c>
      <c r="EW546" s="1772">
        <v>0</v>
      </c>
      <c r="EX546" s="1772">
        <v>0</v>
      </c>
      <c r="EY546" s="1772">
        <v>0</v>
      </c>
      <c r="EZ546" s="1772"/>
      <c r="FA546" s="1772">
        <v>0</v>
      </c>
      <c r="FB546" s="1772"/>
      <c r="FC546" s="1772"/>
      <c r="FD546" s="1772"/>
      <c r="FE546" s="1772"/>
      <c r="FF546" s="1772">
        <v>0</v>
      </c>
      <c r="FG546" s="1772">
        <v>0</v>
      </c>
      <c r="FH546" s="1772">
        <v>0</v>
      </c>
      <c r="FI546" s="1772">
        <v>0</v>
      </c>
    </row>
    <row r="547" spans="1:165">
      <c r="A547" s="1772">
        <v>545</v>
      </c>
      <c r="B547" s="1772" t="s">
        <v>2379</v>
      </c>
      <c r="C547" s="1772" t="s">
        <v>2357</v>
      </c>
      <c r="D547" s="1772" t="s">
        <v>1823</v>
      </c>
      <c r="E547" s="1772" t="s">
        <v>890</v>
      </c>
      <c r="F547" s="1772" t="s">
        <v>2361</v>
      </c>
      <c r="G547" s="1772" t="s">
        <v>1240</v>
      </c>
      <c r="H547" s="1772" t="s">
        <v>1240</v>
      </c>
      <c r="I547" s="1772" t="s">
        <v>1240</v>
      </c>
      <c r="J547" s="1772" t="s">
        <v>2358</v>
      </c>
      <c r="K547" s="1773">
        <v>44774</v>
      </c>
      <c r="L547" s="1772">
        <v>0</v>
      </c>
      <c r="M547" s="1772">
        <v>0</v>
      </c>
      <c r="N547" s="1772">
        <v>0.06</v>
      </c>
      <c r="O547" s="1772">
        <v>0.06</v>
      </c>
      <c r="P547" s="1772">
        <v>0.06</v>
      </c>
      <c r="Q547" s="1772">
        <v>0.06</v>
      </c>
      <c r="R547" s="1772"/>
      <c r="S547" s="1772">
        <v>451.48</v>
      </c>
      <c r="T547" s="1772">
        <v>144.41999999999999</v>
      </c>
      <c r="U547" s="1772"/>
      <c r="V547" s="1772">
        <v>35.753999999999998</v>
      </c>
      <c r="W547" s="1772">
        <v>35.753999999999998</v>
      </c>
      <c r="X547" s="1772">
        <v>35.492399999999996</v>
      </c>
      <c r="Y547" s="1772">
        <v>0</v>
      </c>
      <c r="Z547" s="1772">
        <v>0</v>
      </c>
      <c r="AA547" s="1772">
        <v>0</v>
      </c>
      <c r="AB547" s="1772">
        <v>0</v>
      </c>
      <c r="AC547" s="1772">
        <v>0</v>
      </c>
      <c r="AD547" s="1772">
        <v>6.1178192076397195</v>
      </c>
      <c r="AE547" s="1772">
        <v>19.914433104104518</v>
      </c>
      <c r="AF547" s="1772">
        <v>8.6653094178291585</v>
      </c>
      <c r="AG547" s="1772">
        <v>0</v>
      </c>
      <c r="AH547" s="1772">
        <v>0</v>
      </c>
      <c r="AI547" s="1772">
        <v>0</v>
      </c>
      <c r="AJ547" s="1772">
        <v>0</v>
      </c>
      <c r="AK547" s="1772">
        <v>0</v>
      </c>
      <c r="AL547" s="1772">
        <v>0</v>
      </c>
      <c r="AM547" s="1772"/>
      <c r="AN547" s="1772">
        <v>8.7291311412569392E-2</v>
      </c>
      <c r="AO547" s="1772">
        <v>0</v>
      </c>
      <c r="AP547" s="1772">
        <v>0</v>
      </c>
      <c r="AQ547" s="1772">
        <v>0</v>
      </c>
      <c r="AR547" s="1772">
        <v>0</v>
      </c>
      <c r="AS547" s="1772">
        <v>0</v>
      </c>
      <c r="AT547" s="1772">
        <v>0</v>
      </c>
      <c r="AU547" s="1772">
        <v>0</v>
      </c>
      <c r="AV547" s="1772">
        <v>0</v>
      </c>
      <c r="AW547" s="1772">
        <v>0</v>
      </c>
      <c r="AX547" s="1772">
        <v>0</v>
      </c>
      <c r="AY547" s="1772">
        <v>0</v>
      </c>
      <c r="AZ547" s="1772">
        <v>0</v>
      </c>
      <c r="BA547" s="1772"/>
      <c r="BB547" s="1772">
        <v>0</v>
      </c>
      <c r="BC547" s="1772">
        <v>0</v>
      </c>
      <c r="BD547" s="1772">
        <v>0</v>
      </c>
      <c r="BE547" s="1772">
        <v>0</v>
      </c>
      <c r="BF547" s="1772">
        <v>0</v>
      </c>
      <c r="BG547" s="1772">
        <v>0.96949945837876195</v>
      </c>
      <c r="BH547" s="1772">
        <v>0</v>
      </c>
      <c r="BI547" s="1772">
        <v>0</v>
      </c>
      <c r="BJ547" s="1772">
        <v>0</v>
      </c>
      <c r="BK547" s="1772">
        <v>1.5</v>
      </c>
      <c r="BL547" s="1772">
        <v>0</v>
      </c>
      <c r="BM547" s="1772"/>
      <c r="BN547" s="1772"/>
      <c r="BO547" s="1772"/>
      <c r="BP547" s="1772"/>
      <c r="BQ547" s="1772"/>
      <c r="BR547" s="1772"/>
      <c r="BS547" s="1772"/>
      <c r="BT547" s="1772">
        <v>23.069999999999997</v>
      </c>
      <c r="BU547" s="1772"/>
      <c r="BV547" s="1772">
        <v>9.63480887620792</v>
      </c>
      <c r="BW547" s="1772"/>
      <c r="BX547" s="1772"/>
      <c r="BY547" s="1772"/>
      <c r="BZ547" s="1772"/>
      <c r="CA547" s="1772"/>
      <c r="CB547" s="1772"/>
      <c r="CC547" s="1772"/>
      <c r="CD547" s="1772"/>
      <c r="CE547" s="1772"/>
      <c r="CF547" s="1772"/>
      <c r="CG547" s="1772"/>
      <c r="CH547" s="1772"/>
      <c r="CI547" s="1772">
        <v>12.4224</v>
      </c>
      <c r="CJ547" s="1772">
        <v>-0.12179999999999858</v>
      </c>
      <c r="CK547" s="1772"/>
      <c r="CL547" s="1772"/>
      <c r="CM547" s="1772"/>
      <c r="CN547" s="1772"/>
      <c r="CO547" s="1772">
        <v>-0.61200000000000265</v>
      </c>
      <c r="CP547" s="1772">
        <v>0.35040000000000021</v>
      </c>
      <c r="CQ547" s="1772">
        <v>31</v>
      </c>
      <c r="CR547" s="1772">
        <v>0.63509434760296379</v>
      </c>
      <c r="CS547" s="1772">
        <v>0</v>
      </c>
      <c r="CT547" s="1772">
        <v>0</v>
      </c>
      <c r="CU547" s="1772">
        <v>0</v>
      </c>
      <c r="CV547" s="1772">
        <v>0</v>
      </c>
      <c r="CW547" s="1772">
        <v>0</v>
      </c>
      <c r="CX547" s="1772">
        <v>0</v>
      </c>
      <c r="CY547" s="1772">
        <v>0</v>
      </c>
      <c r="CZ547" s="1772">
        <v>0.25603900279434022</v>
      </c>
      <c r="DA547" s="1772">
        <v>0</v>
      </c>
      <c r="DB547" s="1772">
        <v>0</v>
      </c>
      <c r="DC547" s="1772">
        <v>0.35038754390040161</v>
      </c>
      <c r="DD547" s="1772">
        <v>0</v>
      </c>
      <c r="DE547" s="1772">
        <v>0</v>
      </c>
      <c r="DF547" s="1772">
        <v>0</v>
      </c>
      <c r="DG547" s="1772">
        <v>3.9202354775136117E-2</v>
      </c>
      <c r="DH547" s="1772">
        <v>0</v>
      </c>
      <c r="DI547" s="1772">
        <v>0</v>
      </c>
      <c r="DJ547" s="1772"/>
      <c r="DK547" s="1772">
        <v>0</v>
      </c>
      <c r="DL547" s="1772">
        <v>0</v>
      </c>
      <c r="DM547" s="1772">
        <v>0</v>
      </c>
      <c r="DN547" s="1772">
        <v>0</v>
      </c>
      <c r="DO547" s="1772">
        <v>0</v>
      </c>
      <c r="DP547" s="1772">
        <v>-1.05345538669116E-2</v>
      </c>
      <c r="DQ547" s="1772">
        <v>0</v>
      </c>
      <c r="DR547" s="1772">
        <v>0</v>
      </c>
      <c r="DS547" s="1772"/>
      <c r="DT547" s="1772"/>
      <c r="DU547" s="1772"/>
      <c r="DV547" s="1772">
        <v>19.914433104104518</v>
      </c>
      <c r="DW547" s="1772">
        <v>0</v>
      </c>
      <c r="DX547" s="1772">
        <v>0</v>
      </c>
      <c r="DY547" s="1772">
        <v>-0.61200000000000188</v>
      </c>
      <c r="DZ547" s="1772">
        <v>0.35040000000000049</v>
      </c>
      <c r="EA547" s="1772">
        <v>0</v>
      </c>
      <c r="EB547" s="1772">
        <v>0</v>
      </c>
      <c r="EC547" s="1772">
        <v>-0.89689091417303857</v>
      </c>
      <c r="ED547" s="1772">
        <v>0</v>
      </c>
      <c r="EE547" s="1772">
        <v>0</v>
      </c>
      <c r="EF547" s="1772">
        <v>0</v>
      </c>
      <c r="EG547" s="1772">
        <v>0</v>
      </c>
      <c r="EH547" s="1772">
        <v>0</v>
      </c>
      <c r="EI547" s="1772">
        <v>0</v>
      </c>
      <c r="EJ547" s="1772">
        <v>0</v>
      </c>
      <c r="EK547" s="1772">
        <v>0</v>
      </c>
      <c r="EL547" s="1772">
        <v>0</v>
      </c>
      <c r="EM547" s="1772">
        <v>0</v>
      </c>
      <c r="EN547" s="1772">
        <v>0</v>
      </c>
      <c r="EO547" s="1772">
        <v>0</v>
      </c>
      <c r="EP547" s="1772">
        <v>0</v>
      </c>
      <c r="EQ547" s="1772">
        <v>0</v>
      </c>
      <c r="ER547" s="1772">
        <v>0</v>
      </c>
      <c r="ES547" s="1772">
        <v>0</v>
      </c>
      <c r="ET547" s="1772">
        <v>0</v>
      </c>
      <c r="EU547" s="1772">
        <v>0</v>
      </c>
      <c r="EV547" s="1772">
        <v>225</v>
      </c>
      <c r="EW547" s="1772">
        <v>0</v>
      </c>
      <c r="EX547" s="1772">
        <v>0</v>
      </c>
      <c r="EY547" s="1772">
        <v>0</v>
      </c>
      <c r="EZ547" s="1772"/>
      <c r="FA547" s="1772">
        <v>0</v>
      </c>
      <c r="FB547" s="1772"/>
      <c r="FC547" s="1772"/>
      <c r="FD547" s="1772"/>
      <c r="FE547" s="1772"/>
      <c r="FF547" s="1772">
        <v>0</v>
      </c>
      <c r="FG547" s="1772">
        <v>0</v>
      </c>
      <c r="FH547" s="1772">
        <v>0</v>
      </c>
      <c r="FI547" s="1772">
        <v>0</v>
      </c>
    </row>
    <row r="548" spans="1:165">
      <c r="A548" s="1772">
        <v>546</v>
      </c>
      <c r="B548" s="1772" t="s">
        <v>2379</v>
      </c>
      <c r="C548" s="1772" t="s">
        <v>2357</v>
      </c>
      <c r="D548" s="1772" t="s">
        <v>1823</v>
      </c>
      <c r="E548" s="1772" t="s">
        <v>890</v>
      </c>
      <c r="F548" s="1772" t="s">
        <v>2362</v>
      </c>
      <c r="G548" s="1772" t="s">
        <v>1240</v>
      </c>
      <c r="H548" s="1772" t="s">
        <v>1240</v>
      </c>
      <c r="I548" s="1772" t="s">
        <v>1240</v>
      </c>
      <c r="J548" s="1772" t="s">
        <v>2358</v>
      </c>
      <c r="K548" s="1773">
        <v>44774</v>
      </c>
      <c r="L548" s="1772">
        <v>0</v>
      </c>
      <c r="M548" s="1772">
        <v>0</v>
      </c>
      <c r="N548" s="1772">
        <v>34.805</v>
      </c>
      <c r="O548" s="1772">
        <v>34.805</v>
      </c>
      <c r="P548" s="1772">
        <v>34.805</v>
      </c>
      <c r="Q548" s="1772">
        <v>34.805</v>
      </c>
      <c r="R548" s="1772"/>
      <c r="S548" s="1772">
        <v>451.48</v>
      </c>
      <c r="T548" s="1772">
        <v>144.41999999999999</v>
      </c>
      <c r="U548" s="1772"/>
      <c r="V548" s="1772">
        <v>20740.299500000001</v>
      </c>
      <c r="W548" s="1772">
        <v>20740.299500000001</v>
      </c>
      <c r="X548" s="1772">
        <v>20588.5497</v>
      </c>
      <c r="Y548" s="1772">
        <v>0</v>
      </c>
      <c r="Z548" s="1772">
        <v>0</v>
      </c>
      <c r="AA548" s="1772">
        <v>0</v>
      </c>
      <c r="AB548" s="1772">
        <v>0</v>
      </c>
      <c r="AC548" s="1772">
        <v>0</v>
      </c>
      <c r="AD548" s="1772">
        <v>3548.8449586983411</v>
      </c>
      <c r="AE548" s="1772">
        <v>11552.03073647263</v>
      </c>
      <c r="AF548" s="1772">
        <v>5026.6015714590649</v>
      </c>
      <c r="AG548" s="1772">
        <v>0</v>
      </c>
      <c r="AH548" s="1772">
        <v>0</v>
      </c>
      <c r="AI548" s="1772">
        <v>0</v>
      </c>
      <c r="AJ548" s="1772">
        <v>0</v>
      </c>
      <c r="AK548" s="1772">
        <v>0</v>
      </c>
      <c r="AL548" s="1772">
        <v>0</v>
      </c>
      <c r="AM548" s="1772"/>
      <c r="AN548" s="1772">
        <v>50.636234895241294</v>
      </c>
      <c r="AO548" s="1772">
        <v>0</v>
      </c>
      <c r="AP548" s="1772">
        <v>0</v>
      </c>
      <c r="AQ548" s="1772">
        <v>0</v>
      </c>
      <c r="AR548" s="1772">
        <v>0</v>
      </c>
      <c r="AS548" s="1772">
        <v>0</v>
      </c>
      <c r="AT548" s="1772">
        <v>0</v>
      </c>
      <c r="AU548" s="1772">
        <v>0</v>
      </c>
      <c r="AV548" s="1772">
        <v>0</v>
      </c>
      <c r="AW548" s="1772">
        <v>0</v>
      </c>
      <c r="AX548" s="1772">
        <v>0</v>
      </c>
      <c r="AY548" s="1772">
        <v>0</v>
      </c>
      <c r="AZ548" s="1772">
        <v>0</v>
      </c>
      <c r="BA548" s="1772"/>
      <c r="BB548" s="1772">
        <v>0</v>
      </c>
      <c r="BC548" s="1772">
        <v>0</v>
      </c>
      <c r="BD548" s="1772">
        <v>0</v>
      </c>
      <c r="BE548" s="1772">
        <v>0</v>
      </c>
      <c r="BF548" s="1772">
        <v>0</v>
      </c>
      <c r="BG548" s="1772">
        <v>562.39047748121357</v>
      </c>
      <c r="BH548" s="1772">
        <v>0</v>
      </c>
      <c r="BI548" s="1772">
        <v>3.2</v>
      </c>
      <c r="BJ548" s="1772">
        <v>14.8</v>
      </c>
      <c r="BK548" s="1772">
        <v>1499.3</v>
      </c>
      <c r="BL548" s="1772">
        <v>72</v>
      </c>
      <c r="BM548" s="1772"/>
      <c r="BN548" s="1772"/>
      <c r="BO548" s="1772"/>
      <c r="BP548" s="1772"/>
      <c r="BQ548" s="1772"/>
      <c r="BR548" s="1772"/>
      <c r="BS548" s="1772"/>
      <c r="BT548" s="1772">
        <v>8235.2110499999999</v>
      </c>
      <c r="BU548" s="1772"/>
      <c r="BV548" s="1772">
        <v>5588.9920489402784</v>
      </c>
      <c r="BW548" s="1772"/>
      <c r="BX548" s="1772"/>
      <c r="BY548" s="1772"/>
      <c r="BZ548" s="1772"/>
      <c r="CA548" s="1772"/>
      <c r="CB548" s="1772"/>
      <c r="CC548" s="1772"/>
      <c r="CD548" s="1772"/>
      <c r="CE548" s="1772"/>
      <c r="CF548" s="1772"/>
      <c r="CG548" s="1772"/>
      <c r="CH548" s="1772"/>
      <c r="CI548" s="1772">
        <v>12355.113300000001</v>
      </c>
      <c r="CJ548" s="1772">
        <v>-89.096399999998539</v>
      </c>
      <c r="CK548" s="1772"/>
      <c r="CL548" s="1772"/>
      <c r="CM548" s="1772"/>
      <c r="CN548" s="1772"/>
      <c r="CO548" s="1772">
        <v>-355.01100000000156</v>
      </c>
      <c r="CP548" s="1772">
        <v>203.26120000000012</v>
      </c>
      <c r="CQ548" s="1772">
        <v>31</v>
      </c>
      <c r="CR548" s="1772">
        <v>368.40764613868669</v>
      </c>
      <c r="CS548" s="1772">
        <v>0</v>
      </c>
      <c r="CT548" s="1772">
        <v>0</v>
      </c>
      <c r="CU548" s="1772">
        <v>0</v>
      </c>
      <c r="CV548" s="1772">
        <v>0</v>
      </c>
      <c r="CW548" s="1772">
        <v>0</v>
      </c>
      <c r="CX548" s="1772">
        <v>0</v>
      </c>
      <c r="CY548" s="1772">
        <v>0</v>
      </c>
      <c r="CZ548" s="1772">
        <v>148.52395820428319</v>
      </c>
      <c r="DA548" s="1772">
        <v>0</v>
      </c>
      <c r="DB548" s="1772">
        <v>0</v>
      </c>
      <c r="DC548" s="1772">
        <v>203.253974424224</v>
      </c>
      <c r="DD548" s="1772">
        <v>0</v>
      </c>
      <c r="DE548" s="1772">
        <v>0</v>
      </c>
      <c r="DF548" s="1772">
        <v>0</v>
      </c>
      <c r="DG548" s="1772">
        <v>22.740632632476718</v>
      </c>
      <c r="DH548" s="1772">
        <v>0</v>
      </c>
      <c r="DI548" s="1772">
        <v>0</v>
      </c>
      <c r="DJ548" s="1772"/>
      <c r="DK548" s="1772">
        <v>0</v>
      </c>
      <c r="DL548" s="1772">
        <v>0</v>
      </c>
      <c r="DM548" s="1772">
        <v>0</v>
      </c>
      <c r="DN548" s="1772">
        <v>0</v>
      </c>
      <c r="DO548" s="1772">
        <v>0</v>
      </c>
      <c r="DP548" s="1772">
        <v>-6.1109191222976378</v>
      </c>
      <c r="DQ548" s="1772">
        <v>0</v>
      </c>
      <c r="DR548" s="1772">
        <v>0</v>
      </c>
      <c r="DS548" s="1772"/>
      <c r="DT548" s="1772"/>
      <c r="DU548" s="1772"/>
      <c r="DV548" s="1772">
        <v>11552.03073647263</v>
      </c>
      <c r="DW548" s="1772">
        <v>0</v>
      </c>
      <c r="DX548" s="1772">
        <v>0</v>
      </c>
      <c r="DY548" s="1772">
        <v>-355.01100000000224</v>
      </c>
      <c r="DZ548" s="1772">
        <v>203.26119999999992</v>
      </c>
      <c r="EA548" s="1772">
        <v>0</v>
      </c>
      <c r="EB548" s="1772">
        <v>0</v>
      </c>
      <c r="EC548" s="1772">
        <v>-520.27147112987768</v>
      </c>
      <c r="ED548" s="1772">
        <v>0</v>
      </c>
      <c r="EE548" s="1772">
        <v>0</v>
      </c>
      <c r="EF548" s="1772">
        <v>0</v>
      </c>
      <c r="EG548" s="1772">
        <v>0</v>
      </c>
      <c r="EH548" s="1772">
        <v>0</v>
      </c>
      <c r="EI548" s="1772">
        <v>0</v>
      </c>
      <c r="EJ548" s="1772">
        <v>0</v>
      </c>
      <c r="EK548" s="1772">
        <v>0</v>
      </c>
      <c r="EL548" s="1772">
        <v>0</v>
      </c>
      <c r="EM548" s="1772">
        <v>0</v>
      </c>
      <c r="EN548" s="1772">
        <v>0</v>
      </c>
      <c r="EO548" s="1772">
        <v>0</v>
      </c>
      <c r="EP548" s="1772">
        <v>0</v>
      </c>
      <c r="EQ548" s="1772">
        <v>0</v>
      </c>
      <c r="ER548" s="1772">
        <v>0</v>
      </c>
      <c r="ES548" s="1772">
        <v>0</v>
      </c>
      <c r="ET548" s="1772">
        <v>0</v>
      </c>
      <c r="EU548" s="1772">
        <v>0</v>
      </c>
      <c r="EV548" s="1772">
        <v>225</v>
      </c>
      <c r="EW548" s="1772">
        <v>0</v>
      </c>
      <c r="EX548" s="1772">
        <v>0</v>
      </c>
      <c r="EY548" s="1772">
        <v>0</v>
      </c>
      <c r="EZ548" s="1772"/>
      <c r="FA548" s="1772">
        <v>0</v>
      </c>
      <c r="FB548" s="1772"/>
      <c r="FC548" s="1772"/>
      <c r="FD548" s="1772"/>
      <c r="FE548" s="1772"/>
      <c r="FF548" s="1772">
        <v>0</v>
      </c>
      <c r="FG548" s="1772">
        <v>0</v>
      </c>
      <c r="FH548" s="1772">
        <v>0</v>
      </c>
      <c r="FI548" s="1772">
        <v>0</v>
      </c>
    </row>
    <row r="549" spans="1:165">
      <c r="A549" s="1772">
        <v>547</v>
      </c>
      <c r="B549" s="1772" t="s">
        <v>2379</v>
      </c>
      <c r="C549" s="1772" t="s">
        <v>2357</v>
      </c>
      <c r="D549" s="1772" t="s">
        <v>1823</v>
      </c>
      <c r="E549" s="1772" t="s">
        <v>890</v>
      </c>
      <c r="F549" s="1772" t="s">
        <v>2362</v>
      </c>
      <c r="G549" s="1772" t="s">
        <v>1240</v>
      </c>
      <c r="H549" s="1772" t="s">
        <v>1240</v>
      </c>
      <c r="I549" s="1772" t="s">
        <v>1240</v>
      </c>
      <c r="J549" s="1772" t="s">
        <v>2358</v>
      </c>
      <c r="K549" s="1773">
        <v>44774</v>
      </c>
      <c r="L549" s="1772">
        <v>0</v>
      </c>
      <c r="M549" s="1772">
        <v>0</v>
      </c>
      <c r="N549" s="1772">
        <v>0.14000000000000001</v>
      </c>
      <c r="O549" s="1772">
        <v>0.14000000000000001</v>
      </c>
      <c r="P549" s="1772">
        <v>0.14000000000000001</v>
      </c>
      <c r="Q549" s="1772">
        <v>0.14000000000000001</v>
      </c>
      <c r="R549" s="1772"/>
      <c r="S549" s="1772">
        <v>451.48</v>
      </c>
      <c r="T549" s="1772">
        <v>144.41999999999999</v>
      </c>
      <c r="U549" s="1772"/>
      <c r="V549" s="1772">
        <v>83.426000000000016</v>
      </c>
      <c r="W549" s="1772">
        <v>83.426000000000016</v>
      </c>
      <c r="X549" s="1772">
        <v>82.815600000000003</v>
      </c>
      <c r="Y549" s="1772">
        <v>0</v>
      </c>
      <c r="Z549" s="1772">
        <v>0</v>
      </c>
      <c r="AA549" s="1772">
        <v>0</v>
      </c>
      <c r="AB549" s="1772">
        <v>0</v>
      </c>
      <c r="AC549" s="1772">
        <v>0</v>
      </c>
      <c r="AD549" s="1772">
        <v>14.274911484492682</v>
      </c>
      <c r="AE549" s="1772">
        <v>46.467010576243887</v>
      </c>
      <c r="AF549" s="1772">
        <v>20.21905530826804</v>
      </c>
      <c r="AG549" s="1772">
        <v>0</v>
      </c>
      <c r="AH549" s="1772">
        <v>0</v>
      </c>
      <c r="AI549" s="1772">
        <v>0</v>
      </c>
      <c r="AJ549" s="1772">
        <v>0</v>
      </c>
      <c r="AK549" s="1772">
        <v>0</v>
      </c>
      <c r="AL549" s="1772">
        <v>0</v>
      </c>
      <c r="AM549" s="1772"/>
      <c r="AN549" s="1772">
        <v>0.20367972662932862</v>
      </c>
      <c r="AO549" s="1772">
        <v>0</v>
      </c>
      <c r="AP549" s="1772">
        <v>0</v>
      </c>
      <c r="AQ549" s="1772">
        <v>0</v>
      </c>
      <c r="AR549" s="1772">
        <v>0</v>
      </c>
      <c r="AS549" s="1772">
        <v>0</v>
      </c>
      <c r="AT549" s="1772">
        <v>0</v>
      </c>
      <c r="AU549" s="1772">
        <v>0</v>
      </c>
      <c r="AV549" s="1772">
        <v>0</v>
      </c>
      <c r="AW549" s="1772">
        <v>0</v>
      </c>
      <c r="AX549" s="1772">
        <v>0</v>
      </c>
      <c r="AY549" s="1772">
        <v>0</v>
      </c>
      <c r="AZ549" s="1772">
        <v>0</v>
      </c>
      <c r="BA549" s="1772"/>
      <c r="BB549" s="1772">
        <v>0</v>
      </c>
      <c r="BC549" s="1772">
        <v>0</v>
      </c>
      <c r="BD549" s="1772">
        <v>0</v>
      </c>
      <c r="BE549" s="1772">
        <v>0</v>
      </c>
      <c r="BF549" s="1772">
        <v>0</v>
      </c>
      <c r="BG549" s="1772">
        <v>2.2621654028837783</v>
      </c>
      <c r="BH549" s="1772">
        <v>0</v>
      </c>
      <c r="BI549" s="1772">
        <v>0</v>
      </c>
      <c r="BJ549" s="1772">
        <v>0</v>
      </c>
      <c r="BK549" s="1772">
        <v>6.02</v>
      </c>
      <c r="BL549" s="1772">
        <v>0</v>
      </c>
      <c r="BM549" s="1772"/>
      <c r="BN549" s="1772"/>
      <c r="BO549" s="1772"/>
      <c r="BP549" s="1772"/>
      <c r="BQ549" s="1772"/>
      <c r="BR549" s="1772"/>
      <c r="BS549" s="1772"/>
      <c r="BT549" s="1772">
        <v>33.125399999999999</v>
      </c>
      <c r="BU549" s="1772"/>
      <c r="BV549" s="1772">
        <v>22.481220711151817</v>
      </c>
      <c r="BW549" s="1772"/>
      <c r="BX549" s="1772"/>
      <c r="BY549" s="1772"/>
      <c r="BZ549" s="1772"/>
      <c r="CA549" s="1772"/>
      <c r="CB549" s="1772"/>
      <c r="CC549" s="1772"/>
      <c r="CD549" s="1772"/>
      <c r="CE549" s="1772"/>
      <c r="CF549" s="1772"/>
      <c r="CG549" s="1772"/>
      <c r="CH549" s="1772"/>
      <c r="CI549" s="1772">
        <v>49.690199999999997</v>
      </c>
      <c r="CJ549" s="1772">
        <v>-0.39540000000000219</v>
      </c>
      <c r="CK549" s="1772"/>
      <c r="CL549" s="1772"/>
      <c r="CM549" s="1772"/>
      <c r="CN549" s="1772"/>
      <c r="CO549" s="1772">
        <v>-1.4280000000000066</v>
      </c>
      <c r="CP549" s="1772">
        <v>0.81760000000000055</v>
      </c>
      <c r="CQ549" s="1772">
        <v>31</v>
      </c>
      <c r="CR549" s="1772">
        <v>1.4818868110735792</v>
      </c>
      <c r="CS549" s="1772">
        <v>0</v>
      </c>
      <c r="CT549" s="1772">
        <v>0</v>
      </c>
      <c r="CU549" s="1772">
        <v>0</v>
      </c>
      <c r="CV549" s="1772">
        <v>0</v>
      </c>
      <c r="CW549" s="1772">
        <v>0</v>
      </c>
      <c r="CX549" s="1772">
        <v>0</v>
      </c>
      <c r="CY549" s="1772">
        <v>0</v>
      </c>
      <c r="CZ549" s="1772">
        <v>0.59742433985345933</v>
      </c>
      <c r="DA549" s="1772">
        <v>0</v>
      </c>
      <c r="DB549" s="1772">
        <v>0</v>
      </c>
      <c r="DC549" s="1772">
        <v>0.81757093576760553</v>
      </c>
      <c r="DD549" s="1772">
        <v>0</v>
      </c>
      <c r="DE549" s="1772">
        <v>0</v>
      </c>
      <c r="DF549" s="1772">
        <v>0</v>
      </c>
      <c r="DG549" s="1772">
        <v>9.1472161141983754E-2</v>
      </c>
      <c r="DH549" s="1772">
        <v>0</v>
      </c>
      <c r="DI549" s="1772">
        <v>0</v>
      </c>
      <c r="DJ549" s="1772"/>
      <c r="DK549" s="1772">
        <v>0</v>
      </c>
      <c r="DL549" s="1772">
        <v>0</v>
      </c>
      <c r="DM549" s="1772">
        <v>0</v>
      </c>
      <c r="DN549" s="1772">
        <v>0</v>
      </c>
      <c r="DO549" s="1772">
        <v>0</v>
      </c>
      <c r="DP549" s="1772">
        <v>-2.45806256894604E-2</v>
      </c>
      <c r="DQ549" s="1772">
        <v>0</v>
      </c>
      <c r="DR549" s="1772">
        <v>0</v>
      </c>
      <c r="DS549" s="1772"/>
      <c r="DT549" s="1772"/>
      <c r="DU549" s="1772"/>
      <c r="DV549" s="1772">
        <v>46.467010576243887</v>
      </c>
      <c r="DW549" s="1772">
        <v>0</v>
      </c>
      <c r="DX549" s="1772">
        <v>0</v>
      </c>
      <c r="DY549" s="1772">
        <v>-1.4280000000000044</v>
      </c>
      <c r="DZ549" s="1772">
        <v>0.81759999999999877</v>
      </c>
      <c r="EA549" s="1772">
        <v>0</v>
      </c>
      <c r="EB549" s="1772">
        <v>0</v>
      </c>
      <c r="EC549" s="1772">
        <v>-2.0927454664037626</v>
      </c>
      <c r="ED549" s="1772">
        <v>0</v>
      </c>
      <c r="EE549" s="1772">
        <v>0</v>
      </c>
      <c r="EF549" s="1772">
        <v>0</v>
      </c>
      <c r="EG549" s="1772">
        <v>0</v>
      </c>
      <c r="EH549" s="1772">
        <v>0</v>
      </c>
      <c r="EI549" s="1772">
        <v>0</v>
      </c>
      <c r="EJ549" s="1772">
        <v>0</v>
      </c>
      <c r="EK549" s="1772">
        <v>0</v>
      </c>
      <c r="EL549" s="1772">
        <v>0</v>
      </c>
      <c r="EM549" s="1772">
        <v>0</v>
      </c>
      <c r="EN549" s="1772">
        <v>0</v>
      </c>
      <c r="EO549" s="1772">
        <v>0</v>
      </c>
      <c r="EP549" s="1772">
        <v>0</v>
      </c>
      <c r="EQ549" s="1772">
        <v>0</v>
      </c>
      <c r="ER549" s="1772">
        <v>0</v>
      </c>
      <c r="ES549" s="1772">
        <v>0</v>
      </c>
      <c r="ET549" s="1772">
        <v>0</v>
      </c>
      <c r="EU549" s="1772">
        <v>0</v>
      </c>
      <c r="EV549" s="1772">
        <v>225</v>
      </c>
      <c r="EW549" s="1772">
        <v>0</v>
      </c>
      <c r="EX549" s="1772">
        <v>0</v>
      </c>
      <c r="EY549" s="1772">
        <v>0</v>
      </c>
      <c r="EZ549" s="1772"/>
      <c r="FA549" s="1772">
        <v>0</v>
      </c>
      <c r="FB549" s="1772"/>
      <c r="FC549" s="1772"/>
      <c r="FD549" s="1772"/>
      <c r="FE549" s="1772"/>
      <c r="FF549" s="1772">
        <v>0</v>
      </c>
      <c r="FG549" s="1772">
        <v>0</v>
      </c>
      <c r="FH549" s="1772">
        <v>0</v>
      </c>
      <c r="FI549" s="1772">
        <v>0</v>
      </c>
    </row>
    <row r="550" spans="1:165">
      <c r="A550" s="1772">
        <v>548</v>
      </c>
      <c r="B550" s="1772" t="s">
        <v>2379</v>
      </c>
      <c r="C550" s="1772" t="s">
        <v>2357</v>
      </c>
      <c r="D550" s="1772" t="s">
        <v>1823</v>
      </c>
      <c r="E550" s="1772" t="s">
        <v>890</v>
      </c>
      <c r="F550" s="1772" t="s">
        <v>2363</v>
      </c>
      <c r="G550" s="1772" t="s">
        <v>1240</v>
      </c>
      <c r="H550" s="1772" t="s">
        <v>1240</v>
      </c>
      <c r="I550" s="1772" t="s">
        <v>1240</v>
      </c>
      <c r="J550" s="1772" t="s">
        <v>2358</v>
      </c>
      <c r="K550" s="1773">
        <v>44774</v>
      </c>
      <c r="L550" s="1772">
        <v>0</v>
      </c>
      <c r="M550" s="1772">
        <v>0</v>
      </c>
      <c r="N550" s="1772">
        <v>37.328000000000003</v>
      </c>
      <c r="O550" s="1772">
        <v>37.328000000000003</v>
      </c>
      <c r="P550" s="1772">
        <v>37.328000000000003</v>
      </c>
      <c r="Q550" s="1772">
        <v>37.328000000000003</v>
      </c>
      <c r="R550" s="1772"/>
      <c r="S550" s="1772">
        <v>451.48</v>
      </c>
      <c r="T550" s="1772">
        <v>144.41999999999999</v>
      </c>
      <c r="U550" s="1772"/>
      <c r="V550" s="1772">
        <v>22243.7552</v>
      </c>
      <c r="W550" s="1772">
        <v>22243.7552</v>
      </c>
      <c r="X550" s="1772">
        <v>22081.005119999998</v>
      </c>
      <c r="Y550" s="1772">
        <v>0</v>
      </c>
      <c r="Z550" s="1772">
        <v>0</v>
      </c>
      <c r="AA550" s="1772">
        <v>0</v>
      </c>
      <c r="AB550" s="1772">
        <v>0</v>
      </c>
      <c r="AC550" s="1772">
        <v>0</v>
      </c>
      <c r="AD550" s="1772">
        <v>3806.0992563795917</v>
      </c>
      <c r="AE550" s="1772">
        <v>12389.432648500226</v>
      </c>
      <c r="AF550" s="1772">
        <v>5390.9778324787812</v>
      </c>
      <c r="AG550" s="1772">
        <v>0</v>
      </c>
      <c r="AH550" s="1772">
        <v>0</v>
      </c>
      <c r="AI550" s="1772">
        <v>0</v>
      </c>
      <c r="AJ550" s="1772">
        <v>0</v>
      </c>
      <c r="AK550" s="1772">
        <v>0</v>
      </c>
      <c r="AL550" s="1772">
        <v>0</v>
      </c>
      <c r="AM550" s="1772"/>
      <c r="AN550" s="1772">
        <v>54.306834540139846</v>
      </c>
      <c r="AO550" s="1772">
        <v>0</v>
      </c>
      <c r="AP550" s="1772">
        <v>0</v>
      </c>
      <c r="AQ550" s="1772">
        <v>0</v>
      </c>
      <c r="AR550" s="1772">
        <v>0</v>
      </c>
      <c r="AS550" s="1772">
        <v>0</v>
      </c>
      <c r="AT550" s="1772">
        <v>0</v>
      </c>
      <c r="AU550" s="1772">
        <v>0</v>
      </c>
      <c r="AV550" s="1772">
        <v>0</v>
      </c>
      <c r="AW550" s="1772">
        <v>0</v>
      </c>
      <c r="AX550" s="1772">
        <v>0</v>
      </c>
      <c r="AY550" s="1772">
        <v>0</v>
      </c>
      <c r="AZ550" s="1772">
        <v>0</v>
      </c>
      <c r="BA550" s="1772"/>
      <c r="BB550" s="1772">
        <v>0</v>
      </c>
      <c r="BC550" s="1772">
        <v>0</v>
      </c>
      <c r="BD550" s="1772">
        <v>0</v>
      </c>
      <c r="BE550" s="1772">
        <v>0</v>
      </c>
      <c r="BF550" s="1772">
        <v>0</v>
      </c>
      <c r="BG550" s="1772">
        <v>603.15792970604048</v>
      </c>
      <c r="BH550" s="1772">
        <v>0</v>
      </c>
      <c r="BI550" s="1772">
        <v>4.87</v>
      </c>
      <c r="BJ550" s="1772">
        <v>22.88</v>
      </c>
      <c r="BK550" s="1772">
        <v>2993.46</v>
      </c>
      <c r="BL550" s="1772">
        <v>262</v>
      </c>
      <c r="BM550" s="1772"/>
      <c r="BN550" s="1772"/>
      <c r="BO550" s="1772"/>
      <c r="BP550" s="1772"/>
      <c r="BQ550" s="1772"/>
      <c r="BR550" s="1772"/>
      <c r="BS550" s="1772"/>
      <c r="BT550" s="1772">
        <v>2207.9511999999991</v>
      </c>
      <c r="BU550" s="1772"/>
      <c r="BV550" s="1772">
        <v>5994.1357621848219</v>
      </c>
      <c r="BW550" s="1772"/>
      <c r="BX550" s="1772"/>
      <c r="BY550" s="1772"/>
      <c r="BZ550" s="1772"/>
      <c r="CA550" s="1772"/>
      <c r="CB550" s="1772"/>
      <c r="CC550" s="1772"/>
      <c r="CD550" s="1772"/>
      <c r="CE550" s="1772"/>
      <c r="CF550" s="1772"/>
      <c r="CG550" s="1772"/>
      <c r="CH550" s="1772"/>
      <c r="CI550" s="1772">
        <v>19874.118699999999</v>
      </c>
      <c r="CJ550" s="1772">
        <v>-145.66426000000138</v>
      </c>
      <c r="CK550" s="1772"/>
      <c r="CL550" s="1772"/>
      <c r="CM550" s="1772"/>
      <c r="CN550" s="1772"/>
      <c r="CO550" s="1772">
        <v>-380.74560000000173</v>
      </c>
      <c r="CP550" s="1772">
        <v>217.99552000000014</v>
      </c>
      <c r="CQ550" s="1772">
        <v>31</v>
      </c>
      <c r="CR550" s="1772">
        <v>395.11336345538984</v>
      </c>
      <c r="CS550" s="1772">
        <v>0</v>
      </c>
      <c r="CT550" s="1772">
        <v>0</v>
      </c>
      <c r="CU550" s="1772">
        <v>0</v>
      </c>
      <c r="CV550" s="1772">
        <v>0</v>
      </c>
      <c r="CW550" s="1772">
        <v>0</v>
      </c>
      <c r="CX550" s="1772">
        <v>0</v>
      </c>
      <c r="CY550" s="1772">
        <v>0</v>
      </c>
      <c r="CZ550" s="1772">
        <v>159.29039827178531</v>
      </c>
      <c r="DA550" s="1772">
        <v>0</v>
      </c>
      <c r="DB550" s="1772">
        <v>0</v>
      </c>
      <c r="DC550" s="1772">
        <v>217.9877706452362</v>
      </c>
      <c r="DD550" s="1772">
        <v>0</v>
      </c>
      <c r="DE550" s="1772">
        <v>0</v>
      </c>
      <c r="DF550" s="1772">
        <v>0</v>
      </c>
      <c r="DG550" s="1772">
        <v>24.38909165077132</v>
      </c>
      <c r="DH550" s="1772">
        <v>0</v>
      </c>
      <c r="DI550" s="1772">
        <v>0</v>
      </c>
      <c r="DJ550" s="1772"/>
      <c r="DK550" s="1772">
        <v>0</v>
      </c>
      <c r="DL550" s="1772">
        <v>0</v>
      </c>
      <c r="DM550" s="1772">
        <v>0</v>
      </c>
      <c r="DN550" s="1772">
        <v>0</v>
      </c>
      <c r="DO550" s="1772">
        <v>0</v>
      </c>
      <c r="DP550" s="1772">
        <v>-6.5538971124012733</v>
      </c>
      <c r="DQ550" s="1772">
        <v>0</v>
      </c>
      <c r="DR550" s="1772">
        <v>0</v>
      </c>
      <c r="DS550" s="1772"/>
      <c r="DT550" s="1772"/>
      <c r="DU550" s="1772"/>
      <c r="DV550" s="1772">
        <v>12389.432648500226</v>
      </c>
      <c r="DW550" s="1772">
        <v>0</v>
      </c>
      <c r="DX550" s="1772">
        <v>0</v>
      </c>
      <c r="DY550" s="1772">
        <v>-380.74560000000201</v>
      </c>
      <c r="DZ550" s="1772">
        <v>217.9955200000004</v>
      </c>
      <c r="EA550" s="1772">
        <v>0</v>
      </c>
      <c r="EB550" s="1772">
        <v>0</v>
      </c>
      <c r="EC550" s="1772">
        <v>-557.98573407085314</v>
      </c>
      <c r="ED550" s="1772">
        <v>0</v>
      </c>
      <c r="EE550" s="1772">
        <v>0</v>
      </c>
      <c r="EF550" s="1772">
        <v>0</v>
      </c>
      <c r="EG550" s="1772">
        <v>0</v>
      </c>
      <c r="EH550" s="1772">
        <v>0</v>
      </c>
      <c r="EI550" s="1772">
        <v>0</v>
      </c>
      <c r="EJ550" s="1772">
        <v>0</v>
      </c>
      <c r="EK550" s="1772">
        <v>0</v>
      </c>
      <c r="EL550" s="1772">
        <v>0</v>
      </c>
      <c r="EM550" s="1772">
        <v>0</v>
      </c>
      <c r="EN550" s="1772">
        <v>0</v>
      </c>
      <c r="EO550" s="1772">
        <v>0</v>
      </c>
      <c r="EP550" s="1772">
        <v>0</v>
      </c>
      <c r="EQ550" s="1772">
        <v>0</v>
      </c>
      <c r="ER550" s="1772">
        <v>0</v>
      </c>
      <c r="ES550" s="1772">
        <v>0</v>
      </c>
      <c r="ET550" s="1772">
        <v>0</v>
      </c>
      <c r="EU550" s="1772">
        <v>0</v>
      </c>
      <c r="EV550" s="1772">
        <v>225</v>
      </c>
      <c r="EW550" s="1772">
        <v>0</v>
      </c>
      <c r="EX550" s="1772">
        <v>0</v>
      </c>
      <c r="EY550" s="1772">
        <v>0</v>
      </c>
      <c r="EZ550" s="1772"/>
      <c r="FA550" s="1772">
        <v>0</v>
      </c>
      <c r="FB550" s="1772"/>
      <c r="FC550" s="1772"/>
      <c r="FD550" s="1772"/>
      <c r="FE550" s="1772"/>
      <c r="FF550" s="1772">
        <v>0</v>
      </c>
      <c r="FG550" s="1772">
        <v>0</v>
      </c>
      <c r="FH550" s="1772">
        <v>0</v>
      </c>
      <c r="FI550" s="1772">
        <v>0</v>
      </c>
    </row>
    <row r="551" spans="1:165">
      <c r="A551" s="1772">
        <v>549</v>
      </c>
      <c r="B551" s="1772" t="s">
        <v>2379</v>
      </c>
      <c r="C551" s="1772" t="s">
        <v>2357</v>
      </c>
      <c r="D551" s="1772" t="s">
        <v>1823</v>
      </c>
      <c r="E551" s="1772" t="s">
        <v>890</v>
      </c>
      <c r="F551" s="1772" t="s">
        <v>2363</v>
      </c>
      <c r="G551" s="1772" t="s">
        <v>1240</v>
      </c>
      <c r="H551" s="1772" t="s">
        <v>1240</v>
      </c>
      <c r="I551" s="1772" t="s">
        <v>1240</v>
      </c>
      <c r="J551" s="1772" t="s">
        <v>2358</v>
      </c>
      <c r="K551" s="1773">
        <v>44774</v>
      </c>
      <c r="L551" s="1772">
        <v>0</v>
      </c>
      <c r="M551" s="1772">
        <v>0</v>
      </c>
      <c r="N551" s="1772">
        <v>0.13200000000000001</v>
      </c>
      <c r="O551" s="1772">
        <v>0.13200000000000001</v>
      </c>
      <c r="P551" s="1772">
        <v>0.13200000000000001</v>
      </c>
      <c r="Q551" s="1772">
        <v>0.13200000000000001</v>
      </c>
      <c r="R551" s="1772"/>
      <c r="S551" s="1772">
        <v>451.48</v>
      </c>
      <c r="T551" s="1772">
        <v>144.41999999999999</v>
      </c>
      <c r="U551" s="1772"/>
      <c r="V551" s="1772">
        <v>78.658800000000014</v>
      </c>
      <c r="W551" s="1772">
        <v>78.658800000000014</v>
      </c>
      <c r="X551" s="1772">
        <v>78.083280000000002</v>
      </c>
      <c r="Y551" s="1772">
        <v>0</v>
      </c>
      <c r="Z551" s="1772">
        <v>0</v>
      </c>
      <c r="AA551" s="1772">
        <v>0</v>
      </c>
      <c r="AB551" s="1772">
        <v>0</v>
      </c>
      <c r="AC551" s="1772">
        <v>0</v>
      </c>
      <c r="AD551" s="1772">
        <v>13.459202256807385</v>
      </c>
      <c r="AE551" s="1772">
        <v>43.811752829029949</v>
      </c>
      <c r="AF551" s="1772">
        <v>19.063680719224152</v>
      </c>
      <c r="AG551" s="1772">
        <v>0</v>
      </c>
      <c r="AH551" s="1772">
        <v>0</v>
      </c>
      <c r="AI551" s="1772">
        <v>0</v>
      </c>
      <c r="AJ551" s="1772">
        <v>0</v>
      </c>
      <c r="AK551" s="1772">
        <v>0</v>
      </c>
      <c r="AL551" s="1772">
        <v>0</v>
      </c>
      <c r="AM551" s="1772"/>
      <c r="AN551" s="1772">
        <v>0.19204088510765269</v>
      </c>
      <c r="AO551" s="1772">
        <v>0</v>
      </c>
      <c r="AP551" s="1772">
        <v>0</v>
      </c>
      <c r="AQ551" s="1772">
        <v>0</v>
      </c>
      <c r="AR551" s="1772">
        <v>0</v>
      </c>
      <c r="AS551" s="1772">
        <v>0</v>
      </c>
      <c r="AT551" s="1772">
        <v>0</v>
      </c>
      <c r="AU551" s="1772">
        <v>0</v>
      </c>
      <c r="AV551" s="1772">
        <v>0</v>
      </c>
      <c r="AW551" s="1772">
        <v>0</v>
      </c>
      <c r="AX551" s="1772">
        <v>0</v>
      </c>
      <c r="AY551" s="1772">
        <v>0</v>
      </c>
      <c r="AZ551" s="1772">
        <v>0</v>
      </c>
      <c r="BA551" s="1772"/>
      <c r="BB551" s="1772">
        <v>0</v>
      </c>
      <c r="BC551" s="1772">
        <v>0</v>
      </c>
      <c r="BD551" s="1772">
        <v>0</v>
      </c>
      <c r="BE551" s="1772">
        <v>0</v>
      </c>
      <c r="BF551" s="1772">
        <v>0</v>
      </c>
      <c r="BG551" s="1772">
        <v>2.1328988084332763</v>
      </c>
      <c r="BH551" s="1772">
        <v>0</v>
      </c>
      <c r="BI551" s="1772">
        <v>0</v>
      </c>
      <c r="BJ551" s="1772">
        <v>0</v>
      </c>
      <c r="BK551" s="1772">
        <v>15.05</v>
      </c>
      <c r="BL551" s="1772">
        <v>0</v>
      </c>
      <c r="BM551" s="1772"/>
      <c r="BN551" s="1772"/>
      <c r="BO551" s="1772"/>
      <c r="BP551" s="1772"/>
      <c r="BQ551" s="1772"/>
      <c r="BR551" s="1772"/>
      <c r="BS551" s="1772"/>
      <c r="BT551" s="1772">
        <v>7.8077999999999967</v>
      </c>
      <c r="BU551" s="1772"/>
      <c r="BV551" s="1772">
        <v>21.196579527657427</v>
      </c>
      <c r="BW551" s="1772"/>
      <c r="BX551" s="1772"/>
      <c r="BY551" s="1772"/>
      <c r="BZ551" s="1772"/>
      <c r="CA551" s="1772"/>
      <c r="CB551" s="1772"/>
      <c r="CC551" s="1772"/>
      <c r="CD551" s="1772"/>
      <c r="CE551" s="1772"/>
      <c r="CF551" s="1772"/>
      <c r="CG551" s="1772"/>
      <c r="CH551" s="1772"/>
      <c r="CI551" s="1772">
        <v>69.210700000000003</v>
      </c>
      <c r="CJ551" s="1772">
        <v>-1.6135400000000004</v>
      </c>
      <c r="CK551" s="1772"/>
      <c r="CL551" s="1772"/>
      <c r="CM551" s="1772"/>
      <c r="CN551" s="1772"/>
      <c r="CO551" s="1772">
        <v>-1.346400000000006</v>
      </c>
      <c r="CP551" s="1772">
        <v>0.77088000000000045</v>
      </c>
      <c r="CQ551" s="1772">
        <v>31</v>
      </c>
      <c r="CR551" s="1772">
        <v>1.3972075647265214</v>
      </c>
      <c r="CS551" s="1772">
        <v>0</v>
      </c>
      <c r="CT551" s="1772">
        <v>0</v>
      </c>
      <c r="CU551" s="1772">
        <v>0</v>
      </c>
      <c r="CV551" s="1772">
        <v>0</v>
      </c>
      <c r="CW551" s="1772">
        <v>0</v>
      </c>
      <c r="CX551" s="1772">
        <v>0</v>
      </c>
      <c r="CY551" s="1772">
        <v>0</v>
      </c>
      <c r="CZ551" s="1772">
        <v>0.56328580614754742</v>
      </c>
      <c r="DA551" s="1772">
        <v>0</v>
      </c>
      <c r="DB551" s="1772">
        <v>0</v>
      </c>
      <c r="DC551" s="1772">
        <v>0.7708525965808839</v>
      </c>
      <c r="DD551" s="1772">
        <v>0</v>
      </c>
      <c r="DE551" s="1772">
        <v>0</v>
      </c>
      <c r="DF551" s="1772">
        <v>0</v>
      </c>
      <c r="DG551" s="1772">
        <v>8.6245180505299501E-2</v>
      </c>
      <c r="DH551" s="1772">
        <v>0</v>
      </c>
      <c r="DI551" s="1772">
        <v>0</v>
      </c>
      <c r="DJ551" s="1772"/>
      <c r="DK551" s="1772">
        <v>0</v>
      </c>
      <c r="DL551" s="1772">
        <v>0</v>
      </c>
      <c r="DM551" s="1772">
        <v>0</v>
      </c>
      <c r="DN551" s="1772">
        <v>0</v>
      </c>
      <c r="DO551" s="1772">
        <v>0</v>
      </c>
      <c r="DP551" s="1772">
        <v>-2.317601850720552E-2</v>
      </c>
      <c r="DQ551" s="1772">
        <v>0</v>
      </c>
      <c r="DR551" s="1772">
        <v>0</v>
      </c>
      <c r="DS551" s="1772"/>
      <c r="DT551" s="1772"/>
      <c r="DU551" s="1772"/>
      <c r="DV551" s="1772">
        <v>43.811752829029949</v>
      </c>
      <c r="DW551" s="1772">
        <v>0</v>
      </c>
      <c r="DX551" s="1772">
        <v>0</v>
      </c>
      <c r="DY551" s="1772">
        <v>-1.3464000000000098</v>
      </c>
      <c r="DZ551" s="1772">
        <v>0.77087999999999823</v>
      </c>
      <c r="EA551" s="1772">
        <v>0</v>
      </c>
      <c r="EB551" s="1772">
        <v>0</v>
      </c>
      <c r="EC551" s="1772">
        <v>-1.9731600111806955</v>
      </c>
      <c r="ED551" s="1772">
        <v>0</v>
      </c>
      <c r="EE551" s="1772">
        <v>0</v>
      </c>
      <c r="EF551" s="1772">
        <v>0</v>
      </c>
      <c r="EG551" s="1772">
        <v>0</v>
      </c>
      <c r="EH551" s="1772">
        <v>0</v>
      </c>
      <c r="EI551" s="1772">
        <v>0</v>
      </c>
      <c r="EJ551" s="1772">
        <v>0</v>
      </c>
      <c r="EK551" s="1772">
        <v>0</v>
      </c>
      <c r="EL551" s="1772">
        <v>0</v>
      </c>
      <c r="EM551" s="1772">
        <v>0</v>
      </c>
      <c r="EN551" s="1772">
        <v>0</v>
      </c>
      <c r="EO551" s="1772">
        <v>0</v>
      </c>
      <c r="EP551" s="1772">
        <v>0</v>
      </c>
      <c r="EQ551" s="1772">
        <v>0</v>
      </c>
      <c r="ER551" s="1772">
        <v>0</v>
      </c>
      <c r="ES551" s="1772">
        <v>0</v>
      </c>
      <c r="ET551" s="1772">
        <v>0</v>
      </c>
      <c r="EU551" s="1772">
        <v>0</v>
      </c>
      <c r="EV551" s="1772">
        <v>225</v>
      </c>
      <c r="EW551" s="1772">
        <v>0</v>
      </c>
      <c r="EX551" s="1772">
        <v>0</v>
      </c>
      <c r="EY551" s="1772">
        <v>0</v>
      </c>
      <c r="EZ551" s="1772"/>
      <c r="FA551" s="1772">
        <v>0</v>
      </c>
      <c r="FB551" s="1772"/>
      <c r="FC551" s="1772"/>
      <c r="FD551" s="1772"/>
      <c r="FE551" s="1772"/>
      <c r="FF551" s="1772">
        <v>0</v>
      </c>
      <c r="FG551" s="1772">
        <v>0</v>
      </c>
      <c r="FH551" s="1772">
        <v>0</v>
      </c>
      <c r="FI551" s="1772">
        <v>0</v>
      </c>
    </row>
    <row r="552" spans="1:165">
      <c r="A552" s="1772">
        <v>550</v>
      </c>
      <c r="B552" s="1772" t="s">
        <v>2379</v>
      </c>
      <c r="C552" s="1772" t="s">
        <v>2357</v>
      </c>
      <c r="D552" s="1772" t="s">
        <v>1823</v>
      </c>
      <c r="E552" s="1772" t="s">
        <v>890</v>
      </c>
      <c r="F552" s="1772" t="s">
        <v>2364</v>
      </c>
      <c r="G552" s="1772" t="s">
        <v>1240</v>
      </c>
      <c r="H552" s="1772" t="s">
        <v>1240</v>
      </c>
      <c r="I552" s="1772" t="s">
        <v>1240</v>
      </c>
      <c r="J552" s="1772" t="s">
        <v>2358</v>
      </c>
      <c r="K552" s="1773">
        <v>44774</v>
      </c>
      <c r="L552" s="1772">
        <v>0</v>
      </c>
      <c r="M552" s="1772">
        <v>0</v>
      </c>
      <c r="N552" s="1772">
        <v>18.992000000000001</v>
      </c>
      <c r="O552" s="1772">
        <v>18.992000000000001</v>
      </c>
      <c r="P552" s="1772">
        <v>18.992000000000001</v>
      </c>
      <c r="Q552" s="1772">
        <v>18.992000000000001</v>
      </c>
      <c r="R552" s="1772"/>
      <c r="S552" s="1772">
        <v>451.48</v>
      </c>
      <c r="T552" s="1772">
        <v>144.41999999999999</v>
      </c>
      <c r="U552" s="1772"/>
      <c r="V552" s="1772">
        <v>11317.3328</v>
      </c>
      <c r="W552" s="1772">
        <v>11317.3328</v>
      </c>
      <c r="X552" s="1772">
        <v>11234.527679999999</v>
      </c>
      <c r="Y552" s="1772">
        <v>0</v>
      </c>
      <c r="Z552" s="1772">
        <v>0</v>
      </c>
      <c r="AA552" s="1772">
        <v>0</v>
      </c>
      <c r="AB552" s="1772">
        <v>0</v>
      </c>
      <c r="AC552" s="1772">
        <v>0</v>
      </c>
      <c r="AD552" s="1772">
        <v>1936.4937065248928</v>
      </c>
      <c r="AE552" s="1772">
        <v>6303.581891885884</v>
      </c>
      <c r="AF552" s="1772">
        <v>2742.85927439019</v>
      </c>
      <c r="AG552" s="1772">
        <v>0</v>
      </c>
      <c r="AH552" s="1772">
        <v>0</v>
      </c>
      <c r="AI552" s="1772">
        <v>0</v>
      </c>
      <c r="AJ552" s="1772">
        <v>0</v>
      </c>
      <c r="AK552" s="1772">
        <v>0</v>
      </c>
      <c r="AL552" s="1772">
        <v>0</v>
      </c>
      <c r="AM552" s="1772"/>
      <c r="AN552" s="1772">
        <v>27.630609772458634</v>
      </c>
      <c r="AO552" s="1772">
        <v>0</v>
      </c>
      <c r="AP552" s="1772">
        <v>0</v>
      </c>
      <c r="AQ552" s="1772">
        <v>0</v>
      </c>
      <c r="AR552" s="1772">
        <v>0</v>
      </c>
      <c r="AS552" s="1772">
        <v>0</v>
      </c>
      <c r="AT552" s="1772">
        <v>0</v>
      </c>
      <c r="AU552" s="1772">
        <v>0</v>
      </c>
      <c r="AV552" s="1772">
        <v>0</v>
      </c>
      <c r="AW552" s="1772">
        <v>0</v>
      </c>
      <c r="AX552" s="1772">
        <v>0</v>
      </c>
      <c r="AY552" s="1772">
        <v>0</v>
      </c>
      <c r="AZ552" s="1772">
        <v>0</v>
      </c>
      <c r="BA552" s="1772"/>
      <c r="BB552" s="1772">
        <v>0</v>
      </c>
      <c r="BC552" s="1772">
        <v>0</v>
      </c>
      <c r="BD552" s="1772">
        <v>0</v>
      </c>
      <c r="BE552" s="1772">
        <v>0</v>
      </c>
      <c r="BF552" s="1772">
        <v>0</v>
      </c>
      <c r="BG552" s="1772">
        <v>306.87889522549079</v>
      </c>
      <c r="BH552" s="1772">
        <v>0</v>
      </c>
      <c r="BI552" s="1772">
        <v>1.99</v>
      </c>
      <c r="BJ552" s="1772">
        <v>9.2200000000000006</v>
      </c>
      <c r="BK552" s="1772">
        <v>2047.51</v>
      </c>
      <c r="BL552" s="1772">
        <v>189</v>
      </c>
      <c r="BM552" s="1772"/>
      <c r="BN552" s="1772"/>
      <c r="BO552" s="1772"/>
      <c r="BP552" s="1772"/>
      <c r="BQ552" s="1772"/>
      <c r="BR552" s="1772"/>
      <c r="BS552" s="1772"/>
      <c r="BT552" s="1772"/>
      <c r="BU552" s="1772"/>
      <c r="BV552" s="1772">
        <v>3049.7381696156808</v>
      </c>
      <c r="BW552" s="1772"/>
      <c r="BX552" s="1772"/>
      <c r="BY552" s="1772"/>
      <c r="BZ552" s="1772"/>
      <c r="CA552" s="1772"/>
      <c r="CB552" s="1772"/>
      <c r="CC552" s="1772"/>
      <c r="CD552" s="1772"/>
      <c r="CE552" s="1772"/>
      <c r="CF552" s="1772"/>
      <c r="CG552" s="1772"/>
      <c r="CH552" s="1772"/>
      <c r="CI552" s="1772">
        <v>11233.3446</v>
      </c>
      <c r="CJ552" s="1772">
        <v>-84.018200000000434</v>
      </c>
      <c r="CK552" s="1772"/>
      <c r="CL552" s="1772"/>
      <c r="CM552" s="1772"/>
      <c r="CN552" s="1772"/>
      <c r="CO552" s="1772">
        <v>-193.71840000000088</v>
      </c>
      <c r="CP552" s="1772">
        <v>110.91328000000007</v>
      </c>
      <c r="CQ552" s="1772">
        <v>31</v>
      </c>
      <c r="CR552" s="1772">
        <v>201.02853082792626</v>
      </c>
      <c r="CS552" s="1772">
        <v>0</v>
      </c>
      <c r="CT552" s="1772">
        <v>0</v>
      </c>
      <c r="CU552" s="1772">
        <v>0</v>
      </c>
      <c r="CV552" s="1772">
        <v>0</v>
      </c>
      <c r="CW552" s="1772">
        <v>0</v>
      </c>
      <c r="CX552" s="1772">
        <v>0</v>
      </c>
      <c r="CY552" s="1772">
        <v>0</v>
      </c>
      <c r="CZ552" s="1772">
        <v>81.044879017835001</v>
      </c>
      <c r="DA552" s="1772">
        <v>0</v>
      </c>
      <c r="DB552" s="1772">
        <v>0</v>
      </c>
      <c r="DC552" s="1772">
        <v>110.90933722927366</v>
      </c>
      <c r="DD552" s="1772">
        <v>0</v>
      </c>
      <c r="DE552" s="1772">
        <v>0</v>
      </c>
      <c r="DF552" s="1772">
        <v>0</v>
      </c>
      <c r="DG552" s="1772">
        <v>12.408852031489744</v>
      </c>
      <c r="DH552" s="1772">
        <v>0</v>
      </c>
      <c r="DI552" s="1772">
        <v>0</v>
      </c>
      <c r="DJ552" s="1772"/>
      <c r="DK552" s="1772">
        <v>0</v>
      </c>
      <c r="DL552" s="1772">
        <v>0</v>
      </c>
      <c r="DM552" s="1772">
        <v>0</v>
      </c>
      <c r="DN552" s="1772">
        <v>0</v>
      </c>
      <c r="DO552" s="1772">
        <v>0</v>
      </c>
      <c r="DP552" s="1772">
        <v>-3.3345374506730856</v>
      </c>
      <c r="DQ552" s="1772">
        <v>0</v>
      </c>
      <c r="DR552" s="1772">
        <v>0</v>
      </c>
      <c r="DS552" s="1772"/>
      <c r="DT552" s="1772"/>
      <c r="DU552" s="1772"/>
      <c r="DV552" s="1772">
        <v>6303.581891885884</v>
      </c>
      <c r="DW552" s="1772">
        <v>0</v>
      </c>
      <c r="DX552" s="1772">
        <v>0</v>
      </c>
      <c r="DY552" s="1772">
        <v>-193.71840000000157</v>
      </c>
      <c r="DZ552" s="1772">
        <v>110.91328000000021</v>
      </c>
      <c r="EA552" s="1772">
        <v>0</v>
      </c>
      <c r="EB552" s="1772">
        <v>0</v>
      </c>
      <c r="EC552" s="1772">
        <v>-283.8958706995727</v>
      </c>
      <c r="ED552" s="1772">
        <v>0</v>
      </c>
      <c r="EE552" s="1772">
        <v>0</v>
      </c>
      <c r="EF552" s="1772">
        <v>0</v>
      </c>
      <c r="EG552" s="1772">
        <v>0</v>
      </c>
      <c r="EH552" s="1772">
        <v>0</v>
      </c>
      <c r="EI552" s="1772">
        <v>0</v>
      </c>
      <c r="EJ552" s="1772">
        <v>0</v>
      </c>
      <c r="EK552" s="1772">
        <v>0</v>
      </c>
      <c r="EL552" s="1772">
        <v>0</v>
      </c>
      <c r="EM552" s="1772">
        <v>0</v>
      </c>
      <c r="EN552" s="1772">
        <v>0</v>
      </c>
      <c r="EO552" s="1772">
        <v>0</v>
      </c>
      <c r="EP552" s="1772">
        <v>0</v>
      </c>
      <c r="EQ552" s="1772">
        <v>0</v>
      </c>
      <c r="ER552" s="1772">
        <v>0</v>
      </c>
      <c r="ES552" s="1772">
        <v>0</v>
      </c>
      <c r="ET552" s="1772">
        <v>0</v>
      </c>
      <c r="EU552" s="1772">
        <v>0</v>
      </c>
      <c r="EV552" s="1772">
        <v>225</v>
      </c>
      <c r="EW552" s="1772">
        <v>0</v>
      </c>
      <c r="EX552" s="1772">
        <v>0</v>
      </c>
      <c r="EY552" s="1772">
        <v>0</v>
      </c>
      <c r="EZ552" s="1772"/>
      <c r="FA552" s="1772">
        <v>0</v>
      </c>
      <c r="FB552" s="1772"/>
      <c r="FC552" s="1772"/>
      <c r="FD552" s="1772"/>
      <c r="FE552" s="1772"/>
      <c r="FF552" s="1772">
        <v>0</v>
      </c>
      <c r="FG552" s="1772">
        <v>0</v>
      </c>
      <c r="FH552" s="1772">
        <v>0</v>
      </c>
      <c r="FI552" s="1772">
        <v>0</v>
      </c>
    </row>
    <row r="553" spans="1:165">
      <c r="A553" s="1772">
        <v>551</v>
      </c>
      <c r="B553" s="1772" t="s">
        <v>2379</v>
      </c>
      <c r="C553" s="1772" t="s">
        <v>2357</v>
      </c>
      <c r="D553" s="1772" t="s">
        <v>1823</v>
      </c>
      <c r="E553" s="1772" t="s">
        <v>890</v>
      </c>
      <c r="F553" s="1772" t="s">
        <v>2364</v>
      </c>
      <c r="G553" s="1772" t="s">
        <v>1240</v>
      </c>
      <c r="H553" s="1772" t="s">
        <v>1240</v>
      </c>
      <c r="I553" s="1772" t="s">
        <v>1240</v>
      </c>
      <c r="J553" s="1772" t="s">
        <v>2358</v>
      </c>
      <c r="K553" s="1773">
        <v>44774</v>
      </c>
      <c r="L553" s="1772">
        <v>0</v>
      </c>
      <c r="M553" s="1772">
        <v>0</v>
      </c>
      <c r="N553" s="1772">
        <v>0.313</v>
      </c>
      <c r="O553" s="1772">
        <v>0.313</v>
      </c>
      <c r="P553" s="1772">
        <v>0.313</v>
      </c>
      <c r="Q553" s="1772">
        <v>0.313</v>
      </c>
      <c r="R553" s="1772"/>
      <c r="S553" s="1772">
        <v>451.48</v>
      </c>
      <c r="T553" s="1772">
        <v>144.41999999999999</v>
      </c>
      <c r="U553" s="1772"/>
      <c r="V553" s="1772">
        <v>186.51670000000001</v>
      </c>
      <c r="W553" s="1772">
        <v>186.51670000000001</v>
      </c>
      <c r="X553" s="1772">
        <v>185.15201999999999</v>
      </c>
      <c r="Y553" s="1772">
        <v>0</v>
      </c>
      <c r="Z553" s="1772">
        <v>0</v>
      </c>
      <c r="AA553" s="1772">
        <v>0</v>
      </c>
      <c r="AB553" s="1772">
        <v>0</v>
      </c>
      <c r="AC553" s="1772">
        <v>0</v>
      </c>
      <c r="AD553" s="1772">
        <v>31.914623533187207</v>
      </c>
      <c r="AE553" s="1772">
        <v>103.88695935974525</v>
      </c>
      <c r="AF553" s="1772">
        <v>45.204030796342117</v>
      </c>
      <c r="AG553" s="1772">
        <v>0</v>
      </c>
      <c r="AH553" s="1772">
        <v>0</v>
      </c>
      <c r="AI553" s="1772">
        <v>0</v>
      </c>
      <c r="AJ553" s="1772">
        <v>0</v>
      </c>
      <c r="AK553" s="1772">
        <v>0</v>
      </c>
      <c r="AL553" s="1772">
        <v>0</v>
      </c>
      <c r="AM553" s="1772"/>
      <c r="AN553" s="1772">
        <v>0.45536967453557037</v>
      </c>
      <c r="AO553" s="1772">
        <v>0</v>
      </c>
      <c r="AP553" s="1772">
        <v>0</v>
      </c>
      <c r="AQ553" s="1772">
        <v>0</v>
      </c>
      <c r="AR553" s="1772">
        <v>0</v>
      </c>
      <c r="AS553" s="1772">
        <v>0</v>
      </c>
      <c r="AT553" s="1772">
        <v>0</v>
      </c>
      <c r="AU553" s="1772">
        <v>0</v>
      </c>
      <c r="AV553" s="1772">
        <v>0</v>
      </c>
      <c r="AW553" s="1772">
        <v>0</v>
      </c>
      <c r="AX553" s="1772">
        <v>0</v>
      </c>
      <c r="AY553" s="1772">
        <v>0</v>
      </c>
      <c r="AZ553" s="1772">
        <v>0</v>
      </c>
      <c r="BA553" s="1772"/>
      <c r="BB553" s="1772">
        <v>0</v>
      </c>
      <c r="BC553" s="1772">
        <v>0</v>
      </c>
      <c r="BD553" s="1772">
        <v>0</v>
      </c>
      <c r="BE553" s="1772">
        <v>0</v>
      </c>
      <c r="BF553" s="1772">
        <v>0</v>
      </c>
      <c r="BG553" s="1772">
        <v>5.0575555078758754</v>
      </c>
      <c r="BH553" s="1772">
        <v>0</v>
      </c>
      <c r="BI553" s="1772">
        <v>0</v>
      </c>
      <c r="BJ553" s="1772">
        <v>0</v>
      </c>
      <c r="BK553" s="1772">
        <v>54.84</v>
      </c>
      <c r="BL553" s="1772">
        <v>0</v>
      </c>
      <c r="BM553" s="1772"/>
      <c r="BN553" s="1772"/>
      <c r="BO553" s="1772"/>
      <c r="BP553" s="1772"/>
      <c r="BQ553" s="1772"/>
      <c r="BR553" s="1772"/>
      <c r="BS553" s="1772"/>
      <c r="BT553" s="1772"/>
      <c r="BU553" s="1772"/>
      <c r="BV553" s="1772">
        <v>50.261586304217992</v>
      </c>
      <c r="BW553" s="1772"/>
      <c r="BX553" s="1772"/>
      <c r="BY553" s="1772"/>
      <c r="BZ553" s="1772"/>
      <c r="CA553" s="1772"/>
      <c r="CB553" s="1772"/>
      <c r="CC553" s="1772"/>
      <c r="CD553" s="1772"/>
      <c r="CE553" s="1772"/>
      <c r="CF553" s="1772"/>
      <c r="CG553" s="1772"/>
      <c r="CH553" s="1772"/>
      <c r="CI553" s="1772">
        <v>183.37739999999999</v>
      </c>
      <c r="CJ553" s="1772">
        <v>-3.1692999999999927</v>
      </c>
      <c r="CK553" s="1772"/>
      <c r="CL553" s="1772"/>
      <c r="CM553" s="1772"/>
      <c r="CN553" s="1772"/>
      <c r="CO553" s="1772">
        <v>-3.1926000000000143</v>
      </c>
      <c r="CP553" s="1772">
        <v>1.8279200000000011</v>
      </c>
      <c r="CQ553" s="1772">
        <v>31</v>
      </c>
      <c r="CR553" s="1772">
        <v>3.3130755133287977</v>
      </c>
      <c r="CS553" s="1772">
        <v>0</v>
      </c>
      <c r="CT553" s="1772">
        <v>0</v>
      </c>
      <c r="CU553" s="1772">
        <v>0</v>
      </c>
      <c r="CV553" s="1772">
        <v>0</v>
      </c>
      <c r="CW553" s="1772">
        <v>0</v>
      </c>
      <c r="CX553" s="1772">
        <v>0</v>
      </c>
      <c r="CY553" s="1772">
        <v>0</v>
      </c>
      <c r="CZ553" s="1772">
        <v>1.3356701312438055</v>
      </c>
      <c r="DA553" s="1772">
        <v>0</v>
      </c>
      <c r="DB553" s="1772">
        <v>0</v>
      </c>
      <c r="DC553" s="1772">
        <v>1.827855020680424</v>
      </c>
      <c r="DD553" s="1772">
        <v>0</v>
      </c>
      <c r="DE553" s="1772">
        <v>0</v>
      </c>
      <c r="DF553" s="1772">
        <v>0</v>
      </c>
      <c r="DG553" s="1772">
        <v>0.20450561741029283</v>
      </c>
      <c r="DH553" s="1772">
        <v>0</v>
      </c>
      <c r="DI553" s="1772">
        <v>0</v>
      </c>
      <c r="DJ553" s="1772"/>
      <c r="DK553" s="1772">
        <v>0</v>
      </c>
      <c r="DL553" s="1772">
        <v>0</v>
      </c>
      <c r="DM553" s="1772">
        <v>0</v>
      </c>
      <c r="DN553" s="1772">
        <v>0</v>
      </c>
      <c r="DO553" s="1772">
        <v>0</v>
      </c>
      <c r="DP553" s="1772">
        <v>-5.4955256005722208E-2</v>
      </c>
      <c r="DQ553" s="1772">
        <v>0</v>
      </c>
      <c r="DR553" s="1772">
        <v>0</v>
      </c>
      <c r="DS553" s="1772"/>
      <c r="DT553" s="1772"/>
      <c r="DU553" s="1772"/>
      <c r="DV553" s="1772">
        <v>103.88695935974525</v>
      </c>
      <c r="DW553" s="1772">
        <v>0</v>
      </c>
      <c r="DX553" s="1772">
        <v>0</v>
      </c>
      <c r="DY553" s="1772">
        <v>-3.1926000000000272</v>
      </c>
      <c r="DZ553" s="1772">
        <v>1.827920000000006</v>
      </c>
      <c r="EA553" s="1772">
        <v>0</v>
      </c>
      <c r="EB553" s="1772">
        <v>0</v>
      </c>
      <c r="EC553" s="1772">
        <v>-4.6787809356027026</v>
      </c>
      <c r="ED553" s="1772">
        <v>0</v>
      </c>
      <c r="EE553" s="1772">
        <v>0</v>
      </c>
      <c r="EF553" s="1772">
        <v>0</v>
      </c>
      <c r="EG553" s="1772">
        <v>0</v>
      </c>
      <c r="EH553" s="1772">
        <v>0</v>
      </c>
      <c r="EI553" s="1772">
        <v>0</v>
      </c>
      <c r="EJ553" s="1772">
        <v>0</v>
      </c>
      <c r="EK553" s="1772">
        <v>0</v>
      </c>
      <c r="EL553" s="1772">
        <v>0</v>
      </c>
      <c r="EM553" s="1772">
        <v>0</v>
      </c>
      <c r="EN553" s="1772">
        <v>0</v>
      </c>
      <c r="EO553" s="1772">
        <v>0</v>
      </c>
      <c r="EP553" s="1772">
        <v>0</v>
      </c>
      <c r="EQ553" s="1772">
        <v>0</v>
      </c>
      <c r="ER553" s="1772">
        <v>0</v>
      </c>
      <c r="ES553" s="1772">
        <v>0</v>
      </c>
      <c r="ET553" s="1772">
        <v>0</v>
      </c>
      <c r="EU553" s="1772">
        <v>0</v>
      </c>
      <c r="EV553" s="1772">
        <v>225</v>
      </c>
      <c r="EW553" s="1772">
        <v>0</v>
      </c>
      <c r="EX553" s="1772">
        <v>0</v>
      </c>
      <c r="EY553" s="1772">
        <v>0</v>
      </c>
      <c r="EZ553" s="1772"/>
      <c r="FA553" s="1772">
        <v>0</v>
      </c>
      <c r="FB553" s="1772"/>
      <c r="FC553" s="1772"/>
      <c r="FD553" s="1772"/>
      <c r="FE553" s="1772"/>
      <c r="FF553" s="1772">
        <v>0</v>
      </c>
      <c r="FG553" s="1772">
        <v>0</v>
      </c>
      <c r="FH553" s="1772">
        <v>0</v>
      </c>
      <c r="FI553" s="1772">
        <v>0</v>
      </c>
    </row>
    <row r="554" spans="1:165">
      <c r="A554" s="1772">
        <v>552</v>
      </c>
      <c r="B554" s="1772" t="s">
        <v>2379</v>
      </c>
      <c r="C554" s="1772" t="s">
        <v>2357</v>
      </c>
      <c r="D554" s="1772" t="s">
        <v>1826</v>
      </c>
      <c r="E554" s="1772" t="s">
        <v>891</v>
      </c>
      <c r="F554" s="1772" t="s">
        <v>1240</v>
      </c>
      <c r="G554" s="1772" t="s">
        <v>1240</v>
      </c>
      <c r="H554" s="1772" t="s">
        <v>1240</v>
      </c>
      <c r="I554" s="1772" t="s">
        <v>1240</v>
      </c>
      <c r="J554" s="1772" t="s">
        <v>2358</v>
      </c>
      <c r="K554" s="1773">
        <v>44774</v>
      </c>
      <c r="L554" s="1772">
        <v>0</v>
      </c>
      <c r="M554" s="1772">
        <v>0</v>
      </c>
      <c r="N554" s="1772">
        <v>353.32600000000002</v>
      </c>
      <c r="O554" s="1772">
        <v>353.32600000000002</v>
      </c>
      <c r="P554" s="1772">
        <v>353.32600000000002</v>
      </c>
      <c r="Q554" s="1772">
        <v>353.32600000000002</v>
      </c>
      <c r="R554" s="1772"/>
      <c r="S554" s="1772">
        <v>522.37</v>
      </c>
      <c r="T554" s="1772">
        <v>144.41999999999999</v>
      </c>
      <c r="U554" s="1772"/>
      <c r="V554" s="1772">
        <v>235594.24354</v>
      </c>
      <c r="W554" s="1772">
        <v>235594.24354</v>
      </c>
      <c r="X554" s="1772">
        <v>230276.68724</v>
      </c>
      <c r="Y554" s="1772">
        <v>0</v>
      </c>
      <c r="Z554" s="1772">
        <v>21694.561046573734</v>
      </c>
      <c r="AA554" s="1772">
        <v>0</v>
      </c>
      <c r="AB554" s="1772">
        <v>0</v>
      </c>
      <c r="AC554" s="1772">
        <v>0</v>
      </c>
      <c r="AD554" s="1772">
        <v>36026.409822641865</v>
      </c>
      <c r="AE554" s="1772">
        <v>117271.44984901389</v>
      </c>
      <c r="AF554" s="1772">
        <v>51027.985256065098</v>
      </c>
      <c r="AG554" s="1772">
        <v>0</v>
      </c>
      <c r="AH554" s="1772">
        <v>0</v>
      </c>
      <c r="AI554" s="1772">
        <v>0</v>
      </c>
      <c r="AJ554" s="1772">
        <v>0</v>
      </c>
      <c r="AK554" s="1772">
        <v>0</v>
      </c>
      <c r="AL554" s="1772">
        <v>3350.5041238425961</v>
      </c>
      <c r="AM554" s="1772"/>
      <c r="AN554" s="1772">
        <v>514.03816493595832</v>
      </c>
      <c r="AO554" s="1772">
        <v>0</v>
      </c>
      <c r="AP554" s="1772">
        <v>0</v>
      </c>
      <c r="AQ554" s="1772">
        <v>0</v>
      </c>
      <c r="AR554" s="1772">
        <v>0</v>
      </c>
      <c r="AS554" s="1772">
        <v>0</v>
      </c>
      <c r="AT554" s="1772">
        <v>0</v>
      </c>
      <c r="AU554" s="1772">
        <v>0</v>
      </c>
      <c r="AV554" s="1772">
        <v>0</v>
      </c>
      <c r="AW554" s="1772">
        <v>0</v>
      </c>
      <c r="AX554" s="1772">
        <v>0</v>
      </c>
      <c r="AY554" s="1772">
        <v>0</v>
      </c>
      <c r="AZ554" s="1772">
        <v>0</v>
      </c>
      <c r="BA554" s="1772"/>
      <c r="BB554" s="1772">
        <v>0</v>
      </c>
      <c r="BC554" s="1772">
        <v>0</v>
      </c>
      <c r="BD554" s="1772">
        <v>0</v>
      </c>
      <c r="BE554" s="1772">
        <v>0</v>
      </c>
      <c r="BF554" s="1772">
        <v>0</v>
      </c>
      <c r="BG554" s="1772">
        <v>5709.1560938522416</v>
      </c>
      <c r="BH554" s="1772">
        <v>0</v>
      </c>
      <c r="BI554" s="1772">
        <v>25.91</v>
      </c>
      <c r="BJ554" s="1772">
        <v>119.1</v>
      </c>
      <c r="BK554" s="1772">
        <v>42135.12</v>
      </c>
      <c r="BL554" s="1772">
        <v>575</v>
      </c>
      <c r="BM554" s="1772"/>
      <c r="BN554" s="1772"/>
      <c r="BO554" s="1772"/>
      <c r="BP554" s="1772"/>
      <c r="BQ554" s="1772"/>
      <c r="BR554" s="1772"/>
      <c r="BS554" s="1772"/>
      <c r="BT554" s="1772"/>
      <c r="BU554" s="1772"/>
      <c r="BV554" s="1772">
        <v>56737.141349917336</v>
      </c>
      <c r="BW554" s="1772"/>
      <c r="BX554" s="1772"/>
      <c r="BY554" s="1772"/>
      <c r="BZ554" s="1772"/>
      <c r="CA554" s="1772"/>
      <c r="CB554" s="1772"/>
      <c r="CC554" s="1772"/>
      <c r="CD554" s="1772"/>
      <c r="CE554" s="1772"/>
      <c r="CF554" s="1772"/>
      <c r="CG554" s="1772"/>
      <c r="CH554" s="1772"/>
      <c r="CI554" s="1772">
        <v>230279.2942</v>
      </c>
      <c r="CJ554" s="1772">
        <v>-5314.9793400000199</v>
      </c>
      <c r="CK554" s="1772"/>
      <c r="CL554" s="1772"/>
      <c r="CM554" s="1772"/>
      <c r="CN554" s="1772"/>
      <c r="CO554" s="1772">
        <v>-7380.980139999996</v>
      </c>
      <c r="CP554" s="1772">
        <v>2063.4238400000013</v>
      </c>
      <c r="CQ554" s="1772">
        <v>31</v>
      </c>
      <c r="CR554" s="1772">
        <v>-33.911789754740312</v>
      </c>
      <c r="CS554" s="1772">
        <v>0</v>
      </c>
      <c r="CT554" s="1772">
        <v>0</v>
      </c>
      <c r="CU554" s="1772">
        <v>0</v>
      </c>
      <c r="CV554" s="1772">
        <v>0</v>
      </c>
      <c r="CW554" s="1772">
        <v>0</v>
      </c>
      <c r="CX554" s="1772">
        <v>0</v>
      </c>
      <c r="CY554" s="1772">
        <v>0</v>
      </c>
      <c r="CZ554" s="1772">
        <v>1507.7539450218828</v>
      </c>
      <c r="DA554" s="1772">
        <v>0</v>
      </c>
      <c r="DB554" s="1772">
        <v>0</v>
      </c>
      <c r="DC554" s="1772">
        <v>2063.3504889358883</v>
      </c>
      <c r="DD554" s="1772">
        <v>0</v>
      </c>
      <c r="DE554" s="1772">
        <v>0</v>
      </c>
      <c r="DF554" s="1772">
        <v>0</v>
      </c>
      <c r="DG554" s="1772">
        <v>230.8535200546612</v>
      </c>
      <c r="DH554" s="1772">
        <v>0</v>
      </c>
      <c r="DI554" s="1772">
        <v>-3332.959604290696</v>
      </c>
      <c r="DJ554" s="1772"/>
      <c r="DK554" s="1772">
        <v>0</v>
      </c>
      <c r="DL554" s="1772">
        <v>0</v>
      </c>
      <c r="DM554" s="1772">
        <v>0</v>
      </c>
      <c r="DN554" s="1772">
        <v>0</v>
      </c>
      <c r="DO554" s="1772">
        <v>-440.87460981679078</v>
      </c>
      <c r="DP554" s="1772">
        <v>-62.0355296596735</v>
      </c>
      <c r="DQ554" s="1772">
        <v>0</v>
      </c>
      <c r="DR554" s="1772">
        <v>0</v>
      </c>
      <c r="DS554" s="1772"/>
      <c r="DT554" s="1772"/>
      <c r="DU554" s="1772"/>
      <c r="DV554" s="1772">
        <v>117271.44984901389</v>
      </c>
      <c r="DW554" s="1772">
        <v>0</v>
      </c>
      <c r="DX554" s="1772">
        <v>0</v>
      </c>
      <c r="DY554" s="1772">
        <v>-7380.9801399999997</v>
      </c>
      <c r="DZ554" s="1772">
        <v>2063.4238399999958</v>
      </c>
      <c r="EA554" s="1772">
        <v>0</v>
      </c>
      <c r="EB554" s="1772">
        <v>0</v>
      </c>
      <c r="EC554" s="1772">
        <v>-5281.5813190183981</v>
      </c>
      <c r="ED554" s="1772">
        <v>0</v>
      </c>
      <c r="EE554" s="1772">
        <v>0</v>
      </c>
      <c r="EF554" s="1772">
        <v>0</v>
      </c>
      <c r="EG554" s="1772">
        <v>0</v>
      </c>
      <c r="EH554" s="1772">
        <v>0</v>
      </c>
      <c r="EI554" s="1772">
        <v>0</v>
      </c>
      <c r="EJ554" s="1772">
        <v>0</v>
      </c>
      <c r="EK554" s="1772">
        <v>0</v>
      </c>
      <c r="EL554" s="1772">
        <v>0</v>
      </c>
      <c r="EM554" s="1772">
        <v>0</v>
      </c>
      <c r="EN554" s="1772">
        <v>0</v>
      </c>
      <c r="EO554" s="1772">
        <v>0</v>
      </c>
      <c r="EP554" s="1772">
        <v>0</v>
      </c>
      <c r="EQ554" s="1772">
        <v>0</v>
      </c>
      <c r="ER554" s="1772">
        <v>0</v>
      </c>
      <c r="ES554" s="1772">
        <v>0</v>
      </c>
      <c r="ET554" s="1772">
        <v>0</v>
      </c>
      <c r="EU554" s="1772">
        <v>0</v>
      </c>
      <c r="EV554" s="1772">
        <v>225</v>
      </c>
      <c r="EW554" s="1772">
        <v>0</v>
      </c>
      <c r="EX554" s="1772">
        <v>0</v>
      </c>
      <c r="EY554" s="1772">
        <v>0</v>
      </c>
      <c r="EZ554" s="1772"/>
      <c r="FA554" s="1772">
        <v>0</v>
      </c>
      <c r="FB554" s="1772"/>
      <c r="FC554" s="1772"/>
      <c r="FD554" s="1772"/>
      <c r="FE554" s="1772"/>
      <c r="FF554" s="1772">
        <v>0</v>
      </c>
      <c r="FG554" s="1772">
        <v>0</v>
      </c>
      <c r="FH554" s="1772">
        <v>0</v>
      </c>
      <c r="FI554" s="1772">
        <v>0</v>
      </c>
    </row>
    <row r="555" spans="1:165">
      <c r="A555" s="1772">
        <v>553</v>
      </c>
      <c r="B555" s="1772" t="s">
        <v>2379</v>
      </c>
      <c r="C555" s="1772" t="s">
        <v>2357</v>
      </c>
      <c r="D555" s="1772" t="s">
        <v>1826</v>
      </c>
      <c r="E555" s="1772" t="s">
        <v>891</v>
      </c>
      <c r="F555" s="1772" t="s">
        <v>1240</v>
      </c>
      <c r="G555" s="1772" t="s">
        <v>1240</v>
      </c>
      <c r="H555" s="1772" t="s">
        <v>1240</v>
      </c>
      <c r="I555" s="1772" t="s">
        <v>1240</v>
      </c>
      <c r="J555" s="1772" t="s">
        <v>2358</v>
      </c>
      <c r="K555" s="1773">
        <v>44774</v>
      </c>
      <c r="L555" s="1772">
        <v>0</v>
      </c>
      <c r="M555" s="1772">
        <v>0</v>
      </c>
      <c r="N555" s="1772">
        <v>15.151</v>
      </c>
      <c r="O555" s="1772">
        <v>15.151</v>
      </c>
      <c r="P555" s="1772">
        <v>15.151</v>
      </c>
      <c r="Q555" s="1772">
        <v>15.151</v>
      </c>
      <c r="R555" s="1772"/>
      <c r="S555" s="1772">
        <v>522.37</v>
      </c>
      <c r="T555" s="1772">
        <v>144.41999999999999</v>
      </c>
      <c r="U555" s="1772"/>
      <c r="V555" s="1772">
        <v>10102.53529</v>
      </c>
      <c r="W555" s="1772">
        <v>10102.53529</v>
      </c>
      <c r="X555" s="1772">
        <v>9874.5127400000001</v>
      </c>
      <c r="Y555" s="1772">
        <v>0</v>
      </c>
      <c r="Z555" s="1772">
        <v>930.28617881683942</v>
      </c>
      <c r="AA555" s="1772">
        <v>0</v>
      </c>
      <c r="AB555" s="1772">
        <v>0</v>
      </c>
      <c r="AC555" s="1772">
        <v>0</v>
      </c>
      <c r="AD555" s="1772">
        <v>1544.8513135824899</v>
      </c>
      <c r="AE555" s="1772">
        <v>5028.7262660047927</v>
      </c>
      <c r="AF555" s="1772">
        <v>2188.1350498254933</v>
      </c>
      <c r="AG555" s="1772">
        <v>0</v>
      </c>
      <c r="AH555" s="1772">
        <v>0</v>
      </c>
      <c r="AI555" s="1772">
        <v>0</v>
      </c>
      <c r="AJ555" s="1772">
        <v>0</v>
      </c>
      <c r="AK555" s="1772">
        <v>0</v>
      </c>
      <c r="AL555" s="1772">
        <v>143.67323089820496</v>
      </c>
      <c r="AM555" s="1772"/>
      <c r="AN555" s="1772">
        <v>22.042510986863981</v>
      </c>
      <c r="AO555" s="1772">
        <v>0</v>
      </c>
      <c r="AP555" s="1772">
        <v>0</v>
      </c>
      <c r="AQ555" s="1772">
        <v>0</v>
      </c>
      <c r="AR555" s="1772">
        <v>0</v>
      </c>
      <c r="AS555" s="1772">
        <v>0</v>
      </c>
      <c r="AT555" s="1772">
        <v>0</v>
      </c>
      <c r="AU555" s="1772">
        <v>0</v>
      </c>
      <c r="AV555" s="1772">
        <v>0</v>
      </c>
      <c r="AW555" s="1772">
        <v>0</v>
      </c>
      <c r="AX555" s="1772">
        <v>0</v>
      </c>
      <c r="AY555" s="1772">
        <v>0</v>
      </c>
      <c r="AZ555" s="1772">
        <v>0</v>
      </c>
      <c r="BA555" s="1772"/>
      <c r="BB555" s="1772">
        <v>0</v>
      </c>
      <c r="BC555" s="1772">
        <v>0</v>
      </c>
      <c r="BD555" s="1772">
        <v>0</v>
      </c>
      <c r="BE555" s="1772">
        <v>0</v>
      </c>
      <c r="BF555" s="1772">
        <v>0</v>
      </c>
      <c r="BG555" s="1772">
        <v>244.81477156494373</v>
      </c>
      <c r="BH555" s="1772">
        <v>0</v>
      </c>
      <c r="BI555" s="1772">
        <v>0</v>
      </c>
      <c r="BJ555" s="1772">
        <v>0</v>
      </c>
      <c r="BK555" s="1772">
        <v>4498.63</v>
      </c>
      <c r="BL555" s="1772">
        <v>11</v>
      </c>
      <c r="BM555" s="1772"/>
      <c r="BN555" s="1772"/>
      <c r="BO555" s="1772"/>
      <c r="BP555" s="1772"/>
      <c r="BQ555" s="1772"/>
      <c r="BR555" s="1772"/>
      <c r="BS555" s="1772"/>
      <c r="BT555" s="1772"/>
      <c r="BU555" s="1772"/>
      <c r="BV555" s="1772">
        <v>2432.9498213904371</v>
      </c>
      <c r="BW555" s="1772"/>
      <c r="BX555" s="1772"/>
      <c r="BY555" s="1772"/>
      <c r="BZ555" s="1772"/>
      <c r="CA555" s="1772"/>
      <c r="CB555" s="1772"/>
      <c r="CC555" s="1772"/>
      <c r="CD555" s="1772"/>
      <c r="CE555" s="1772"/>
      <c r="CF555" s="1772"/>
      <c r="CG555" s="1772"/>
      <c r="CH555" s="1772"/>
      <c r="CI555" s="1772">
        <v>9873.8610000000008</v>
      </c>
      <c r="CJ555" s="1772">
        <v>-228.70428999999967</v>
      </c>
      <c r="CK555" s="1772"/>
      <c r="CL555" s="1772"/>
      <c r="CM555" s="1772"/>
      <c r="CN555" s="1772"/>
      <c r="CO555" s="1772">
        <v>-316.50438999999977</v>
      </c>
      <c r="CP555" s="1772">
        <v>88.481840000000048</v>
      </c>
      <c r="CQ555" s="1772">
        <v>31</v>
      </c>
      <c r="CR555" s="1772">
        <v>-1.4541741241046111</v>
      </c>
      <c r="CS555" s="1772">
        <v>0</v>
      </c>
      <c r="CT555" s="1772">
        <v>0</v>
      </c>
      <c r="CU555" s="1772">
        <v>0</v>
      </c>
      <c r="CV555" s="1772">
        <v>0</v>
      </c>
      <c r="CW555" s="1772">
        <v>0</v>
      </c>
      <c r="CX555" s="1772">
        <v>0</v>
      </c>
      <c r="CY555" s="1772">
        <v>0</v>
      </c>
      <c r="CZ555" s="1772">
        <v>64.654115522284201</v>
      </c>
      <c r="DA555" s="1772">
        <v>0</v>
      </c>
      <c r="DB555" s="1772">
        <v>0</v>
      </c>
      <c r="DC555" s="1772">
        <v>88.478694627249752</v>
      </c>
      <c r="DD555" s="1772">
        <v>0</v>
      </c>
      <c r="DE555" s="1772">
        <v>0</v>
      </c>
      <c r="DF555" s="1772">
        <v>0</v>
      </c>
      <c r="DG555" s="1772">
        <v>9.8992479533014262</v>
      </c>
      <c r="DH555" s="1772">
        <v>0</v>
      </c>
      <c r="DI555" s="1772">
        <v>-142.92090297517962</v>
      </c>
      <c r="DJ555" s="1772"/>
      <c r="DK555" s="1772">
        <v>0</v>
      </c>
      <c r="DL555" s="1772">
        <v>0</v>
      </c>
      <c r="DM555" s="1772">
        <v>0</v>
      </c>
      <c r="DN555" s="1772">
        <v>0</v>
      </c>
      <c r="DO555" s="1772">
        <v>-18.905178824468592</v>
      </c>
      <c r="DP555" s="1772">
        <v>-2.6601504272929581</v>
      </c>
      <c r="DQ555" s="1772">
        <v>0</v>
      </c>
      <c r="DR555" s="1772">
        <v>0</v>
      </c>
      <c r="DS555" s="1772"/>
      <c r="DT555" s="1772"/>
      <c r="DU555" s="1772"/>
      <c r="DV555" s="1772">
        <v>5028.7262660047927</v>
      </c>
      <c r="DW555" s="1772">
        <v>0</v>
      </c>
      <c r="DX555" s="1772">
        <v>0</v>
      </c>
      <c r="DY555" s="1772">
        <v>-316.50438999999915</v>
      </c>
      <c r="DZ555" s="1772">
        <v>88.48183999999992</v>
      </c>
      <c r="EA555" s="1772">
        <v>0</v>
      </c>
      <c r="EB555" s="1772">
        <v>0</v>
      </c>
      <c r="EC555" s="1772">
        <v>-226.47990401059542</v>
      </c>
      <c r="ED555" s="1772">
        <v>0</v>
      </c>
      <c r="EE555" s="1772">
        <v>0</v>
      </c>
      <c r="EF555" s="1772">
        <v>0</v>
      </c>
      <c r="EG555" s="1772">
        <v>0</v>
      </c>
      <c r="EH555" s="1772">
        <v>0</v>
      </c>
      <c r="EI555" s="1772">
        <v>0</v>
      </c>
      <c r="EJ555" s="1772">
        <v>0</v>
      </c>
      <c r="EK555" s="1772">
        <v>0</v>
      </c>
      <c r="EL555" s="1772">
        <v>0</v>
      </c>
      <c r="EM555" s="1772">
        <v>0</v>
      </c>
      <c r="EN555" s="1772">
        <v>0</v>
      </c>
      <c r="EO555" s="1772">
        <v>0</v>
      </c>
      <c r="EP555" s="1772">
        <v>0</v>
      </c>
      <c r="EQ555" s="1772">
        <v>0</v>
      </c>
      <c r="ER555" s="1772">
        <v>0</v>
      </c>
      <c r="ES555" s="1772">
        <v>0</v>
      </c>
      <c r="ET555" s="1772">
        <v>0</v>
      </c>
      <c r="EU555" s="1772">
        <v>0</v>
      </c>
      <c r="EV555" s="1772">
        <v>225</v>
      </c>
      <c r="EW555" s="1772">
        <v>0</v>
      </c>
      <c r="EX555" s="1772">
        <v>0</v>
      </c>
      <c r="EY555" s="1772">
        <v>0</v>
      </c>
      <c r="EZ555" s="1772"/>
      <c r="FA555" s="1772">
        <v>0</v>
      </c>
      <c r="FB555" s="1772"/>
      <c r="FC555" s="1772"/>
      <c r="FD555" s="1772"/>
      <c r="FE555" s="1772"/>
      <c r="FF555" s="1772">
        <v>0</v>
      </c>
      <c r="FG555" s="1772">
        <v>0</v>
      </c>
      <c r="FH555" s="1772">
        <v>0</v>
      </c>
      <c r="FI555" s="1772">
        <v>0</v>
      </c>
    </row>
    <row r="556" spans="1:165">
      <c r="A556" s="1772">
        <v>554</v>
      </c>
      <c r="B556" s="1772" t="s">
        <v>2379</v>
      </c>
      <c r="C556" s="1772" t="s">
        <v>2365</v>
      </c>
      <c r="D556" s="1772" t="s">
        <v>534</v>
      </c>
      <c r="E556" s="1772" t="s">
        <v>891</v>
      </c>
      <c r="F556" s="1772" t="s">
        <v>1240</v>
      </c>
      <c r="G556" s="1772" t="s">
        <v>1240</v>
      </c>
      <c r="H556" s="1772" t="s">
        <v>1240</v>
      </c>
      <c r="I556" s="1772" t="s">
        <v>894</v>
      </c>
      <c r="J556" s="1772" t="s">
        <v>2358</v>
      </c>
      <c r="K556" s="1773">
        <v>44774</v>
      </c>
      <c r="L556" s="1772">
        <v>105</v>
      </c>
      <c r="M556" s="1772">
        <v>105</v>
      </c>
      <c r="N556" s="1772">
        <v>3.5680000000000001</v>
      </c>
      <c r="O556" s="1772">
        <v>3.5680000000000001</v>
      </c>
      <c r="P556" s="1772">
        <v>3.5680000000000001</v>
      </c>
      <c r="Q556" s="1772">
        <v>3.5680000000000001</v>
      </c>
      <c r="R556" s="1772">
        <v>111</v>
      </c>
      <c r="S556" s="1772">
        <v>69.64</v>
      </c>
      <c r="T556" s="1772">
        <v>144.41999999999999</v>
      </c>
      <c r="U556" s="1772">
        <v>11655</v>
      </c>
      <c r="V556" s="1772">
        <v>763.76607999999987</v>
      </c>
      <c r="W556" s="1772">
        <v>12418.766079999999</v>
      </c>
      <c r="X556" s="1772">
        <v>12166.113519999999</v>
      </c>
      <c r="Y556" s="1772">
        <v>0</v>
      </c>
      <c r="Z556" s="1772">
        <v>190.59845190654616</v>
      </c>
      <c r="AA556" s="1772">
        <v>0</v>
      </c>
      <c r="AB556" s="1772">
        <v>0</v>
      </c>
      <c r="AC556" s="1772">
        <v>0</v>
      </c>
      <c r="AD556" s="1772">
        <v>3280.7576257730502</v>
      </c>
      <c r="AE556" s="1772">
        <v>8373.8629100487578</v>
      </c>
      <c r="AF556" s="1772">
        <v>515.29706671357405</v>
      </c>
      <c r="AG556" s="1772">
        <v>0</v>
      </c>
      <c r="AH556" s="1772">
        <v>0</v>
      </c>
      <c r="AI556" s="1772">
        <v>0</v>
      </c>
      <c r="AJ556" s="1772">
        <v>0</v>
      </c>
      <c r="AK556" s="1772">
        <v>0</v>
      </c>
      <c r="AL556" s="1772">
        <v>33.834472169810269</v>
      </c>
      <c r="AM556" s="1772"/>
      <c r="AN556" s="1772">
        <v>1.7757408059101067</v>
      </c>
      <c r="AO556" s="1772">
        <v>0</v>
      </c>
      <c r="AP556" s="1772">
        <v>0</v>
      </c>
      <c r="AQ556" s="1772">
        <v>0</v>
      </c>
      <c r="AR556" s="1772">
        <v>0</v>
      </c>
      <c r="AS556" s="1772">
        <v>0</v>
      </c>
      <c r="AT556" s="1772">
        <v>0</v>
      </c>
      <c r="AU556" s="1772">
        <v>0</v>
      </c>
      <c r="AV556" s="1772">
        <v>0</v>
      </c>
      <c r="AW556" s="1772">
        <v>0</v>
      </c>
      <c r="AX556" s="1772">
        <v>0</v>
      </c>
      <c r="AY556" s="1772">
        <v>0</v>
      </c>
      <c r="AZ556" s="1772">
        <v>0</v>
      </c>
      <c r="BA556" s="1772"/>
      <c r="BB556" s="1772">
        <v>0</v>
      </c>
      <c r="BC556" s="1772">
        <v>0</v>
      </c>
      <c r="BD556" s="1772">
        <v>0</v>
      </c>
      <c r="BE556" s="1772">
        <v>0</v>
      </c>
      <c r="BF556" s="1772">
        <v>0</v>
      </c>
      <c r="BG556" s="1772">
        <v>22.259333346547681</v>
      </c>
      <c r="BH556" s="1772">
        <v>0</v>
      </c>
      <c r="BI556" s="1772">
        <v>0</v>
      </c>
      <c r="BJ556" s="1772">
        <v>0</v>
      </c>
      <c r="BK556" s="1772">
        <v>0</v>
      </c>
      <c r="BL556" s="1772">
        <v>0</v>
      </c>
      <c r="BM556" s="1772"/>
      <c r="BN556" s="1772"/>
      <c r="BO556" s="1772"/>
      <c r="BP556" s="1772"/>
      <c r="BQ556" s="1772"/>
      <c r="BR556" s="1772"/>
      <c r="BS556" s="1772"/>
      <c r="BT556" s="1772"/>
      <c r="BU556" s="1772"/>
      <c r="BV556" s="1772">
        <v>537.55640006012175</v>
      </c>
      <c r="BW556" s="1772"/>
      <c r="BX556" s="1772"/>
      <c r="BY556" s="1772"/>
      <c r="BZ556" s="1772"/>
      <c r="CA556" s="1772"/>
      <c r="CB556" s="1772"/>
      <c r="CC556" s="1772"/>
      <c r="CD556" s="1772"/>
      <c r="CE556" s="1772"/>
      <c r="CF556" s="1772"/>
      <c r="CG556" s="1772"/>
      <c r="CH556" s="1772"/>
      <c r="CI556" s="1772">
        <v>12166.534799999999</v>
      </c>
      <c r="CJ556" s="1772">
        <v>-252.26128000000062</v>
      </c>
      <c r="CK556" s="1772"/>
      <c r="CL556" s="1772"/>
      <c r="CM556" s="1772"/>
      <c r="CN556" s="1772"/>
      <c r="CO556" s="1772">
        <v>-273.48968000000065</v>
      </c>
      <c r="CP556" s="1772">
        <v>20.837120000000013</v>
      </c>
      <c r="CQ556" s="1772">
        <v>31</v>
      </c>
      <c r="CR556" s="1772">
        <v>125.09234311352384</v>
      </c>
      <c r="CS556" s="1772">
        <v>0</v>
      </c>
      <c r="CT556" s="1772">
        <v>0</v>
      </c>
      <c r="CU556" s="1772">
        <v>0</v>
      </c>
      <c r="CV556" s="1772">
        <v>0</v>
      </c>
      <c r="CW556" s="1772">
        <v>0</v>
      </c>
      <c r="CX556" s="1772">
        <v>0</v>
      </c>
      <c r="CY556" s="1772">
        <v>0</v>
      </c>
      <c r="CZ556" s="1772">
        <v>137.30414096967797</v>
      </c>
      <c r="DA556" s="1772">
        <v>0</v>
      </c>
      <c r="DB556" s="1772">
        <v>0</v>
      </c>
      <c r="DC556" s="1772">
        <v>20.83637927727716</v>
      </c>
      <c r="DD556" s="1772">
        <v>0</v>
      </c>
      <c r="DE556" s="1772">
        <v>0</v>
      </c>
      <c r="DF556" s="1772">
        <v>0</v>
      </c>
      <c r="DG556" s="1772">
        <v>0.90007093389053594</v>
      </c>
      <c r="DH556" s="1772">
        <v>0</v>
      </c>
      <c r="DI556" s="1772">
        <v>-29.281852694834129</v>
      </c>
      <c r="DJ556" s="1772"/>
      <c r="DK556" s="1772">
        <v>0</v>
      </c>
      <c r="DL556" s="1772">
        <v>0</v>
      </c>
      <c r="DM556" s="1772">
        <v>0</v>
      </c>
      <c r="DN556" s="1772">
        <v>0</v>
      </c>
      <c r="DO556" s="1772">
        <v>-4.4520941222166215</v>
      </c>
      <c r="DP556" s="1772">
        <v>-0.21430125027128222</v>
      </c>
      <c r="DQ556" s="1772">
        <v>0</v>
      </c>
      <c r="DR556" s="1772">
        <v>0</v>
      </c>
      <c r="DS556" s="1772"/>
      <c r="DT556" s="1772"/>
      <c r="DU556" s="1772">
        <v>8373.8629100487578</v>
      </c>
      <c r="DV556" s="1772">
        <v>0</v>
      </c>
      <c r="DW556" s="1772">
        <v>0</v>
      </c>
      <c r="DX556" s="1772">
        <v>0</v>
      </c>
      <c r="DY556" s="1772">
        <v>-273.48968000000059</v>
      </c>
      <c r="DZ556" s="1772">
        <v>20.837120000000027</v>
      </c>
      <c r="EA556" s="1772">
        <v>0</v>
      </c>
      <c r="EB556" s="1772">
        <v>0</v>
      </c>
      <c r="EC556" s="1772">
        <v>-377.13559413377425</v>
      </c>
      <c r="ED556" s="1772">
        <v>0</v>
      </c>
      <c r="EE556" s="1772">
        <v>0</v>
      </c>
      <c r="EF556" s="1772">
        <v>0</v>
      </c>
      <c r="EG556" s="1772">
        <v>0</v>
      </c>
      <c r="EH556" s="1772">
        <v>0</v>
      </c>
      <c r="EI556" s="1772">
        <v>0</v>
      </c>
      <c r="EJ556" s="1772">
        <v>0</v>
      </c>
      <c r="EK556" s="1772">
        <v>0</v>
      </c>
      <c r="EL556" s="1772">
        <v>0</v>
      </c>
      <c r="EM556" s="1772">
        <v>0</v>
      </c>
      <c r="EN556" s="1772">
        <v>0</v>
      </c>
      <c r="EO556" s="1772">
        <v>0</v>
      </c>
      <c r="EP556" s="1772">
        <v>0</v>
      </c>
      <c r="EQ556" s="1772">
        <v>0</v>
      </c>
      <c r="ER556" s="1772">
        <v>0</v>
      </c>
      <c r="ES556" s="1772">
        <v>0</v>
      </c>
      <c r="ET556" s="1772">
        <v>0</v>
      </c>
      <c r="EU556" s="1772">
        <v>0</v>
      </c>
      <c r="EV556" s="1772">
        <v>225</v>
      </c>
      <c r="EW556" s="1772">
        <v>0</v>
      </c>
      <c r="EX556" s="1772">
        <v>0</v>
      </c>
      <c r="EY556" s="1772">
        <v>0</v>
      </c>
      <c r="EZ556" s="1772"/>
      <c r="FA556" s="1772">
        <v>0</v>
      </c>
      <c r="FB556" s="1772"/>
      <c r="FC556" s="1772"/>
      <c r="FD556" s="1772"/>
      <c r="FE556" s="1772"/>
      <c r="FF556" s="1772">
        <v>0</v>
      </c>
      <c r="FG556" s="1772">
        <v>0</v>
      </c>
      <c r="FH556" s="1772">
        <v>0</v>
      </c>
      <c r="FI556" s="1772">
        <v>0</v>
      </c>
    </row>
    <row r="557" spans="1:165">
      <c r="A557" s="1772">
        <v>555</v>
      </c>
      <c r="B557" s="1772" t="s">
        <v>2379</v>
      </c>
      <c r="C557" s="1772" t="s">
        <v>2365</v>
      </c>
      <c r="D557" s="1772" t="s">
        <v>534</v>
      </c>
      <c r="E557" s="1772" t="s">
        <v>891</v>
      </c>
      <c r="F557" s="1772" t="s">
        <v>1240</v>
      </c>
      <c r="G557" s="1772" t="s">
        <v>1240</v>
      </c>
      <c r="H557" s="1772" t="s">
        <v>1240</v>
      </c>
      <c r="I557" s="1772" t="s">
        <v>2328</v>
      </c>
      <c r="J557" s="1772" t="s">
        <v>2358</v>
      </c>
      <c r="K557" s="1773">
        <v>44774</v>
      </c>
      <c r="L557" s="1772">
        <v>3995</v>
      </c>
      <c r="M557" s="1772">
        <v>3995</v>
      </c>
      <c r="N557" s="1772">
        <v>1469.89</v>
      </c>
      <c r="O557" s="1772">
        <v>1469.89</v>
      </c>
      <c r="P557" s="1772">
        <v>1469.89</v>
      </c>
      <c r="Q557" s="1772">
        <v>1469.89</v>
      </c>
      <c r="R557" s="1772">
        <v>34.950000000000003</v>
      </c>
      <c r="S557" s="1772">
        <v>69.64</v>
      </c>
      <c r="T557" s="1772">
        <v>144.41999999999999</v>
      </c>
      <c r="U557" s="1772">
        <v>139625.25</v>
      </c>
      <c r="V557" s="1772">
        <v>314644.65340000001</v>
      </c>
      <c r="W557" s="1772">
        <v>454269.90339999995</v>
      </c>
      <c r="X557" s="1772">
        <v>447365.22959999996</v>
      </c>
      <c r="Y557" s="1772">
        <v>0</v>
      </c>
      <c r="Z557" s="1772">
        <v>78519.831410569837</v>
      </c>
      <c r="AA557" s="1772">
        <v>0</v>
      </c>
      <c r="AB557" s="1772">
        <v>0</v>
      </c>
      <c r="AC557" s="1772">
        <v>0</v>
      </c>
      <c r="AD557" s="1772">
        <v>50615.769148190811</v>
      </c>
      <c r="AE557" s="1772">
        <v>89027.807930410243</v>
      </c>
      <c r="AF557" s="1772">
        <v>212284.19433621506</v>
      </c>
      <c r="AG557" s="1772">
        <v>0</v>
      </c>
      <c r="AH557" s="1772">
        <v>0</v>
      </c>
      <c r="AI557" s="1772">
        <v>0</v>
      </c>
      <c r="AJ557" s="1772">
        <v>0</v>
      </c>
      <c r="AK557" s="1772">
        <v>0</v>
      </c>
      <c r="AL557" s="1772">
        <v>13938.607706749555</v>
      </c>
      <c r="AM557" s="1772"/>
      <c r="AN557" s="1772">
        <v>731.54250369932925</v>
      </c>
      <c r="AO557" s="1772">
        <v>0</v>
      </c>
      <c r="AP557" s="1772">
        <v>0</v>
      </c>
      <c r="AQ557" s="1772">
        <v>0</v>
      </c>
      <c r="AR557" s="1772">
        <v>0</v>
      </c>
      <c r="AS557" s="1772">
        <v>0</v>
      </c>
      <c r="AT557" s="1772">
        <v>0</v>
      </c>
      <c r="AU557" s="1772">
        <v>0</v>
      </c>
      <c r="AV557" s="1772">
        <v>0</v>
      </c>
      <c r="AW557" s="1772">
        <v>0</v>
      </c>
      <c r="AX557" s="1772">
        <v>0</v>
      </c>
      <c r="AY557" s="1772">
        <v>0</v>
      </c>
      <c r="AZ557" s="1772">
        <v>0</v>
      </c>
      <c r="BA557" s="1772"/>
      <c r="BB557" s="1772">
        <v>0</v>
      </c>
      <c r="BC557" s="1772">
        <v>0</v>
      </c>
      <c r="BD557" s="1772">
        <v>0</v>
      </c>
      <c r="BE557" s="1772">
        <v>0</v>
      </c>
      <c r="BF557" s="1772">
        <v>0</v>
      </c>
      <c r="BG557" s="1772">
        <v>9170.0592748758318</v>
      </c>
      <c r="BH557" s="1772">
        <v>0</v>
      </c>
      <c r="BI557" s="1772">
        <v>0</v>
      </c>
      <c r="BJ557" s="1772">
        <v>0</v>
      </c>
      <c r="BK557" s="1772">
        <v>0</v>
      </c>
      <c r="BL557" s="1772">
        <v>0</v>
      </c>
      <c r="BM557" s="1772"/>
      <c r="BN557" s="1772"/>
      <c r="BO557" s="1772"/>
      <c r="BP557" s="1772"/>
      <c r="BQ557" s="1772"/>
      <c r="BR557" s="1772"/>
      <c r="BS557" s="1772"/>
      <c r="BT557" s="1772"/>
      <c r="BU557" s="1772"/>
      <c r="BV557" s="1772">
        <v>221454.25361109088</v>
      </c>
      <c r="BW557" s="1772"/>
      <c r="BX557" s="1772"/>
      <c r="BY557" s="1772"/>
      <c r="BZ557" s="1772"/>
      <c r="CA557" s="1772"/>
      <c r="CB557" s="1772"/>
      <c r="CC557" s="1772"/>
      <c r="CD557" s="1772"/>
      <c r="CE557" s="1772"/>
      <c r="CF557" s="1772"/>
      <c r="CG557" s="1772"/>
      <c r="CH557" s="1772"/>
      <c r="CI557" s="1772">
        <v>447365.22959999996</v>
      </c>
      <c r="CJ557" s="1772">
        <v>-6904.7038000000175</v>
      </c>
      <c r="CK557" s="1772"/>
      <c r="CL557" s="1772"/>
      <c r="CM557" s="1772"/>
      <c r="CN557" s="1772"/>
      <c r="CO557" s="1772">
        <v>-15488.831400000021</v>
      </c>
      <c r="CP557" s="1772">
        <v>8584.1576000000059</v>
      </c>
      <c r="CQ557" s="1772">
        <v>31</v>
      </c>
      <c r="CR557" s="1772">
        <v>-2912.4911184743396</v>
      </c>
      <c r="CS557" s="1772">
        <v>0</v>
      </c>
      <c r="CT557" s="1772">
        <v>0</v>
      </c>
      <c r="CU557" s="1772">
        <v>0</v>
      </c>
      <c r="CV557" s="1772">
        <v>0</v>
      </c>
      <c r="CW557" s="1772">
        <v>0</v>
      </c>
      <c r="CX557" s="1772">
        <v>0</v>
      </c>
      <c r="CY557" s="1772">
        <v>0</v>
      </c>
      <c r="CZ557" s="1772">
        <v>2118.3383520365242</v>
      </c>
      <c r="DA557" s="1772">
        <v>0</v>
      </c>
      <c r="DB557" s="1772">
        <v>0</v>
      </c>
      <c r="DC557" s="1772">
        <v>8583.8524483960064</v>
      </c>
      <c r="DD557" s="1772">
        <v>0</v>
      </c>
      <c r="DE557" s="1772">
        <v>0</v>
      </c>
      <c r="DF557" s="1772">
        <v>0</v>
      </c>
      <c r="DG557" s="1772">
        <v>370.79743974673875</v>
      </c>
      <c r="DH557" s="1772">
        <v>0</v>
      </c>
      <c r="DI557" s="1772">
        <v>-12063.089253814396</v>
      </c>
      <c r="DJ557" s="1772"/>
      <c r="DK557" s="1772">
        <v>0</v>
      </c>
      <c r="DL557" s="1772">
        <v>0</v>
      </c>
      <c r="DM557" s="1772">
        <v>0</v>
      </c>
      <c r="DN557" s="1772">
        <v>0</v>
      </c>
      <c r="DO557" s="1772">
        <v>-1834.1055575406335</v>
      </c>
      <c r="DP557" s="1772">
        <v>-88.284547298557982</v>
      </c>
      <c r="DQ557" s="1772">
        <v>0</v>
      </c>
      <c r="DR557" s="1772">
        <v>0</v>
      </c>
      <c r="DS557" s="1772"/>
      <c r="DT557" s="1772"/>
      <c r="DU557" s="1772">
        <v>89027.807930410243</v>
      </c>
      <c r="DV557" s="1772">
        <v>0</v>
      </c>
      <c r="DW557" s="1772">
        <v>0</v>
      </c>
      <c r="DX557" s="1772">
        <v>0</v>
      </c>
      <c r="DY557" s="1772">
        <v>-15488.831400000025</v>
      </c>
      <c r="DZ557" s="1772">
        <v>8584.1576000000059</v>
      </c>
      <c r="EA557" s="1772">
        <v>0</v>
      </c>
      <c r="EB557" s="1772">
        <v>0</v>
      </c>
      <c r="EC557" s="1772">
        <v>-4009.5659075059084</v>
      </c>
      <c r="ED557" s="1772">
        <v>0</v>
      </c>
      <c r="EE557" s="1772">
        <v>0</v>
      </c>
      <c r="EF557" s="1772">
        <v>0</v>
      </c>
      <c r="EG557" s="1772">
        <v>0</v>
      </c>
      <c r="EH557" s="1772">
        <v>0</v>
      </c>
      <c r="EI557" s="1772">
        <v>0</v>
      </c>
      <c r="EJ557" s="1772">
        <v>0</v>
      </c>
      <c r="EK557" s="1772">
        <v>0</v>
      </c>
      <c r="EL557" s="1772">
        <v>0</v>
      </c>
      <c r="EM557" s="1772">
        <v>0</v>
      </c>
      <c r="EN557" s="1772">
        <v>0</v>
      </c>
      <c r="EO557" s="1772">
        <v>0</v>
      </c>
      <c r="EP557" s="1772">
        <v>0</v>
      </c>
      <c r="EQ557" s="1772">
        <v>0</v>
      </c>
      <c r="ER557" s="1772">
        <v>0</v>
      </c>
      <c r="ES557" s="1772">
        <v>0</v>
      </c>
      <c r="ET557" s="1772">
        <v>0</v>
      </c>
      <c r="EU557" s="1772">
        <v>0</v>
      </c>
      <c r="EV557" s="1772">
        <v>225</v>
      </c>
      <c r="EW557" s="1772">
        <v>0</v>
      </c>
      <c r="EX557" s="1772">
        <v>0</v>
      </c>
      <c r="EY557" s="1772">
        <v>0</v>
      </c>
      <c r="EZ557" s="1772"/>
      <c r="FA557" s="1772">
        <v>0</v>
      </c>
      <c r="FB557" s="1772"/>
      <c r="FC557" s="1772"/>
      <c r="FD557" s="1772"/>
      <c r="FE557" s="1772"/>
      <c r="FF557" s="1772">
        <v>0</v>
      </c>
      <c r="FG557" s="1772">
        <v>0</v>
      </c>
      <c r="FH557" s="1772">
        <v>0</v>
      </c>
      <c r="FI557" s="1772">
        <v>0</v>
      </c>
    </row>
    <row r="558" spans="1:165">
      <c r="A558" s="1772">
        <v>556</v>
      </c>
      <c r="B558" s="1772" t="s">
        <v>2379</v>
      </c>
      <c r="C558" s="1772" t="s">
        <v>2365</v>
      </c>
      <c r="D558" s="1772" t="s">
        <v>534</v>
      </c>
      <c r="E558" s="1772" t="s">
        <v>891</v>
      </c>
      <c r="F558" s="1772" t="s">
        <v>1240</v>
      </c>
      <c r="G558" s="1772" t="s">
        <v>1240</v>
      </c>
      <c r="H558" s="1772" t="s">
        <v>1240</v>
      </c>
      <c r="I558" s="1772" t="s">
        <v>1240</v>
      </c>
      <c r="J558" s="1772" t="s">
        <v>2358</v>
      </c>
      <c r="K558" s="1773">
        <v>44774</v>
      </c>
      <c r="L558" s="1772">
        <v>0</v>
      </c>
      <c r="M558" s="1772">
        <v>0</v>
      </c>
      <c r="N558" s="1772">
        <v>0</v>
      </c>
      <c r="O558" s="1772">
        <v>0</v>
      </c>
      <c r="P558" s="1772">
        <v>0</v>
      </c>
      <c r="Q558" s="1772">
        <v>0</v>
      </c>
      <c r="R558" s="1772"/>
      <c r="S558" s="1772"/>
      <c r="T558" s="1772"/>
      <c r="U558" s="1772"/>
      <c r="V558" s="1772"/>
      <c r="W558" s="1772"/>
      <c r="X558" s="1772"/>
      <c r="Y558" s="1772"/>
      <c r="Z558" s="1772"/>
      <c r="AA558" s="1772">
        <v>0</v>
      </c>
      <c r="AB558" s="1772"/>
      <c r="AC558" s="1772"/>
      <c r="AD558" s="1772"/>
      <c r="AE558" s="1772"/>
      <c r="AF558" s="1772"/>
      <c r="AG558" s="1772"/>
      <c r="AH558" s="1772"/>
      <c r="AI558" s="1772"/>
      <c r="AJ558" s="1772"/>
      <c r="AK558" s="1772"/>
      <c r="AL558" s="1772"/>
      <c r="AM558" s="1772"/>
      <c r="AN558" s="1772"/>
      <c r="AO558" s="1772"/>
      <c r="AP558" s="1772"/>
      <c r="AQ558" s="1772"/>
      <c r="AR558" s="1772"/>
      <c r="AS558" s="1772"/>
      <c r="AT558" s="1772"/>
      <c r="AU558" s="1772"/>
      <c r="AV558" s="1772"/>
      <c r="AW558" s="1772"/>
      <c r="AX558" s="1772"/>
      <c r="AY558" s="1772"/>
      <c r="AZ558" s="1772">
        <v>0</v>
      </c>
      <c r="BA558" s="1772"/>
      <c r="BB558" s="1772"/>
      <c r="BC558" s="1772"/>
      <c r="BD558" s="1772"/>
      <c r="BE558" s="1772"/>
      <c r="BF558" s="1772"/>
      <c r="BG558" s="1772"/>
      <c r="BH558" s="1772"/>
      <c r="BI558" s="1772">
        <v>0</v>
      </c>
      <c r="BJ558" s="1772">
        <v>0</v>
      </c>
      <c r="BK558" s="1772">
        <v>86348.6</v>
      </c>
      <c r="BL558" s="1772">
        <v>2</v>
      </c>
      <c r="BM558" s="1772"/>
      <c r="BN558" s="1772"/>
      <c r="BO558" s="1772"/>
      <c r="BP558" s="1772"/>
      <c r="BQ558" s="1772"/>
      <c r="BR558" s="1772"/>
      <c r="BS558" s="1772"/>
      <c r="BT558" s="1772"/>
      <c r="BU558" s="1772"/>
      <c r="BV558" s="1772"/>
      <c r="BW558" s="1772"/>
      <c r="BX558" s="1772"/>
      <c r="BY558" s="1772"/>
      <c r="BZ558" s="1772"/>
      <c r="CA558" s="1772"/>
      <c r="CB558" s="1772"/>
      <c r="CC558" s="1772"/>
      <c r="CD558" s="1772"/>
      <c r="CE558" s="1772"/>
      <c r="CF558" s="1772"/>
      <c r="CG558" s="1772"/>
      <c r="CH558" s="1772"/>
      <c r="CI558" s="1772"/>
      <c r="CJ558" s="1772">
        <v>-0.03</v>
      </c>
      <c r="CK558" s="1772"/>
      <c r="CL558" s="1772"/>
      <c r="CM558" s="1772"/>
      <c r="CN558" s="1772"/>
      <c r="CO558" s="1772">
        <v>0</v>
      </c>
      <c r="CP558" s="1772">
        <v>0</v>
      </c>
      <c r="CQ558" s="1772">
        <v>31</v>
      </c>
      <c r="CR558" s="1772"/>
      <c r="CS558" s="1772"/>
      <c r="CT558" s="1772"/>
      <c r="CU558" s="1772"/>
      <c r="CV558" s="1772"/>
      <c r="CW558" s="1772"/>
      <c r="CX558" s="1772"/>
      <c r="CY558" s="1772"/>
      <c r="CZ558" s="1772"/>
      <c r="DA558" s="1772"/>
      <c r="DB558" s="1772"/>
      <c r="DC558" s="1772"/>
      <c r="DD558" s="1772"/>
      <c r="DE558" s="1772"/>
      <c r="DF558" s="1772"/>
      <c r="DG558" s="1772"/>
      <c r="DH558" s="1772"/>
      <c r="DI558" s="1772"/>
      <c r="DJ558" s="1772"/>
      <c r="DK558" s="1772">
        <v>0</v>
      </c>
      <c r="DL558" s="1772"/>
      <c r="DM558" s="1772"/>
      <c r="DN558" s="1772"/>
      <c r="DO558" s="1772"/>
      <c r="DP558" s="1772"/>
      <c r="DQ558" s="1772"/>
      <c r="DR558" s="1772"/>
      <c r="DS558" s="1772"/>
      <c r="DT558" s="1772"/>
      <c r="DU558" s="1772"/>
      <c r="DV558" s="1772"/>
      <c r="DW558" s="1772"/>
      <c r="DX558" s="1772"/>
      <c r="DY558" s="1772"/>
      <c r="DZ558" s="1772"/>
      <c r="EA558" s="1772"/>
      <c r="EB558" s="1772"/>
      <c r="EC558" s="1772"/>
      <c r="ED558" s="1772"/>
      <c r="EE558" s="1772"/>
      <c r="EF558" s="1772"/>
      <c r="EG558" s="1772"/>
      <c r="EH558" s="1772"/>
      <c r="EI558" s="1772"/>
      <c r="EJ558" s="1772"/>
      <c r="EK558" s="1772"/>
      <c r="EL558" s="1772"/>
      <c r="EM558" s="1772"/>
      <c r="EN558" s="1772"/>
      <c r="EO558" s="1772"/>
      <c r="EP558" s="1772"/>
      <c r="EQ558" s="1772"/>
      <c r="ER558" s="1772"/>
      <c r="ES558" s="1772"/>
      <c r="ET558" s="1772"/>
      <c r="EU558" s="1772"/>
      <c r="EV558" s="1772">
        <v>225</v>
      </c>
      <c r="EW558" s="1772"/>
      <c r="EX558" s="1772"/>
      <c r="EY558" s="1772"/>
      <c r="EZ558" s="1772"/>
      <c r="FA558" s="1772">
        <v>0</v>
      </c>
      <c r="FB558" s="1772"/>
      <c r="FC558" s="1772"/>
      <c r="FD558" s="1772"/>
      <c r="FE558" s="1772"/>
      <c r="FF558" s="1772">
        <v>0</v>
      </c>
      <c r="FG558" s="1772">
        <v>0</v>
      </c>
      <c r="FH558" s="1772">
        <v>0</v>
      </c>
      <c r="FI558" s="1772">
        <v>0</v>
      </c>
    </row>
    <row r="559" spans="1:165">
      <c r="A559" s="1772">
        <v>557</v>
      </c>
      <c r="B559" s="1772" t="s">
        <v>2379</v>
      </c>
      <c r="C559" s="1772" t="s">
        <v>2366</v>
      </c>
      <c r="D559" s="1772" t="s">
        <v>534</v>
      </c>
      <c r="E559" s="1772" t="s">
        <v>891</v>
      </c>
      <c r="F559" s="1772" t="s">
        <v>1240</v>
      </c>
      <c r="G559" s="1772" t="s">
        <v>1240</v>
      </c>
      <c r="H559" s="1772" t="s">
        <v>1240</v>
      </c>
      <c r="I559" s="1772" t="s">
        <v>894</v>
      </c>
      <c r="J559" s="1772" t="s">
        <v>2358</v>
      </c>
      <c r="K559" s="1773">
        <v>44774</v>
      </c>
      <c r="L559" s="1772">
        <v>0</v>
      </c>
      <c r="M559" s="1772">
        <v>0</v>
      </c>
      <c r="N559" s="1772">
        <v>116.777</v>
      </c>
      <c r="O559" s="1772">
        <v>116.777</v>
      </c>
      <c r="P559" s="1772">
        <v>116.777</v>
      </c>
      <c r="Q559" s="1772">
        <v>116.777</v>
      </c>
      <c r="R559" s="1772"/>
      <c r="S559" s="1772">
        <v>2740.31</v>
      </c>
      <c r="T559" s="1772">
        <v>144.41999999999999</v>
      </c>
      <c r="U559" s="1772"/>
      <c r="V559" s="1772">
        <v>336870.11520999996</v>
      </c>
      <c r="W559" s="1772">
        <v>336870.11520999996</v>
      </c>
      <c r="X559" s="1772">
        <v>330060.84833999997</v>
      </c>
      <c r="Y559" s="1772">
        <v>0</v>
      </c>
      <c r="Z559" s="1772">
        <v>6238.0928862922483</v>
      </c>
      <c r="AA559" s="1772">
        <v>0</v>
      </c>
      <c r="AB559" s="1772">
        <v>0</v>
      </c>
      <c r="AC559" s="1772">
        <v>0</v>
      </c>
      <c r="AD559" s="1772">
        <v>87893.705342586487</v>
      </c>
      <c r="AE559" s="1772">
        <v>223979.16953426701</v>
      </c>
      <c r="AF559" s="1772">
        <v>16865.147298097261</v>
      </c>
      <c r="AG559" s="1772">
        <v>0</v>
      </c>
      <c r="AH559" s="1772">
        <v>0</v>
      </c>
      <c r="AI559" s="1772">
        <v>0</v>
      </c>
      <c r="AJ559" s="1772">
        <v>0</v>
      </c>
      <c r="AK559" s="1772">
        <v>0</v>
      </c>
      <c r="AL559" s="1772">
        <v>1107.3677568873131</v>
      </c>
      <c r="AM559" s="1772"/>
      <c r="AN559" s="1772">
        <v>58.118185003297235</v>
      </c>
      <c r="AO559" s="1772">
        <v>0</v>
      </c>
      <c r="AP559" s="1772">
        <v>0</v>
      </c>
      <c r="AQ559" s="1772">
        <v>0</v>
      </c>
      <c r="AR559" s="1772">
        <v>0</v>
      </c>
      <c r="AS559" s="1772">
        <v>0</v>
      </c>
      <c r="AT559" s="1772">
        <v>0</v>
      </c>
      <c r="AU559" s="1772">
        <v>0</v>
      </c>
      <c r="AV559" s="1772">
        <v>0</v>
      </c>
      <c r="AW559" s="1772">
        <v>0</v>
      </c>
      <c r="AX559" s="1772">
        <v>0</v>
      </c>
      <c r="AY559" s="1772">
        <v>0</v>
      </c>
      <c r="AZ559" s="1772">
        <v>0</v>
      </c>
      <c r="BA559" s="1772"/>
      <c r="BB559" s="1772">
        <v>0</v>
      </c>
      <c r="BC559" s="1772">
        <v>0</v>
      </c>
      <c r="BD559" s="1772">
        <v>0</v>
      </c>
      <c r="BE559" s="1772">
        <v>0</v>
      </c>
      <c r="BF559" s="1772">
        <v>0</v>
      </c>
      <c r="BG559" s="1772">
        <v>728.52527191978652</v>
      </c>
      <c r="BH559" s="1772">
        <v>0</v>
      </c>
      <c r="BI559" s="1772">
        <v>0</v>
      </c>
      <c r="BJ559" s="1772">
        <v>0</v>
      </c>
      <c r="BK559" s="1772">
        <v>0</v>
      </c>
      <c r="BL559" s="1772">
        <v>0</v>
      </c>
      <c r="BM559" s="1772"/>
      <c r="BN559" s="1772"/>
      <c r="BO559" s="1772"/>
      <c r="BP559" s="1772"/>
      <c r="BQ559" s="1772"/>
      <c r="BR559" s="1772"/>
      <c r="BS559" s="1772"/>
      <c r="BT559" s="1772"/>
      <c r="BU559" s="1772"/>
      <c r="BV559" s="1772">
        <v>17593.672570017046</v>
      </c>
      <c r="BW559" s="1772"/>
      <c r="BX559" s="1772"/>
      <c r="BY559" s="1772"/>
      <c r="BZ559" s="1772"/>
      <c r="CA559" s="1772"/>
      <c r="CB559" s="1772"/>
      <c r="CC559" s="1772"/>
      <c r="CD559" s="1772"/>
      <c r="CE559" s="1772"/>
      <c r="CF559" s="1772"/>
      <c r="CG559" s="1772"/>
      <c r="CH559" s="1772"/>
      <c r="CI559" s="1772">
        <v>330069.32759999996</v>
      </c>
      <c r="CJ559" s="1772">
        <v>-6800.8176100000273</v>
      </c>
      <c r="CK559" s="1772"/>
      <c r="CL559" s="1772"/>
      <c r="CM559" s="1772"/>
      <c r="CN559" s="1772"/>
      <c r="CO559" s="1772">
        <v>-7491.2445500000103</v>
      </c>
      <c r="CP559" s="1772">
        <v>681.97768000000042</v>
      </c>
      <c r="CQ559" s="1772">
        <v>31</v>
      </c>
      <c r="CR559" s="1772">
        <v>3278.790681694154</v>
      </c>
      <c r="CS559" s="1772">
        <v>0</v>
      </c>
      <c r="CT559" s="1772">
        <v>0</v>
      </c>
      <c r="CU559" s="1772">
        <v>0</v>
      </c>
      <c r="CV559" s="1772">
        <v>0</v>
      </c>
      <c r="CW559" s="1772">
        <v>0</v>
      </c>
      <c r="CX559" s="1772">
        <v>0</v>
      </c>
      <c r="CY559" s="1772">
        <v>0</v>
      </c>
      <c r="CZ559" s="1772">
        <v>3678.4703673018084</v>
      </c>
      <c r="DA559" s="1772">
        <v>0</v>
      </c>
      <c r="DB559" s="1772">
        <v>0</v>
      </c>
      <c r="DC559" s="1772">
        <v>681.95343690095251</v>
      </c>
      <c r="DD559" s="1772">
        <v>0</v>
      </c>
      <c r="DE559" s="1772">
        <v>0</v>
      </c>
      <c r="DF559" s="1772">
        <v>0</v>
      </c>
      <c r="DG559" s="1772">
        <v>29.45840343243708</v>
      </c>
      <c r="DH559" s="1772">
        <v>0</v>
      </c>
      <c r="DI559" s="1772">
        <v>-958.36516595982175</v>
      </c>
      <c r="DJ559" s="1772"/>
      <c r="DK559" s="1772">
        <v>0</v>
      </c>
      <c r="DL559" s="1772">
        <v>0</v>
      </c>
      <c r="DM559" s="1772">
        <v>0</v>
      </c>
      <c r="DN559" s="1772">
        <v>0</v>
      </c>
      <c r="DO559" s="1772">
        <v>-145.71249868556333</v>
      </c>
      <c r="DP559" s="1772">
        <v>-7.0138612956641069</v>
      </c>
      <c r="DQ559" s="1772">
        <v>0</v>
      </c>
      <c r="DR559" s="1772">
        <v>0</v>
      </c>
      <c r="DS559" s="1772"/>
      <c r="DT559" s="1772"/>
      <c r="DU559" s="1772"/>
      <c r="DV559" s="1772">
        <v>223979.16953426701</v>
      </c>
      <c r="DW559" s="1772">
        <v>0</v>
      </c>
      <c r="DX559" s="1772">
        <v>0</v>
      </c>
      <c r="DY559" s="1772">
        <v>-7491.2445500000031</v>
      </c>
      <c r="DZ559" s="1772">
        <v>681.97767999999996</v>
      </c>
      <c r="EA559" s="1772">
        <v>0</v>
      </c>
      <c r="EB559" s="1772">
        <v>0</v>
      </c>
      <c r="EC559" s="1772">
        <v>-10087.40148761333</v>
      </c>
      <c r="ED559" s="1772">
        <v>0</v>
      </c>
      <c r="EE559" s="1772">
        <v>0</v>
      </c>
      <c r="EF559" s="1772">
        <v>0</v>
      </c>
      <c r="EG559" s="1772">
        <v>0</v>
      </c>
      <c r="EH559" s="1772">
        <v>0</v>
      </c>
      <c r="EI559" s="1772">
        <v>0</v>
      </c>
      <c r="EJ559" s="1772">
        <v>0</v>
      </c>
      <c r="EK559" s="1772">
        <v>0</v>
      </c>
      <c r="EL559" s="1772">
        <v>0</v>
      </c>
      <c r="EM559" s="1772">
        <v>0</v>
      </c>
      <c r="EN559" s="1772">
        <v>0</v>
      </c>
      <c r="EO559" s="1772">
        <v>0</v>
      </c>
      <c r="EP559" s="1772">
        <v>0</v>
      </c>
      <c r="EQ559" s="1772">
        <v>0</v>
      </c>
      <c r="ER559" s="1772">
        <v>0</v>
      </c>
      <c r="ES559" s="1772">
        <v>0</v>
      </c>
      <c r="ET559" s="1772">
        <v>0</v>
      </c>
      <c r="EU559" s="1772">
        <v>0</v>
      </c>
      <c r="EV559" s="1772">
        <v>225</v>
      </c>
      <c r="EW559" s="1772">
        <v>0</v>
      </c>
      <c r="EX559" s="1772">
        <v>0</v>
      </c>
      <c r="EY559" s="1772">
        <v>0</v>
      </c>
      <c r="EZ559" s="1772"/>
      <c r="FA559" s="1772">
        <v>0</v>
      </c>
      <c r="FB559" s="1772"/>
      <c r="FC559" s="1772"/>
      <c r="FD559" s="1772"/>
      <c r="FE559" s="1772"/>
      <c r="FF559" s="1772">
        <v>0</v>
      </c>
      <c r="FG559" s="1772">
        <v>0</v>
      </c>
      <c r="FH559" s="1772">
        <v>0</v>
      </c>
      <c r="FI559" s="1772">
        <v>0</v>
      </c>
    </row>
    <row r="560" spans="1:165">
      <c r="A560" s="1772">
        <v>558</v>
      </c>
      <c r="B560" s="1772" t="s">
        <v>2379</v>
      </c>
      <c r="C560" s="1772" t="s">
        <v>2366</v>
      </c>
      <c r="D560" s="1772" t="s">
        <v>534</v>
      </c>
      <c r="E560" s="1772" t="s">
        <v>891</v>
      </c>
      <c r="F560" s="1772" t="s">
        <v>1240</v>
      </c>
      <c r="G560" s="1772" t="s">
        <v>1240</v>
      </c>
      <c r="H560" s="1772" t="s">
        <v>1240</v>
      </c>
      <c r="I560" s="1772" t="s">
        <v>894</v>
      </c>
      <c r="J560" s="1772" t="s">
        <v>2358</v>
      </c>
      <c r="K560" s="1773">
        <v>44774</v>
      </c>
      <c r="L560" s="1772">
        <v>0</v>
      </c>
      <c r="M560" s="1772">
        <v>0</v>
      </c>
      <c r="N560" s="1772">
        <v>0.27500000000000002</v>
      </c>
      <c r="O560" s="1772">
        <v>0.27500000000000002</v>
      </c>
      <c r="P560" s="1772">
        <v>0.27500000000000002</v>
      </c>
      <c r="Q560" s="1772">
        <v>0.27500000000000002</v>
      </c>
      <c r="R560" s="1772"/>
      <c r="S560" s="1772">
        <v>2740.31</v>
      </c>
      <c r="T560" s="1772">
        <v>144.41999999999999</v>
      </c>
      <c r="U560" s="1772"/>
      <c r="V560" s="1772">
        <v>793.30075000000011</v>
      </c>
      <c r="W560" s="1772">
        <v>793.30075000000011</v>
      </c>
      <c r="X560" s="1772">
        <v>777.26550000000009</v>
      </c>
      <c r="Y560" s="1772">
        <v>0</v>
      </c>
      <c r="Z560" s="1772">
        <v>14.690183372841984</v>
      </c>
      <c r="AA560" s="1772">
        <v>0</v>
      </c>
      <c r="AB560" s="1772">
        <v>0</v>
      </c>
      <c r="AC560" s="1772">
        <v>0</v>
      </c>
      <c r="AD560" s="1772">
        <v>206.98227364302292</v>
      </c>
      <c r="AE560" s="1772">
        <v>527.45208064878727</v>
      </c>
      <c r="AF560" s="1772">
        <v>39.716001498383648</v>
      </c>
      <c r="AG560" s="1772">
        <v>0</v>
      </c>
      <c r="AH560" s="1772">
        <v>0</v>
      </c>
      <c r="AI560" s="1772">
        <v>0</v>
      </c>
      <c r="AJ560" s="1772">
        <v>0</v>
      </c>
      <c r="AK560" s="1772">
        <v>0</v>
      </c>
      <c r="AL560" s="1772">
        <v>2.6077578045677758</v>
      </c>
      <c r="AM560" s="1772"/>
      <c r="AN560" s="1772">
        <v>0.13686343094878906</v>
      </c>
      <c r="AO560" s="1772">
        <v>0</v>
      </c>
      <c r="AP560" s="1772">
        <v>0</v>
      </c>
      <c r="AQ560" s="1772">
        <v>0</v>
      </c>
      <c r="AR560" s="1772">
        <v>0</v>
      </c>
      <c r="AS560" s="1772">
        <v>0</v>
      </c>
      <c r="AT560" s="1772">
        <v>0</v>
      </c>
      <c r="AU560" s="1772">
        <v>0</v>
      </c>
      <c r="AV560" s="1772">
        <v>0</v>
      </c>
      <c r="AW560" s="1772">
        <v>0</v>
      </c>
      <c r="AX560" s="1772">
        <v>0</v>
      </c>
      <c r="AY560" s="1772">
        <v>0</v>
      </c>
      <c r="AZ560" s="1772">
        <v>0</v>
      </c>
      <c r="BA560" s="1772"/>
      <c r="BB560" s="1772">
        <v>0</v>
      </c>
      <c r="BC560" s="1772">
        <v>0</v>
      </c>
      <c r="BD560" s="1772">
        <v>0</v>
      </c>
      <c r="BE560" s="1772">
        <v>0</v>
      </c>
      <c r="BF560" s="1772">
        <v>0</v>
      </c>
      <c r="BG560" s="1772">
        <v>1.7156156587165394</v>
      </c>
      <c r="BH560" s="1772">
        <v>0</v>
      </c>
      <c r="BI560" s="1772">
        <v>0</v>
      </c>
      <c r="BJ560" s="1772">
        <v>0</v>
      </c>
      <c r="BK560" s="1772">
        <v>0</v>
      </c>
      <c r="BL560" s="1772">
        <v>0</v>
      </c>
      <c r="BM560" s="1772"/>
      <c r="BN560" s="1772"/>
      <c r="BO560" s="1772"/>
      <c r="BP560" s="1772"/>
      <c r="BQ560" s="1772"/>
      <c r="BR560" s="1772"/>
      <c r="BS560" s="1772"/>
      <c r="BT560" s="1772"/>
      <c r="BU560" s="1772"/>
      <c r="BV560" s="1772">
        <v>41.431617157100185</v>
      </c>
      <c r="BW560" s="1772"/>
      <c r="BX560" s="1772"/>
      <c r="BY560" s="1772"/>
      <c r="BZ560" s="1772"/>
      <c r="CA560" s="1772"/>
      <c r="CB560" s="1772"/>
      <c r="CC560" s="1772"/>
      <c r="CD560" s="1772"/>
      <c r="CE560" s="1772"/>
      <c r="CF560" s="1772"/>
      <c r="CG560" s="1772"/>
      <c r="CH560" s="1772"/>
      <c r="CI560" s="1772">
        <v>791.39760000000001</v>
      </c>
      <c r="CJ560" s="1772">
        <v>-1.9331500000000688</v>
      </c>
      <c r="CK560" s="1772"/>
      <c r="CL560" s="1772"/>
      <c r="CM560" s="1772"/>
      <c r="CN560" s="1772"/>
      <c r="CO560" s="1772">
        <v>-17.641250000000028</v>
      </c>
      <c r="CP560" s="1772">
        <v>1.606000000000001</v>
      </c>
      <c r="CQ560" s="1772">
        <v>31</v>
      </c>
      <c r="CR560" s="1772">
        <v>7.7212759144856591</v>
      </c>
      <c r="CS560" s="1772">
        <v>0</v>
      </c>
      <c r="CT560" s="1772">
        <v>0</v>
      </c>
      <c r="CU560" s="1772">
        <v>0</v>
      </c>
      <c r="CV560" s="1772">
        <v>0</v>
      </c>
      <c r="CW560" s="1772">
        <v>0</v>
      </c>
      <c r="CX560" s="1772">
        <v>0</v>
      </c>
      <c r="CY560" s="1772">
        <v>0</v>
      </c>
      <c r="CZ560" s="1772">
        <v>8.6624879129280146</v>
      </c>
      <c r="DA560" s="1772">
        <v>0</v>
      </c>
      <c r="DB560" s="1772">
        <v>0</v>
      </c>
      <c r="DC560" s="1772">
        <v>1.6059429095435078</v>
      </c>
      <c r="DD560" s="1772">
        <v>0</v>
      </c>
      <c r="DE560" s="1772">
        <v>0</v>
      </c>
      <c r="DF560" s="1772">
        <v>0</v>
      </c>
      <c r="DG560" s="1772">
        <v>6.9372059086294291E-2</v>
      </c>
      <c r="DH560" s="1772">
        <v>0</v>
      </c>
      <c r="DI560" s="1772">
        <v>-2.2568692519841331</v>
      </c>
      <c r="DJ560" s="1772"/>
      <c r="DK560" s="1772">
        <v>0</v>
      </c>
      <c r="DL560" s="1772">
        <v>0</v>
      </c>
      <c r="DM560" s="1772">
        <v>0</v>
      </c>
      <c r="DN560" s="1772">
        <v>0</v>
      </c>
      <c r="DO560" s="1772">
        <v>-0.34314066244662822</v>
      </c>
      <c r="DP560" s="1772">
        <v>-1.6517052641424487E-2</v>
      </c>
      <c r="DQ560" s="1772">
        <v>0</v>
      </c>
      <c r="DR560" s="1772">
        <v>0</v>
      </c>
      <c r="DS560" s="1772"/>
      <c r="DT560" s="1772"/>
      <c r="DU560" s="1772"/>
      <c r="DV560" s="1772">
        <v>527.45208064878727</v>
      </c>
      <c r="DW560" s="1772">
        <v>0</v>
      </c>
      <c r="DX560" s="1772">
        <v>0</v>
      </c>
      <c r="DY560" s="1772">
        <v>-17.641250000000014</v>
      </c>
      <c r="DZ560" s="1772">
        <v>1.6060000000000016</v>
      </c>
      <c r="EA560" s="1772">
        <v>0</v>
      </c>
      <c r="EB560" s="1772">
        <v>0</v>
      </c>
      <c r="EC560" s="1772">
        <v>-23.754980938829249</v>
      </c>
      <c r="ED560" s="1772">
        <v>0</v>
      </c>
      <c r="EE560" s="1772">
        <v>0</v>
      </c>
      <c r="EF560" s="1772">
        <v>0</v>
      </c>
      <c r="EG560" s="1772">
        <v>0</v>
      </c>
      <c r="EH560" s="1772">
        <v>0</v>
      </c>
      <c r="EI560" s="1772">
        <v>0</v>
      </c>
      <c r="EJ560" s="1772">
        <v>0</v>
      </c>
      <c r="EK560" s="1772">
        <v>0</v>
      </c>
      <c r="EL560" s="1772">
        <v>0</v>
      </c>
      <c r="EM560" s="1772">
        <v>0</v>
      </c>
      <c r="EN560" s="1772">
        <v>0</v>
      </c>
      <c r="EO560" s="1772">
        <v>0</v>
      </c>
      <c r="EP560" s="1772">
        <v>0</v>
      </c>
      <c r="EQ560" s="1772">
        <v>0</v>
      </c>
      <c r="ER560" s="1772">
        <v>0</v>
      </c>
      <c r="ES560" s="1772">
        <v>0</v>
      </c>
      <c r="ET560" s="1772">
        <v>0</v>
      </c>
      <c r="EU560" s="1772">
        <v>0</v>
      </c>
      <c r="EV560" s="1772">
        <v>225</v>
      </c>
      <c r="EW560" s="1772">
        <v>0</v>
      </c>
      <c r="EX560" s="1772">
        <v>0</v>
      </c>
      <c r="EY560" s="1772">
        <v>0</v>
      </c>
      <c r="EZ560" s="1772"/>
      <c r="FA560" s="1772">
        <v>0</v>
      </c>
      <c r="FB560" s="1772"/>
      <c r="FC560" s="1772"/>
      <c r="FD560" s="1772"/>
      <c r="FE560" s="1772"/>
      <c r="FF560" s="1772">
        <v>0</v>
      </c>
      <c r="FG560" s="1772">
        <v>0</v>
      </c>
      <c r="FH560" s="1772">
        <v>0</v>
      </c>
      <c r="FI560" s="1772">
        <v>0</v>
      </c>
    </row>
    <row r="561" spans="1:165">
      <c r="A561" s="1772">
        <v>559</v>
      </c>
      <c r="B561" s="1772" t="s">
        <v>2379</v>
      </c>
      <c r="C561" s="1772" t="s">
        <v>2366</v>
      </c>
      <c r="D561" s="1772" t="s">
        <v>534</v>
      </c>
      <c r="E561" s="1772" t="s">
        <v>891</v>
      </c>
      <c r="F561" s="1772" t="s">
        <v>1240</v>
      </c>
      <c r="G561" s="1772" t="s">
        <v>1240</v>
      </c>
      <c r="H561" s="1772" t="s">
        <v>1240</v>
      </c>
      <c r="I561" s="1772" t="s">
        <v>2328</v>
      </c>
      <c r="J561" s="1772" t="s">
        <v>2358</v>
      </c>
      <c r="K561" s="1773">
        <v>44774</v>
      </c>
      <c r="L561" s="1772">
        <v>0</v>
      </c>
      <c r="M561" s="1772">
        <v>0</v>
      </c>
      <c r="N561" s="1772">
        <v>5803.6809999999996</v>
      </c>
      <c r="O561" s="1772">
        <v>5803.6809999999996</v>
      </c>
      <c r="P561" s="1772">
        <v>5803.6809999999996</v>
      </c>
      <c r="Q561" s="1772">
        <v>5803.6809999999996</v>
      </c>
      <c r="R561" s="1772"/>
      <c r="S561" s="1772">
        <v>69.64</v>
      </c>
      <c r="T561" s="1772">
        <v>144.41999999999999</v>
      </c>
      <c r="U561" s="1772"/>
      <c r="V561" s="1772">
        <v>1242335.9548599999</v>
      </c>
      <c r="W561" s="1772">
        <v>1242335.9548599999</v>
      </c>
      <c r="X561" s="1772">
        <v>1222487.3658399999</v>
      </c>
      <c r="Y561" s="1772">
        <v>0</v>
      </c>
      <c r="Z561" s="1772">
        <v>310025.95682719612</v>
      </c>
      <c r="AA561" s="1772">
        <v>0</v>
      </c>
      <c r="AB561" s="1772">
        <v>0</v>
      </c>
      <c r="AC561" s="1772">
        <v>0</v>
      </c>
      <c r="AD561" s="1772">
        <v>0</v>
      </c>
      <c r="AE561" s="1772">
        <v>0</v>
      </c>
      <c r="AF561" s="1772">
        <v>838178.19378960249</v>
      </c>
      <c r="AG561" s="1772">
        <v>0</v>
      </c>
      <c r="AH561" s="1772">
        <v>0</v>
      </c>
      <c r="AI561" s="1772">
        <v>0</v>
      </c>
      <c r="AJ561" s="1772">
        <v>0</v>
      </c>
      <c r="AK561" s="1772">
        <v>0</v>
      </c>
      <c r="AL561" s="1772">
        <v>55034.888810806224</v>
      </c>
      <c r="AM561" s="1772"/>
      <c r="AN561" s="1772">
        <v>2888.4061592447233</v>
      </c>
      <c r="AO561" s="1772">
        <v>0</v>
      </c>
      <c r="AP561" s="1772">
        <v>0</v>
      </c>
      <c r="AQ561" s="1772">
        <v>0</v>
      </c>
      <c r="AR561" s="1772">
        <v>0</v>
      </c>
      <c r="AS561" s="1772">
        <v>0</v>
      </c>
      <c r="AT561" s="1772">
        <v>0</v>
      </c>
      <c r="AU561" s="1772">
        <v>0</v>
      </c>
      <c r="AV561" s="1772">
        <v>0</v>
      </c>
      <c r="AW561" s="1772">
        <v>0</v>
      </c>
      <c r="AX561" s="1772">
        <v>0</v>
      </c>
      <c r="AY561" s="1772">
        <v>0</v>
      </c>
      <c r="AZ561" s="1772">
        <v>0</v>
      </c>
      <c r="BA561" s="1772"/>
      <c r="BB561" s="1772">
        <v>0</v>
      </c>
      <c r="BC561" s="1772">
        <v>0</v>
      </c>
      <c r="BD561" s="1772">
        <v>0</v>
      </c>
      <c r="BE561" s="1772">
        <v>0</v>
      </c>
      <c r="BF561" s="1772">
        <v>0</v>
      </c>
      <c r="BG561" s="1772">
        <v>36206.858188347862</v>
      </c>
      <c r="BH561" s="1772">
        <v>0</v>
      </c>
      <c r="BI561" s="1772">
        <v>0</v>
      </c>
      <c r="BJ561" s="1772">
        <v>0</v>
      </c>
      <c r="BK561" s="1772">
        <v>0</v>
      </c>
      <c r="BL561" s="1772">
        <v>0</v>
      </c>
      <c r="BM561" s="1772"/>
      <c r="BN561" s="1772"/>
      <c r="BO561" s="1772"/>
      <c r="BP561" s="1772"/>
      <c r="BQ561" s="1772"/>
      <c r="BR561" s="1772"/>
      <c r="BS561" s="1772"/>
      <c r="BT561" s="1772"/>
      <c r="BU561" s="1772"/>
      <c r="BV561" s="1772">
        <v>874385.05197795038</v>
      </c>
      <c r="BW561" s="1772"/>
      <c r="BX561" s="1772"/>
      <c r="BY561" s="1772"/>
      <c r="BZ561" s="1772"/>
      <c r="CA561" s="1772"/>
      <c r="CB561" s="1772"/>
      <c r="CC561" s="1772"/>
      <c r="CD561" s="1772"/>
      <c r="CE561" s="1772"/>
      <c r="CF561" s="1772"/>
      <c r="CG561" s="1772"/>
      <c r="CH561" s="1772"/>
      <c r="CI561" s="1772">
        <v>1222487.1552000002</v>
      </c>
      <c r="CJ561" s="1772">
        <v>-19848.829659999814</v>
      </c>
      <c r="CK561" s="1772"/>
      <c r="CL561" s="1772"/>
      <c r="CM561" s="1772"/>
      <c r="CN561" s="1772"/>
      <c r="CO561" s="1772">
        <v>-53742.086059999987</v>
      </c>
      <c r="CP561" s="1772">
        <v>33893.497040000017</v>
      </c>
      <c r="CQ561" s="1772">
        <v>31</v>
      </c>
      <c r="CR561" s="1772">
        <v>-19863.615244843764</v>
      </c>
      <c r="CS561" s="1772">
        <v>0</v>
      </c>
      <c r="CT561" s="1772">
        <v>0</v>
      </c>
      <c r="CU561" s="1772">
        <v>0</v>
      </c>
      <c r="CV561" s="1772">
        <v>0</v>
      </c>
      <c r="CW561" s="1772">
        <v>0</v>
      </c>
      <c r="CX561" s="1772">
        <v>0</v>
      </c>
      <c r="CY561" s="1772">
        <v>0</v>
      </c>
      <c r="CZ561" s="1772">
        <v>0</v>
      </c>
      <c r="DA561" s="1772">
        <v>0</v>
      </c>
      <c r="DB561" s="1772">
        <v>0</v>
      </c>
      <c r="DC561" s="1772">
        <v>33892.292186190374</v>
      </c>
      <c r="DD561" s="1772">
        <v>0</v>
      </c>
      <c r="DE561" s="1772">
        <v>0</v>
      </c>
      <c r="DF561" s="1772">
        <v>0</v>
      </c>
      <c r="DG561" s="1772">
        <v>1464.0483681818296</v>
      </c>
      <c r="DH561" s="1772">
        <v>0</v>
      </c>
      <c r="DI561" s="1772">
        <v>-47629.633444452833</v>
      </c>
      <c r="DJ561" s="1772"/>
      <c r="DK561" s="1772">
        <v>0</v>
      </c>
      <c r="DL561" s="1772">
        <v>0</v>
      </c>
      <c r="DM561" s="1772">
        <v>0</v>
      </c>
      <c r="DN561" s="1772">
        <v>0</v>
      </c>
      <c r="DO561" s="1772">
        <v>-7241.741610796038</v>
      </c>
      <c r="DP561" s="1772">
        <v>-348.58074396740039</v>
      </c>
      <c r="DQ561" s="1772">
        <v>0</v>
      </c>
      <c r="DR561" s="1772">
        <v>0</v>
      </c>
      <c r="DS561" s="1772"/>
      <c r="DT561" s="1772"/>
      <c r="DU561" s="1772"/>
      <c r="DV561" s="1772">
        <v>0</v>
      </c>
      <c r="DW561" s="1772">
        <v>0</v>
      </c>
      <c r="DX561" s="1772">
        <v>0</v>
      </c>
      <c r="DY561" s="1772">
        <v>-53742.086060000001</v>
      </c>
      <c r="DZ561" s="1772">
        <v>33893.497039999929</v>
      </c>
      <c r="EA561" s="1772">
        <v>0</v>
      </c>
      <c r="EB561" s="1772">
        <v>0</v>
      </c>
      <c r="EC561" s="1772">
        <v>0</v>
      </c>
      <c r="ED561" s="1772">
        <v>0</v>
      </c>
      <c r="EE561" s="1772">
        <v>0</v>
      </c>
      <c r="EF561" s="1772">
        <v>0</v>
      </c>
      <c r="EG561" s="1772">
        <v>0</v>
      </c>
      <c r="EH561" s="1772">
        <v>0</v>
      </c>
      <c r="EI561" s="1772">
        <v>0</v>
      </c>
      <c r="EJ561" s="1772">
        <v>0</v>
      </c>
      <c r="EK561" s="1772">
        <v>0</v>
      </c>
      <c r="EL561" s="1772">
        <v>0</v>
      </c>
      <c r="EM561" s="1772">
        <v>0</v>
      </c>
      <c r="EN561" s="1772">
        <v>0</v>
      </c>
      <c r="EO561" s="1772">
        <v>0</v>
      </c>
      <c r="EP561" s="1772">
        <v>0</v>
      </c>
      <c r="EQ561" s="1772">
        <v>0</v>
      </c>
      <c r="ER561" s="1772">
        <v>0</v>
      </c>
      <c r="ES561" s="1772">
        <v>0</v>
      </c>
      <c r="ET561" s="1772">
        <v>0</v>
      </c>
      <c r="EU561" s="1772">
        <v>0</v>
      </c>
      <c r="EV561" s="1772">
        <v>225</v>
      </c>
      <c r="EW561" s="1772">
        <v>0</v>
      </c>
      <c r="EX561" s="1772">
        <v>0</v>
      </c>
      <c r="EY561" s="1772">
        <v>0</v>
      </c>
      <c r="EZ561" s="1772"/>
      <c r="FA561" s="1772">
        <v>0</v>
      </c>
      <c r="FB561" s="1772"/>
      <c r="FC561" s="1772"/>
      <c r="FD561" s="1772"/>
      <c r="FE561" s="1772"/>
      <c r="FF561" s="1772">
        <v>0</v>
      </c>
      <c r="FG561" s="1772">
        <v>0</v>
      </c>
      <c r="FH561" s="1772">
        <v>0</v>
      </c>
      <c r="FI561" s="1772">
        <v>0</v>
      </c>
    </row>
    <row r="562" spans="1:165">
      <c r="A562" s="1772">
        <v>560</v>
      </c>
      <c r="B562" s="1772" t="s">
        <v>2379</v>
      </c>
      <c r="C562" s="1772" t="s">
        <v>2366</v>
      </c>
      <c r="D562" s="1772" t="s">
        <v>534</v>
      </c>
      <c r="E562" s="1772" t="s">
        <v>891</v>
      </c>
      <c r="F562" s="1772" t="s">
        <v>1240</v>
      </c>
      <c r="G562" s="1772" t="s">
        <v>1240</v>
      </c>
      <c r="H562" s="1772" t="s">
        <v>1240</v>
      </c>
      <c r="I562" s="1772" t="s">
        <v>2328</v>
      </c>
      <c r="J562" s="1772" t="s">
        <v>2358</v>
      </c>
      <c r="K562" s="1773">
        <v>44774</v>
      </c>
      <c r="L562" s="1772">
        <v>0</v>
      </c>
      <c r="M562" s="1772">
        <v>0</v>
      </c>
      <c r="N562" s="1772">
        <v>6.0250000000000004</v>
      </c>
      <c r="O562" s="1772">
        <v>6.0250000000000004</v>
      </c>
      <c r="P562" s="1772">
        <v>6.0250000000000004</v>
      </c>
      <c r="Q562" s="1772">
        <v>6.0250000000000004</v>
      </c>
      <c r="R562" s="1772"/>
      <c r="S562" s="1772">
        <v>69.64</v>
      </c>
      <c r="T562" s="1772">
        <v>144.41999999999999</v>
      </c>
      <c r="U562" s="1772"/>
      <c r="V562" s="1772">
        <v>1289.7114999999999</v>
      </c>
      <c r="W562" s="1772">
        <v>1289.7114999999999</v>
      </c>
      <c r="X562" s="1772">
        <v>1269.106</v>
      </c>
      <c r="Y562" s="1772">
        <v>0</v>
      </c>
      <c r="Z562" s="1772">
        <v>321.84856298681075</v>
      </c>
      <c r="AA562" s="1772">
        <v>0</v>
      </c>
      <c r="AB562" s="1772">
        <v>0</v>
      </c>
      <c r="AC562" s="1772">
        <v>0</v>
      </c>
      <c r="AD562" s="1772">
        <v>0</v>
      </c>
      <c r="AE562" s="1772">
        <v>0</v>
      </c>
      <c r="AF562" s="1772">
        <v>870.14148737367816</v>
      </c>
      <c r="AG562" s="1772">
        <v>0</v>
      </c>
      <c r="AH562" s="1772">
        <v>0</v>
      </c>
      <c r="AI562" s="1772">
        <v>0</v>
      </c>
      <c r="AJ562" s="1772">
        <v>0</v>
      </c>
      <c r="AK562" s="1772">
        <v>0</v>
      </c>
      <c r="AL562" s="1772">
        <v>57.133602809166725</v>
      </c>
      <c r="AM562" s="1772"/>
      <c r="AN562" s="1772">
        <v>2.9985533507871058</v>
      </c>
      <c r="AO562" s="1772">
        <v>0</v>
      </c>
      <c r="AP562" s="1772">
        <v>0</v>
      </c>
      <c r="AQ562" s="1772">
        <v>0</v>
      </c>
      <c r="AR562" s="1772">
        <v>0</v>
      </c>
      <c r="AS562" s="1772">
        <v>0</v>
      </c>
      <c r="AT562" s="1772">
        <v>0</v>
      </c>
      <c r="AU562" s="1772">
        <v>0</v>
      </c>
      <c r="AV562" s="1772">
        <v>0</v>
      </c>
      <c r="AW562" s="1772">
        <v>0</v>
      </c>
      <c r="AX562" s="1772">
        <v>0</v>
      </c>
      <c r="AY562" s="1772">
        <v>0</v>
      </c>
      <c r="AZ562" s="1772">
        <v>0</v>
      </c>
      <c r="BA562" s="1772"/>
      <c r="BB562" s="1772">
        <v>0</v>
      </c>
      <c r="BC562" s="1772">
        <v>0</v>
      </c>
      <c r="BD562" s="1772">
        <v>0</v>
      </c>
      <c r="BE562" s="1772">
        <v>0</v>
      </c>
      <c r="BF562" s="1772">
        <v>0</v>
      </c>
      <c r="BG562" s="1772">
        <v>37.587579431880542</v>
      </c>
      <c r="BH562" s="1772">
        <v>0</v>
      </c>
      <c r="BI562" s="1772">
        <v>0</v>
      </c>
      <c r="BJ562" s="1772">
        <v>0</v>
      </c>
      <c r="BK562" s="1772">
        <v>0</v>
      </c>
      <c r="BL562" s="1772">
        <v>0</v>
      </c>
      <c r="BM562" s="1772"/>
      <c r="BN562" s="1772"/>
      <c r="BO562" s="1772"/>
      <c r="BP562" s="1772"/>
      <c r="BQ562" s="1772"/>
      <c r="BR562" s="1772"/>
      <c r="BS562" s="1772"/>
      <c r="BT562" s="1772"/>
      <c r="BU562" s="1772"/>
      <c r="BV562" s="1772">
        <v>907.72906680555866</v>
      </c>
      <c r="BW562" s="1772"/>
      <c r="BX562" s="1772"/>
      <c r="BY562" s="1772"/>
      <c r="BZ562" s="1772"/>
      <c r="CA562" s="1772"/>
      <c r="CB562" s="1772"/>
      <c r="CC562" s="1772"/>
      <c r="CD562" s="1772"/>
      <c r="CE562" s="1772"/>
      <c r="CF562" s="1772"/>
      <c r="CG562" s="1772"/>
      <c r="CH562" s="1772"/>
      <c r="CI562" s="1772">
        <v>1270.1592000000001</v>
      </c>
      <c r="CJ562" s="1772">
        <v>-19.582299999999805</v>
      </c>
      <c r="CK562" s="1772"/>
      <c r="CL562" s="1772"/>
      <c r="CM562" s="1772"/>
      <c r="CN562" s="1772"/>
      <c r="CO562" s="1772">
        <v>-55.791499999999992</v>
      </c>
      <c r="CP562" s="1772">
        <v>35.186000000000021</v>
      </c>
      <c r="CQ562" s="1772">
        <v>31</v>
      </c>
      <c r="CR562" s="1772">
        <v>-20.621099238601573</v>
      </c>
      <c r="CS562" s="1772">
        <v>0</v>
      </c>
      <c r="CT562" s="1772">
        <v>0</v>
      </c>
      <c r="CU562" s="1772">
        <v>0</v>
      </c>
      <c r="CV562" s="1772">
        <v>0</v>
      </c>
      <c r="CW562" s="1772">
        <v>0</v>
      </c>
      <c r="CX562" s="1772">
        <v>0</v>
      </c>
      <c r="CY562" s="1772">
        <v>0</v>
      </c>
      <c r="CZ562" s="1772">
        <v>0</v>
      </c>
      <c r="DA562" s="1772">
        <v>0</v>
      </c>
      <c r="DB562" s="1772">
        <v>0</v>
      </c>
      <c r="DC562" s="1772">
        <v>35.184749199998578</v>
      </c>
      <c r="DD562" s="1772">
        <v>0</v>
      </c>
      <c r="DE562" s="1772">
        <v>0</v>
      </c>
      <c r="DF562" s="1772">
        <v>0</v>
      </c>
      <c r="DG562" s="1772">
        <v>1.519878749072447</v>
      </c>
      <c r="DH562" s="1772">
        <v>0</v>
      </c>
      <c r="DI562" s="1772">
        <v>-49.445953611652385</v>
      </c>
      <c r="DJ562" s="1772"/>
      <c r="DK562" s="1772">
        <v>0</v>
      </c>
      <c r="DL562" s="1772">
        <v>0</v>
      </c>
      <c r="DM562" s="1772">
        <v>0</v>
      </c>
      <c r="DN562" s="1772">
        <v>0</v>
      </c>
      <c r="DO562" s="1772">
        <v>-7.5178999681488605</v>
      </c>
      <c r="DP562" s="1772">
        <v>-0.36187360787120948</v>
      </c>
      <c r="DQ562" s="1772">
        <v>0</v>
      </c>
      <c r="DR562" s="1772">
        <v>0</v>
      </c>
      <c r="DS562" s="1772"/>
      <c r="DT562" s="1772"/>
      <c r="DU562" s="1772"/>
      <c r="DV562" s="1772">
        <v>0</v>
      </c>
      <c r="DW562" s="1772">
        <v>0</v>
      </c>
      <c r="DX562" s="1772">
        <v>0</v>
      </c>
      <c r="DY562" s="1772">
        <v>-55.791499999999985</v>
      </c>
      <c r="DZ562" s="1772">
        <v>35.186000000000035</v>
      </c>
      <c r="EA562" s="1772">
        <v>0</v>
      </c>
      <c r="EB562" s="1772">
        <v>0</v>
      </c>
      <c r="EC562" s="1772">
        <v>0</v>
      </c>
      <c r="ED562" s="1772">
        <v>0</v>
      </c>
      <c r="EE562" s="1772">
        <v>0</v>
      </c>
      <c r="EF562" s="1772">
        <v>0</v>
      </c>
      <c r="EG562" s="1772">
        <v>0</v>
      </c>
      <c r="EH562" s="1772">
        <v>0</v>
      </c>
      <c r="EI562" s="1772">
        <v>0</v>
      </c>
      <c r="EJ562" s="1772">
        <v>0</v>
      </c>
      <c r="EK562" s="1772">
        <v>0</v>
      </c>
      <c r="EL562" s="1772">
        <v>0</v>
      </c>
      <c r="EM562" s="1772">
        <v>0</v>
      </c>
      <c r="EN562" s="1772">
        <v>0</v>
      </c>
      <c r="EO562" s="1772">
        <v>0</v>
      </c>
      <c r="EP562" s="1772">
        <v>0</v>
      </c>
      <c r="EQ562" s="1772">
        <v>0</v>
      </c>
      <c r="ER562" s="1772">
        <v>0</v>
      </c>
      <c r="ES562" s="1772">
        <v>0</v>
      </c>
      <c r="ET562" s="1772">
        <v>0</v>
      </c>
      <c r="EU562" s="1772">
        <v>0</v>
      </c>
      <c r="EV562" s="1772">
        <v>225</v>
      </c>
      <c r="EW562" s="1772">
        <v>0</v>
      </c>
      <c r="EX562" s="1772">
        <v>0</v>
      </c>
      <c r="EY562" s="1772">
        <v>0</v>
      </c>
      <c r="EZ562" s="1772"/>
      <c r="FA562" s="1772">
        <v>0</v>
      </c>
      <c r="FB562" s="1772"/>
      <c r="FC562" s="1772"/>
      <c r="FD562" s="1772"/>
      <c r="FE562" s="1772"/>
      <c r="FF562" s="1772">
        <v>0</v>
      </c>
      <c r="FG562" s="1772">
        <v>0</v>
      </c>
      <c r="FH562" s="1772">
        <v>0</v>
      </c>
      <c r="FI562" s="1772">
        <v>0</v>
      </c>
    </row>
    <row r="563" spans="1:165">
      <c r="A563" s="1772">
        <v>561</v>
      </c>
      <c r="B563" s="1772" t="s">
        <v>2379</v>
      </c>
      <c r="C563" s="1772" t="s">
        <v>2366</v>
      </c>
      <c r="D563" s="1772" t="s">
        <v>534</v>
      </c>
      <c r="E563" s="1772" t="s">
        <v>891</v>
      </c>
      <c r="F563" s="1772" t="s">
        <v>1240</v>
      </c>
      <c r="G563" s="1772" t="s">
        <v>1240</v>
      </c>
      <c r="H563" s="1772" t="s">
        <v>1240</v>
      </c>
      <c r="I563" s="1772" t="s">
        <v>1240</v>
      </c>
      <c r="J563" s="1772" t="s">
        <v>2358</v>
      </c>
      <c r="K563" s="1773">
        <v>44774</v>
      </c>
      <c r="L563" s="1772">
        <v>21750</v>
      </c>
      <c r="M563" s="1772">
        <v>21750</v>
      </c>
      <c r="N563" s="1772">
        <v>0</v>
      </c>
      <c r="O563" s="1772">
        <v>0</v>
      </c>
      <c r="P563" s="1772">
        <v>0</v>
      </c>
      <c r="Q563" s="1772">
        <v>0</v>
      </c>
      <c r="R563" s="1772">
        <v>34.950000000000003</v>
      </c>
      <c r="S563" s="1772"/>
      <c r="T563" s="1772"/>
      <c r="U563" s="1772">
        <v>760162.50000000012</v>
      </c>
      <c r="V563" s="1772"/>
      <c r="W563" s="1772">
        <v>760162.50000000012</v>
      </c>
      <c r="X563" s="1772">
        <v>749939.99999999988</v>
      </c>
      <c r="Y563" s="1772">
        <v>0</v>
      </c>
      <c r="Z563" s="1772">
        <v>0</v>
      </c>
      <c r="AA563" s="1772">
        <v>0</v>
      </c>
      <c r="AB563" s="1772">
        <v>0</v>
      </c>
      <c r="AC563" s="1772">
        <v>0</v>
      </c>
      <c r="AD563" s="1772">
        <v>275567.70437375474</v>
      </c>
      <c r="AE563" s="1772">
        <v>484694.57383890427</v>
      </c>
      <c r="AF563" s="1772"/>
      <c r="AG563" s="1772"/>
      <c r="AH563" s="1772"/>
      <c r="AI563" s="1772">
        <v>0</v>
      </c>
      <c r="AJ563" s="1772">
        <v>0</v>
      </c>
      <c r="AK563" s="1772">
        <v>0</v>
      </c>
      <c r="AL563" s="1772">
        <v>0</v>
      </c>
      <c r="AM563" s="1772"/>
      <c r="AN563" s="1772">
        <v>0</v>
      </c>
      <c r="AO563" s="1772">
        <v>0</v>
      </c>
      <c r="AP563" s="1772">
        <v>0</v>
      </c>
      <c r="AQ563" s="1772">
        <v>0</v>
      </c>
      <c r="AR563" s="1772">
        <v>0</v>
      </c>
      <c r="AS563" s="1772"/>
      <c r="AT563" s="1772"/>
      <c r="AU563" s="1772">
        <v>0</v>
      </c>
      <c r="AV563" s="1772">
        <v>0</v>
      </c>
      <c r="AW563" s="1772">
        <v>0</v>
      </c>
      <c r="AX563" s="1772"/>
      <c r="AY563" s="1772"/>
      <c r="AZ563" s="1772">
        <v>0</v>
      </c>
      <c r="BA563" s="1772"/>
      <c r="BB563" s="1772">
        <v>0</v>
      </c>
      <c r="BC563" s="1772">
        <v>0</v>
      </c>
      <c r="BD563" s="1772">
        <v>0</v>
      </c>
      <c r="BE563" s="1772">
        <v>0</v>
      </c>
      <c r="BF563" s="1772"/>
      <c r="BG563" s="1772">
        <v>0</v>
      </c>
      <c r="BH563" s="1772">
        <v>0</v>
      </c>
      <c r="BI563" s="1772">
        <v>68.73</v>
      </c>
      <c r="BJ563" s="1772">
        <v>317.22000000000003</v>
      </c>
      <c r="BK563" s="1772">
        <v>441709.32</v>
      </c>
      <c r="BL563" s="1772">
        <v>71</v>
      </c>
      <c r="BM563" s="1772"/>
      <c r="BN563" s="1772"/>
      <c r="BO563" s="1772"/>
      <c r="BP563" s="1772"/>
      <c r="BQ563" s="1772"/>
      <c r="BR563" s="1772"/>
      <c r="BS563" s="1772"/>
      <c r="BT563" s="1772"/>
      <c r="BU563" s="1772"/>
      <c r="BV563" s="1772">
        <v>0</v>
      </c>
      <c r="BW563" s="1772"/>
      <c r="BX563" s="1772"/>
      <c r="BY563" s="1772"/>
      <c r="BZ563" s="1772"/>
      <c r="CA563" s="1772"/>
      <c r="CB563" s="1772"/>
      <c r="CC563" s="1772"/>
      <c r="CD563" s="1772"/>
      <c r="CE563" s="1772"/>
      <c r="CF563" s="1772"/>
      <c r="CG563" s="1772"/>
      <c r="CH563" s="1772"/>
      <c r="CI563" s="1772">
        <v>749939.99999999988</v>
      </c>
      <c r="CJ563" s="1772">
        <v>-10222.530000000261</v>
      </c>
      <c r="CK563" s="1772"/>
      <c r="CL563" s="1772"/>
      <c r="CM563" s="1772"/>
      <c r="CN563" s="1772"/>
      <c r="CO563" s="1772">
        <v>-10222.500000000129</v>
      </c>
      <c r="CP563" s="1772">
        <v>0</v>
      </c>
      <c r="CQ563" s="1772">
        <v>31</v>
      </c>
      <c r="CR563" s="1772">
        <v>11532.880890311499</v>
      </c>
      <c r="CS563" s="1772">
        <v>0</v>
      </c>
      <c r="CT563" s="1772">
        <v>0</v>
      </c>
      <c r="CU563" s="1772">
        <v>0</v>
      </c>
      <c r="CV563" s="1772">
        <v>0</v>
      </c>
      <c r="CW563" s="1772"/>
      <c r="CX563" s="1772"/>
      <c r="CY563" s="1772"/>
      <c r="CZ563" s="1772">
        <v>11532.880890311499</v>
      </c>
      <c r="DA563" s="1772">
        <v>0</v>
      </c>
      <c r="DB563" s="1772">
        <v>0</v>
      </c>
      <c r="DC563" s="1772"/>
      <c r="DD563" s="1772"/>
      <c r="DE563" s="1772">
        <v>0</v>
      </c>
      <c r="DF563" s="1772">
        <v>0</v>
      </c>
      <c r="DG563" s="1772">
        <v>0</v>
      </c>
      <c r="DH563" s="1772">
        <v>0</v>
      </c>
      <c r="DI563" s="1772">
        <v>0</v>
      </c>
      <c r="DJ563" s="1772"/>
      <c r="DK563" s="1772">
        <v>0</v>
      </c>
      <c r="DL563" s="1772">
        <v>0</v>
      </c>
      <c r="DM563" s="1772"/>
      <c r="DN563" s="1772">
        <v>0</v>
      </c>
      <c r="DO563" s="1772">
        <v>0</v>
      </c>
      <c r="DP563" s="1772">
        <v>0</v>
      </c>
      <c r="DQ563" s="1772">
        <v>0</v>
      </c>
      <c r="DR563" s="1772">
        <v>0</v>
      </c>
      <c r="DS563" s="1772"/>
      <c r="DT563" s="1772"/>
      <c r="DU563" s="1772">
        <v>484694.57383890427</v>
      </c>
      <c r="DV563" s="1772"/>
      <c r="DW563" s="1772">
        <v>0</v>
      </c>
      <c r="DX563" s="1772">
        <v>0</v>
      </c>
      <c r="DY563" s="1772">
        <v>-10222.500000000233</v>
      </c>
      <c r="DZ563" s="1772"/>
      <c r="EA563" s="1772">
        <v>0</v>
      </c>
      <c r="EB563" s="1772"/>
      <c r="EC563" s="1772">
        <v>-21829.301248624106</v>
      </c>
      <c r="ED563" s="1772"/>
      <c r="EE563" s="1772">
        <v>0</v>
      </c>
      <c r="EF563" s="1772">
        <v>0</v>
      </c>
      <c r="EG563" s="1772"/>
      <c r="EH563" s="1772">
        <v>0</v>
      </c>
      <c r="EI563" s="1772">
        <v>0</v>
      </c>
      <c r="EJ563" s="1772">
        <v>0</v>
      </c>
      <c r="EK563" s="1772">
        <v>0</v>
      </c>
      <c r="EL563" s="1772">
        <v>0</v>
      </c>
      <c r="EM563" s="1772"/>
      <c r="EN563" s="1772"/>
      <c r="EO563" s="1772">
        <v>0</v>
      </c>
      <c r="EP563" s="1772">
        <v>0</v>
      </c>
      <c r="EQ563" s="1772"/>
      <c r="ER563" s="1772">
        <v>0</v>
      </c>
      <c r="ES563" s="1772"/>
      <c r="ET563" s="1772">
        <v>0</v>
      </c>
      <c r="EU563" s="1772"/>
      <c r="EV563" s="1772">
        <v>225</v>
      </c>
      <c r="EW563" s="1772"/>
      <c r="EX563" s="1772"/>
      <c r="EY563" s="1772"/>
      <c r="EZ563" s="1772"/>
      <c r="FA563" s="1772">
        <v>0</v>
      </c>
      <c r="FB563" s="1772"/>
      <c r="FC563" s="1772"/>
      <c r="FD563" s="1772"/>
      <c r="FE563" s="1772"/>
      <c r="FF563" s="1772">
        <v>0</v>
      </c>
      <c r="FG563" s="1772">
        <v>0</v>
      </c>
      <c r="FH563" s="1772">
        <v>0</v>
      </c>
      <c r="FI563" s="1772">
        <v>0</v>
      </c>
    </row>
    <row r="564" spans="1:165">
      <c r="A564" s="1772">
        <v>562</v>
      </c>
      <c r="B564" s="1772" t="s">
        <v>2379</v>
      </c>
      <c r="C564" s="1772" t="s">
        <v>2366</v>
      </c>
      <c r="D564" s="1772" t="s">
        <v>534</v>
      </c>
      <c r="E564" s="1772" t="s">
        <v>891</v>
      </c>
      <c r="F564" s="1772" t="s">
        <v>1240</v>
      </c>
      <c r="G564" s="1772" t="s">
        <v>1240</v>
      </c>
      <c r="H564" s="1772" t="s">
        <v>1240</v>
      </c>
      <c r="I564" s="1772" t="s">
        <v>1240</v>
      </c>
      <c r="J564" s="1772" t="s">
        <v>2358</v>
      </c>
      <c r="K564" s="1773">
        <v>44774</v>
      </c>
      <c r="L564" s="1772">
        <v>130</v>
      </c>
      <c r="M564" s="1772">
        <v>130</v>
      </c>
      <c r="N564" s="1772">
        <v>0</v>
      </c>
      <c r="O564" s="1772">
        <v>0</v>
      </c>
      <c r="P564" s="1772">
        <v>0</v>
      </c>
      <c r="Q564" s="1772">
        <v>0</v>
      </c>
      <c r="R564" s="1772">
        <v>34.950000000000003</v>
      </c>
      <c r="S564" s="1772"/>
      <c r="T564" s="1772"/>
      <c r="U564" s="1772">
        <v>4543.5</v>
      </c>
      <c r="V564" s="1772"/>
      <c r="W564" s="1772">
        <v>4543.5</v>
      </c>
      <c r="X564" s="1772">
        <v>4482.3999999999996</v>
      </c>
      <c r="Y564" s="1772">
        <v>0</v>
      </c>
      <c r="Z564" s="1772">
        <v>0</v>
      </c>
      <c r="AA564" s="1772">
        <v>0</v>
      </c>
      <c r="AB564" s="1772">
        <v>0</v>
      </c>
      <c r="AC564" s="1772">
        <v>0</v>
      </c>
      <c r="AD564" s="1772">
        <v>1647.07133648681</v>
      </c>
      <c r="AE564" s="1772">
        <v>2897.0250390371293</v>
      </c>
      <c r="AF564" s="1772"/>
      <c r="AG564" s="1772"/>
      <c r="AH564" s="1772"/>
      <c r="AI564" s="1772">
        <v>0</v>
      </c>
      <c r="AJ564" s="1772">
        <v>0</v>
      </c>
      <c r="AK564" s="1772">
        <v>0</v>
      </c>
      <c r="AL564" s="1772">
        <v>0</v>
      </c>
      <c r="AM564" s="1772"/>
      <c r="AN564" s="1772">
        <v>0</v>
      </c>
      <c r="AO564" s="1772">
        <v>0</v>
      </c>
      <c r="AP564" s="1772">
        <v>0</v>
      </c>
      <c r="AQ564" s="1772">
        <v>0</v>
      </c>
      <c r="AR564" s="1772">
        <v>0</v>
      </c>
      <c r="AS564" s="1772"/>
      <c r="AT564" s="1772"/>
      <c r="AU564" s="1772">
        <v>0</v>
      </c>
      <c r="AV564" s="1772">
        <v>0</v>
      </c>
      <c r="AW564" s="1772">
        <v>0</v>
      </c>
      <c r="AX564" s="1772"/>
      <c r="AY564" s="1772"/>
      <c r="AZ564" s="1772">
        <v>0</v>
      </c>
      <c r="BA564" s="1772"/>
      <c r="BB564" s="1772">
        <v>0</v>
      </c>
      <c r="BC564" s="1772">
        <v>0</v>
      </c>
      <c r="BD564" s="1772">
        <v>0</v>
      </c>
      <c r="BE564" s="1772">
        <v>0</v>
      </c>
      <c r="BF564" s="1772"/>
      <c r="BG564" s="1772">
        <v>0</v>
      </c>
      <c r="BH564" s="1772">
        <v>0</v>
      </c>
      <c r="BI564" s="1772">
        <v>0</v>
      </c>
      <c r="BJ564" s="1772">
        <v>0</v>
      </c>
      <c r="BK564" s="1772">
        <v>1295.55</v>
      </c>
      <c r="BL564" s="1772">
        <v>1</v>
      </c>
      <c r="BM564" s="1772"/>
      <c r="BN564" s="1772"/>
      <c r="BO564" s="1772"/>
      <c r="BP564" s="1772"/>
      <c r="BQ564" s="1772"/>
      <c r="BR564" s="1772"/>
      <c r="BS564" s="1772"/>
      <c r="BT564" s="1772"/>
      <c r="BU564" s="1772"/>
      <c r="BV564" s="1772">
        <v>0</v>
      </c>
      <c r="BW564" s="1772"/>
      <c r="BX564" s="1772"/>
      <c r="BY564" s="1772"/>
      <c r="BZ564" s="1772"/>
      <c r="CA564" s="1772"/>
      <c r="CB564" s="1772"/>
      <c r="CC564" s="1772"/>
      <c r="CD564" s="1772"/>
      <c r="CE564" s="1772"/>
      <c r="CF564" s="1772"/>
      <c r="CG564" s="1772"/>
      <c r="CH564" s="1772"/>
      <c r="CI564" s="1772">
        <v>4482.3999999999996</v>
      </c>
      <c r="CJ564" s="1772">
        <v>-61.130000000001019</v>
      </c>
      <c r="CK564" s="1772"/>
      <c r="CL564" s="1772"/>
      <c r="CM564" s="1772"/>
      <c r="CN564" s="1772"/>
      <c r="CO564" s="1772">
        <v>-61.100000000000776</v>
      </c>
      <c r="CP564" s="1772">
        <v>0</v>
      </c>
      <c r="CQ564" s="1772">
        <v>31</v>
      </c>
      <c r="CR564" s="1772">
        <v>68.932161643240988</v>
      </c>
      <c r="CS564" s="1772">
        <v>0</v>
      </c>
      <c r="CT564" s="1772">
        <v>0</v>
      </c>
      <c r="CU564" s="1772">
        <v>0</v>
      </c>
      <c r="CV564" s="1772">
        <v>0</v>
      </c>
      <c r="CW564" s="1772"/>
      <c r="CX564" s="1772"/>
      <c r="CY564" s="1772"/>
      <c r="CZ564" s="1772">
        <v>68.932161643240988</v>
      </c>
      <c r="DA564" s="1772">
        <v>0</v>
      </c>
      <c r="DB564" s="1772">
        <v>0</v>
      </c>
      <c r="DC564" s="1772"/>
      <c r="DD564" s="1772"/>
      <c r="DE564" s="1772">
        <v>0</v>
      </c>
      <c r="DF564" s="1772">
        <v>0</v>
      </c>
      <c r="DG564" s="1772">
        <v>0</v>
      </c>
      <c r="DH564" s="1772">
        <v>0</v>
      </c>
      <c r="DI564" s="1772">
        <v>0</v>
      </c>
      <c r="DJ564" s="1772"/>
      <c r="DK564" s="1772">
        <v>0</v>
      </c>
      <c r="DL564" s="1772">
        <v>0</v>
      </c>
      <c r="DM564" s="1772"/>
      <c r="DN564" s="1772">
        <v>0</v>
      </c>
      <c r="DO564" s="1772">
        <v>0</v>
      </c>
      <c r="DP564" s="1772">
        <v>0</v>
      </c>
      <c r="DQ564" s="1772">
        <v>0</v>
      </c>
      <c r="DR564" s="1772">
        <v>0</v>
      </c>
      <c r="DS564" s="1772"/>
      <c r="DT564" s="1772"/>
      <c r="DU564" s="1772">
        <v>2897.0250390371293</v>
      </c>
      <c r="DV564" s="1772"/>
      <c r="DW564" s="1772">
        <v>0</v>
      </c>
      <c r="DX564" s="1772">
        <v>0</v>
      </c>
      <c r="DY564" s="1772">
        <v>-61.100000000000364</v>
      </c>
      <c r="DZ564" s="1772"/>
      <c r="EA564" s="1772">
        <v>0</v>
      </c>
      <c r="EB564" s="1772"/>
      <c r="EC564" s="1772">
        <v>-130.47398447453543</v>
      </c>
      <c r="ED564" s="1772"/>
      <c r="EE564" s="1772">
        <v>0</v>
      </c>
      <c r="EF564" s="1772">
        <v>0</v>
      </c>
      <c r="EG564" s="1772"/>
      <c r="EH564" s="1772">
        <v>0</v>
      </c>
      <c r="EI564" s="1772">
        <v>0</v>
      </c>
      <c r="EJ564" s="1772">
        <v>0</v>
      </c>
      <c r="EK564" s="1772">
        <v>0</v>
      </c>
      <c r="EL564" s="1772">
        <v>0</v>
      </c>
      <c r="EM564" s="1772"/>
      <c r="EN564" s="1772"/>
      <c r="EO564" s="1772">
        <v>0</v>
      </c>
      <c r="EP564" s="1772">
        <v>0</v>
      </c>
      <c r="EQ564" s="1772"/>
      <c r="ER564" s="1772">
        <v>0</v>
      </c>
      <c r="ES564" s="1772"/>
      <c r="ET564" s="1772">
        <v>0</v>
      </c>
      <c r="EU564" s="1772"/>
      <c r="EV564" s="1772">
        <v>225</v>
      </c>
      <c r="EW564" s="1772"/>
      <c r="EX564" s="1772"/>
      <c r="EY564" s="1772"/>
      <c r="EZ564" s="1772"/>
      <c r="FA564" s="1772">
        <v>0</v>
      </c>
      <c r="FB564" s="1772"/>
      <c r="FC564" s="1772"/>
      <c r="FD564" s="1772"/>
      <c r="FE564" s="1772"/>
      <c r="FF564" s="1772">
        <v>0</v>
      </c>
      <c r="FG564" s="1772">
        <v>0</v>
      </c>
      <c r="FH564" s="1772">
        <v>0</v>
      </c>
      <c r="FI564" s="1772">
        <v>0</v>
      </c>
    </row>
    <row r="565" spans="1:165">
      <c r="A565" s="1772">
        <v>563</v>
      </c>
      <c r="B565" s="1772" t="s">
        <v>2379</v>
      </c>
      <c r="C565" s="1772" t="s">
        <v>2357</v>
      </c>
      <c r="D565" s="1772" t="s">
        <v>1826</v>
      </c>
      <c r="E565" s="1772" t="s">
        <v>919</v>
      </c>
      <c r="F565" s="1772" t="s">
        <v>1240</v>
      </c>
      <c r="G565" s="1772" t="s">
        <v>1240</v>
      </c>
      <c r="H565" s="1772" t="s">
        <v>1240</v>
      </c>
      <c r="I565" s="1772" t="s">
        <v>1240</v>
      </c>
      <c r="J565" s="1772" t="s">
        <v>2358</v>
      </c>
      <c r="K565" s="1773">
        <v>44774</v>
      </c>
      <c r="L565" s="1772">
        <v>0</v>
      </c>
      <c r="M565" s="1772">
        <v>0</v>
      </c>
      <c r="N565" s="1772">
        <v>632.80499999999995</v>
      </c>
      <c r="O565" s="1772">
        <v>632.80499999999995</v>
      </c>
      <c r="P565" s="1772">
        <v>632.80499999999995</v>
      </c>
      <c r="Q565" s="1772">
        <v>632.80499999999995</v>
      </c>
      <c r="R565" s="1772"/>
      <c r="S565" s="1772">
        <v>522.37</v>
      </c>
      <c r="T565" s="1772">
        <v>144.41999999999999</v>
      </c>
      <c r="U565" s="1772"/>
      <c r="V565" s="1772">
        <v>421948.04594999994</v>
      </c>
      <c r="W565" s="1772">
        <v>421948.04594999994</v>
      </c>
      <c r="X565" s="1772">
        <v>412424.33069999999</v>
      </c>
      <c r="Y565" s="1772">
        <v>0</v>
      </c>
      <c r="Z565" s="1772">
        <v>38854.844260193393</v>
      </c>
      <c r="AA565" s="1772">
        <v>0</v>
      </c>
      <c r="AB565" s="1772">
        <v>0</v>
      </c>
      <c r="AC565" s="1772">
        <v>0</v>
      </c>
      <c r="AD565" s="1772">
        <v>64523.109728174211</v>
      </c>
      <c r="AE565" s="1772">
        <v>210032.54734071434</v>
      </c>
      <c r="AF565" s="1772">
        <v>91390.852102489676</v>
      </c>
      <c r="AG565" s="1772">
        <v>0</v>
      </c>
      <c r="AH565" s="1772">
        <v>0</v>
      </c>
      <c r="AI565" s="1772">
        <v>0</v>
      </c>
      <c r="AJ565" s="1772">
        <v>0</v>
      </c>
      <c r="AK565" s="1772">
        <v>0</v>
      </c>
      <c r="AL565" s="1772">
        <v>6000.73519098004</v>
      </c>
      <c r="AM565" s="1772"/>
      <c r="AN565" s="1772">
        <v>920.63963864051618</v>
      </c>
      <c r="AO565" s="1772">
        <v>0</v>
      </c>
      <c r="AP565" s="1772">
        <v>0</v>
      </c>
      <c r="AQ565" s="1772">
        <v>0</v>
      </c>
      <c r="AR565" s="1772">
        <v>0</v>
      </c>
      <c r="AS565" s="1772">
        <v>0</v>
      </c>
      <c r="AT565" s="1772">
        <v>0</v>
      </c>
      <c r="AU565" s="1772">
        <v>0</v>
      </c>
      <c r="AV565" s="1772">
        <v>0</v>
      </c>
      <c r="AW565" s="1772">
        <v>0</v>
      </c>
      <c r="AX565" s="1772">
        <v>0</v>
      </c>
      <c r="AY565" s="1772">
        <v>0</v>
      </c>
      <c r="AZ565" s="1772">
        <v>0</v>
      </c>
      <c r="BA565" s="1772"/>
      <c r="BB565" s="1772">
        <v>0</v>
      </c>
      <c r="BC565" s="1772">
        <v>0</v>
      </c>
      <c r="BD565" s="1772">
        <v>0</v>
      </c>
      <c r="BE565" s="1772">
        <v>0</v>
      </c>
      <c r="BF565" s="1772">
        <v>0</v>
      </c>
      <c r="BG565" s="1772">
        <v>10225.068412656206</v>
      </c>
      <c r="BH565" s="1772">
        <v>0</v>
      </c>
      <c r="BI565" s="1772">
        <v>188.13</v>
      </c>
      <c r="BJ565" s="1772">
        <v>868.12</v>
      </c>
      <c r="BK565" s="1772">
        <v>75335.210000000006</v>
      </c>
      <c r="BL565" s="1772">
        <v>1216</v>
      </c>
      <c r="BM565" s="1772"/>
      <c r="BN565" s="1772"/>
      <c r="BO565" s="1772"/>
      <c r="BP565" s="1772"/>
      <c r="BQ565" s="1772"/>
      <c r="BR565" s="1772"/>
      <c r="BS565" s="1772"/>
      <c r="BT565" s="1772"/>
      <c r="BU565" s="1772"/>
      <c r="BV565" s="1772">
        <v>101615.92051514589</v>
      </c>
      <c r="BW565" s="1772"/>
      <c r="BX565" s="1772"/>
      <c r="BY565" s="1772"/>
      <c r="BZ565" s="1772"/>
      <c r="CA565" s="1772"/>
      <c r="CB565" s="1772"/>
      <c r="CC565" s="1772"/>
      <c r="CD565" s="1772"/>
      <c r="CE565" s="1772"/>
      <c r="CF565" s="1772"/>
      <c r="CG565" s="1772"/>
      <c r="CH565" s="1772"/>
      <c r="CI565" s="1772">
        <v>412427.5894</v>
      </c>
      <c r="CJ565" s="1772">
        <v>-9520.4865499999723</v>
      </c>
      <c r="CK565" s="1772"/>
      <c r="CL565" s="1772"/>
      <c r="CM565" s="1772"/>
      <c r="CN565" s="1772"/>
      <c r="CO565" s="1772">
        <v>-13219.296449999991</v>
      </c>
      <c r="CP565" s="1772">
        <v>3695.5812000000019</v>
      </c>
      <c r="CQ565" s="1772">
        <v>31</v>
      </c>
      <c r="CR565" s="1772">
        <v>-60.735836354375351</v>
      </c>
      <c r="CS565" s="1772">
        <v>0</v>
      </c>
      <c r="CT565" s="1772">
        <v>0</v>
      </c>
      <c r="CU565" s="1772">
        <v>0</v>
      </c>
      <c r="CV565" s="1772">
        <v>0</v>
      </c>
      <c r="CW565" s="1772">
        <v>0</v>
      </c>
      <c r="CX565" s="1772">
        <v>0</v>
      </c>
      <c r="CY565" s="1772">
        <v>0</v>
      </c>
      <c r="CZ565" s="1772">
        <v>2700.379352721211</v>
      </c>
      <c r="DA565" s="1772">
        <v>0</v>
      </c>
      <c r="DB565" s="1772">
        <v>0</v>
      </c>
      <c r="DC565" s="1772">
        <v>3695.4498286315647</v>
      </c>
      <c r="DD565" s="1772">
        <v>0</v>
      </c>
      <c r="DE565" s="1772">
        <v>0</v>
      </c>
      <c r="DF565" s="1772">
        <v>0</v>
      </c>
      <c r="DG565" s="1772">
        <v>413.45743522466728</v>
      </c>
      <c r="DH565" s="1772">
        <v>0</v>
      </c>
      <c r="DI565" s="1772">
        <v>-5969.3130491194388</v>
      </c>
      <c r="DJ565" s="1772"/>
      <c r="DK565" s="1772">
        <v>0</v>
      </c>
      <c r="DL565" s="1772">
        <v>0</v>
      </c>
      <c r="DM565" s="1772">
        <v>0</v>
      </c>
      <c r="DN565" s="1772">
        <v>0</v>
      </c>
      <c r="DO565" s="1772">
        <v>-789.60409781650378</v>
      </c>
      <c r="DP565" s="1772">
        <v>-111.1053059958499</v>
      </c>
      <c r="DQ565" s="1772">
        <v>0</v>
      </c>
      <c r="DR565" s="1772">
        <v>0</v>
      </c>
      <c r="DS565" s="1772"/>
      <c r="DT565" s="1772"/>
      <c r="DU565" s="1772"/>
      <c r="DV565" s="1772">
        <v>210032.54734071434</v>
      </c>
      <c r="DW565" s="1772">
        <v>0</v>
      </c>
      <c r="DX565" s="1772">
        <v>0</v>
      </c>
      <c r="DY565" s="1772">
        <v>-13219.296449999965</v>
      </c>
      <c r="DZ565" s="1772">
        <v>3695.5812000000005</v>
      </c>
      <c r="EA565" s="1772">
        <v>0</v>
      </c>
      <c r="EB565" s="1772">
        <v>0</v>
      </c>
      <c r="EC565" s="1772">
        <v>-9459.2842490545299</v>
      </c>
      <c r="ED565" s="1772">
        <v>0</v>
      </c>
      <c r="EE565" s="1772">
        <v>0</v>
      </c>
      <c r="EF565" s="1772">
        <v>0</v>
      </c>
      <c r="EG565" s="1772">
        <v>0</v>
      </c>
      <c r="EH565" s="1772">
        <v>0</v>
      </c>
      <c r="EI565" s="1772">
        <v>0</v>
      </c>
      <c r="EJ565" s="1772">
        <v>0</v>
      </c>
      <c r="EK565" s="1772">
        <v>0</v>
      </c>
      <c r="EL565" s="1772">
        <v>0</v>
      </c>
      <c r="EM565" s="1772">
        <v>0</v>
      </c>
      <c r="EN565" s="1772">
        <v>0</v>
      </c>
      <c r="EO565" s="1772">
        <v>0</v>
      </c>
      <c r="EP565" s="1772">
        <v>0</v>
      </c>
      <c r="EQ565" s="1772">
        <v>0</v>
      </c>
      <c r="ER565" s="1772">
        <v>0</v>
      </c>
      <c r="ES565" s="1772">
        <v>0</v>
      </c>
      <c r="ET565" s="1772">
        <v>0</v>
      </c>
      <c r="EU565" s="1772">
        <v>0</v>
      </c>
      <c r="EV565" s="1772">
        <v>225</v>
      </c>
      <c r="EW565" s="1772">
        <v>0</v>
      </c>
      <c r="EX565" s="1772">
        <v>0</v>
      </c>
      <c r="EY565" s="1772">
        <v>0</v>
      </c>
      <c r="EZ565" s="1772"/>
      <c r="FA565" s="1772">
        <v>0</v>
      </c>
      <c r="FB565" s="1772"/>
      <c r="FC565" s="1772"/>
      <c r="FD565" s="1772"/>
      <c r="FE565" s="1772"/>
      <c r="FF565" s="1772">
        <v>0</v>
      </c>
      <c r="FG565" s="1772">
        <v>0</v>
      </c>
      <c r="FH565" s="1772">
        <v>0</v>
      </c>
      <c r="FI565" s="1772">
        <v>0</v>
      </c>
    </row>
    <row r="566" spans="1:165">
      <c r="A566" s="1772">
        <v>564</v>
      </c>
      <c r="B566" s="1772" t="s">
        <v>2379</v>
      </c>
      <c r="C566" s="1772" t="s">
        <v>2357</v>
      </c>
      <c r="D566" s="1772" t="s">
        <v>1826</v>
      </c>
      <c r="E566" s="1772" t="s">
        <v>919</v>
      </c>
      <c r="F566" s="1772" t="s">
        <v>1240</v>
      </c>
      <c r="G566" s="1772" t="s">
        <v>1240</v>
      </c>
      <c r="H566" s="1772" t="s">
        <v>1240</v>
      </c>
      <c r="I566" s="1772" t="s">
        <v>1240</v>
      </c>
      <c r="J566" s="1772" t="s">
        <v>2358</v>
      </c>
      <c r="K566" s="1773">
        <v>44774</v>
      </c>
      <c r="L566" s="1772">
        <v>0</v>
      </c>
      <c r="M566" s="1772">
        <v>0</v>
      </c>
      <c r="N566" s="1772">
        <v>42.026000000000003</v>
      </c>
      <c r="O566" s="1772">
        <v>42.026000000000003</v>
      </c>
      <c r="P566" s="1772">
        <v>42.026000000000003</v>
      </c>
      <c r="Q566" s="1772">
        <v>42.026000000000003</v>
      </c>
      <c r="R566" s="1772"/>
      <c r="S566" s="1772">
        <v>522.37</v>
      </c>
      <c r="T566" s="1772">
        <v>144.41999999999999</v>
      </c>
      <c r="U566" s="1772"/>
      <c r="V566" s="1772">
        <v>28022.516540000001</v>
      </c>
      <c r="W566" s="1772">
        <v>28022.516540000001</v>
      </c>
      <c r="X566" s="1772">
        <v>27390.025240000003</v>
      </c>
      <c r="Y566" s="1772">
        <v>0</v>
      </c>
      <c r="Z566" s="1772">
        <v>2580.4373936345123</v>
      </c>
      <c r="AA566" s="1772">
        <v>0</v>
      </c>
      <c r="AB566" s="1772">
        <v>0</v>
      </c>
      <c r="AC566" s="1772">
        <v>0</v>
      </c>
      <c r="AD566" s="1772">
        <v>4285.1245003377817</v>
      </c>
      <c r="AE566" s="1772">
        <v>13948.732760551611</v>
      </c>
      <c r="AF566" s="1772">
        <v>6069.4715598948051</v>
      </c>
      <c r="AG566" s="1772">
        <v>0</v>
      </c>
      <c r="AH566" s="1772">
        <v>0</v>
      </c>
      <c r="AI566" s="1772">
        <v>0</v>
      </c>
      <c r="AJ566" s="1772">
        <v>0</v>
      </c>
      <c r="AK566" s="1772">
        <v>0</v>
      </c>
      <c r="AL566" s="1772">
        <v>398.52228907187396</v>
      </c>
      <c r="AM566" s="1772"/>
      <c r="AN566" s="1772">
        <v>61.141744223744027</v>
      </c>
      <c r="AO566" s="1772">
        <v>0</v>
      </c>
      <c r="AP566" s="1772">
        <v>0</v>
      </c>
      <c r="AQ566" s="1772">
        <v>0</v>
      </c>
      <c r="AR566" s="1772">
        <v>0</v>
      </c>
      <c r="AS566" s="1772">
        <v>0</v>
      </c>
      <c r="AT566" s="1772">
        <v>0</v>
      </c>
      <c r="AU566" s="1772">
        <v>0</v>
      </c>
      <c r="AV566" s="1772">
        <v>0</v>
      </c>
      <c r="AW566" s="1772">
        <v>0</v>
      </c>
      <c r="AX566" s="1772">
        <v>0</v>
      </c>
      <c r="AY566" s="1772">
        <v>0</v>
      </c>
      <c r="AZ566" s="1772">
        <v>0</v>
      </c>
      <c r="BA566" s="1772"/>
      <c r="BB566" s="1772">
        <v>0</v>
      </c>
      <c r="BC566" s="1772">
        <v>0</v>
      </c>
      <c r="BD566" s="1772">
        <v>0</v>
      </c>
      <c r="BE566" s="1772">
        <v>0</v>
      </c>
      <c r="BF566" s="1772">
        <v>0</v>
      </c>
      <c r="BG566" s="1772">
        <v>679.06973729709762</v>
      </c>
      <c r="BH566" s="1772">
        <v>0</v>
      </c>
      <c r="BI566" s="1772">
        <v>0.39</v>
      </c>
      <c r="BJ566" s="1772">
        <v>1.81</v>
      </c>
      <c r="BK566" s="1772">
        <v>8913.24</v>
      </c>
      <c r="BL566" s="1772">
        <v>51</v>
      </c>
      <c r="BM566" s="1772"/>
      <c r="BN566" s="1772"/>
      <c r="BO566" s="1772"/>
      <c r="BP566" s="1772"/>
      <c r="BQ566" s="1772"/>
      <c r="BR566" s="1772"/>
      <c r="BS566" s="1772"/>
      <c r="BT566" s="1772"/>
      <c r="BU566" s="1772"/>
      <c r="BV566" s="1772">
        <v>6748.5412971919031</v>
      </c>
      <c r="BW566" s="1772"/>
      <c r="BX566" s="1772"/>
      <c r="BY566" s="1772"/>
      <c r="BZ566" s="1772"/>
      <c r="CA566" s="1772"/>
      <c r="CB566" s="1772"/>
      <c r="CC566" s="1772"/>
      <c r="CD566" s="1772"/>
      <c r="CE566" s="1772"/>
      <c r="CF566" s="1772"/>
      <c r="CG566" s="1772"/>
      <c r="CH566" s="1772"/>
      <c r="CI566" s="1772">
        <v>27392.6322</v>
      </c>
      <c r="CJ566" s="1772">
        <v>-629.91433999999572</v>
      </c>
      <c r="CK566" s="1772"/>
      <c r="CL566" s="1772"/>
      <c r="CM566" s="1772"/>
      <c r="CN566" s="1772"/>
      <c r="CO566" s="1772">
        <v>-877.92313999999953</v>
      </c>
      <c r="CP566" s="1772">
        <v>245.43184000000016</v>
      </c>
      <c r="CQ566" s="1772">
        <v>31</v>
      </c>
      <c r="CR566" s="1772">
        <v>-4.0336031773240393</v>
      </c>
      <c r="CS566" s="1772">
        <v>0</v>
      </c>
      <c r="CT566" s="1772">
        <v>0</v>
      </c>
      <c r="CU566" s="1772">
        <v>0</v>
      </c>
      <c r="CV566" s="1772">
        <v>0</v>
      </c>
      <c r="CW566" s="1772">
        <v>0</v>
      </c>
      <c r="CX566" s="1772">
        <v>0</v>
      </c>
      <c r="CY566" s="1772">
        <v>0</v>
      </c>
      <c r="CZ566" s="1772">
        <v>179.33825219058235</v>
      </c>
      <c r="DA566" s="1772">
        <v>0</v>
      </c>
      <c r="DB566" s="1772">
        <v>0</v>
      </c>
      <c r="DC566" s="1772">
        <v>245.42311533263728</v>
      </c>
      <c r="DD566" s="1772">
        <v>0</v>
      </c>
      <c r="DE566" s="1772">
        <v>0</v>
      </c>
      <c r="DF566" s="1772">
        <v>0</v>
      </c>
      <c r="DG566" s="1772">
        <v>27.458636029664376</v>
      </c>
      <c r="DH566" s="1772">
        <v>0</v>
      </c>
      <c r="DI566" s="1772">
        <v>-396.43547412282351</v>
      </c>
      <c r="DJ566" s="1772"/>
      <c r="DK566" s="1772">
        <v>0</v>
      </c>
      <c r="DL566" s="1772">
        <v>0</v>
      </c>
      <c r="DM566" s="1772">
        <v>0</v>
      </c>
      <c r="DN566" s="1772">
        <v>0</v>
      </c>
      <c r="DO566" s="1772">
        <v>-52.439379927207256</v>
      </c>
      <c r="DP566" s="1772">
        <v>-7.3787526801804475</v>
      </c>
      <c r="DQ566" s="1772">
        <v>0</v>
      </c>
      <c r="DR566" s="1772">
        <v>0</v>
      </c>
      <c r="DS566" s="1772"/>
      <c r="DT566" s="1772"/>
      <c r="DU566" s="1772"/>
      <c r="DV566" s="1772">
        <v>13948.732760551611</v>
      </c>
      <c r="DW566" s="1772">
        <v>0</v>
      </c>
      <c r="DX566" s="1772">
        <v>0</v>
      </c>
      <c r="DY566" s="1772">
        <v>-877.92313999999897</v>
      </c>
      <c r="DZ566" s="1772">
        <v>245.43184000000019</v>
      </c>
      <c r="EA566" s="1772">
        <v>0</v>
      </c>
      <c r="EB566" s="1772">
        <v>0</v>
      </c>
      <c r="EC566" s="1772">
        <v>-628.21229265060356</v>
      </c>
      <c r="ED566" s="1772">
        <v>0</v>
      </c>
      <c r="EE566" s="1772">
        <v>0</v>
      </c>
      <c r="EF566" s="1772">
        <v>0</v>
      </c>
      <c r="EG566" s="1772">
        <v>0</v>
      </c>
      <c r="EH566" s="1772">
        <v>0</v>
      </c>
      <c r="EI566" s="1772">
        <v>0</v>
      </c>
      <c r="EJ566" s="1772">
        <v>0</v>
      </c>
      <c r="EK566" s="1772">
        <v>0</v>
      </c>
      <c r="EL566" s="1772">
        <v>0</v>
      </c>
      <c r="EM566" s="1772">
        <v>0</v>
      </c>
      <c r="EN566" s="1772">
        <v>0</v>
      </c>
      <c r="EO566" s="1772">
        <v>0</v>
      </c>
      <c r="EP566" s="1772">
        <v>0</v>
      </c>
      <c r="EQ566" s="1772">
        <v>0</v>
      </c>
      <c r="ER566" s="1772">
        <v>0</v>
      </c>
      <c r="ES566" s="1772">
        <v>0</v>
      </c>
      <c r="ET566" s="1772">
        <v>0</v>
      </c>
      <c r="EU566" s="1772">
        <v>0</v>
      </c>
      <c r="EV566" s="1772">
        <v>225</v>
      </c>
      <c r="EW566" s="1772">
        <v>0</v>
      </c>
      <c r="EX566" s="1772">
        <v>0</v>
      </c>
      <c r="EY566" s="1772">
        <v>0</v>
      </c>
      <c r="EZ566" s="1772"/>
      <c r="FA566" s="1772">
        <v>0</v>
      </c>
      <c r="FB566" s="1772"/>
      <c r="FC566" s="1772"/>
      <c r="FD566" s="1772"/>
      <c r="FE566" s="1772"/>
      <c r="FF566" s="1772">
        <v>0</v>
      </c>
      <c r="FG566" s="1772">
        <v>0</v>
      </c>
      <c r="FH566" s="1772">
        <v>0</v>
      </c>
      <c r="FI566" s="1772">
        <v>0</v>
      </c>
    </row>
    <row r="567" spans="1:165">
      <c r="A567" s="1772">
        <v>565</v>
      </c>
      <c r="B567" s="1772" t="s">
        <v>2379</v>
      </c>
      <c r="C567" s="1772" t="s">
        <v>2366</v>
      </c>
      <c r="D567" s="1772" t="s">
        <v>534</v>
      </c>
      <c r="E567" s="1772" t="s">
        <v>919</v>
      </c>
      <c r="F567" s="1772" t="s">
        <v>1240</v>
      </c>
      <c r="G567" s="1772" t="s">
        <v>1240</v>
      </c>
      <c r="H567" s="1772" t="s">
        <v>1240</v>
      </c>
      <c r="I567" s="1772" t="s">
        <v>894</v>
      </c>
      <c r="J567" s="1772" t="s">
        <v>2358</v>
      </c>
      <c r="K567" s="1773">
        <v>44774</v>
      </c>
      <c r="L567" s="1772">
        <v>0</v>
      </c>
      <c r="M567" s="1772">
        <v>0</v>
      </c>
      <c r="N567" s="1772">
        <v>6.944</v>
      </c>
      <c r="O567" s="1772">
        <v>6.944</v>
      </c>
      <c r="P567" s="1772">
        <v>6.944</v>
      </c>
      <c r="Q567" s="1772">
        <v>6.944</v>
      </c>
      <c r="R567" s="1772"/>
      <c r="S567" s="1772">
        <v>2740.31</v>
      </c>
      <c r="T567" s="1772">
        <v>144.41999999999999</v>
      </c>
      <c r="U567" s="1772"/>
      <c r="V567" s="1772">
        <v>20031.565119999999</v>
      </c>
      <c r="W567" s="1772">
        <v>20031.565119999999</v>
      </c>
      <c r="X567" s="1772">
        <v>19626.660479999999</v>
      </c>
      <c r="Y567" s="1772">
        <v>0</v>
      </c>
      <c r="Z567" s="1772">
        <v>370.9404848764172</v>
      </c>
      <c r="AA567" s="1772">
        <v>0</v>
      </c>
      <c r="AB567" s="1772">
        <v>0</v>
      </c>
      <c r="AC567" s="1772">
        <v>0</v>
      </c>
      <c r="AD567" s="1772">
        <v>5226.4905751896404</v>
      </c>
      <c r="AE567" s="1772">
        <v>13318.644538273378</v>
      </c>
      <c r="AF567" s="1772">
        <v>1002.8651432900947</v>
      </c>
      <c r="AG567" s="1772">
        <v>0</v>
      </c>
      <c r="AH567" s="1772">
        <v>0</v>
      </c>
      <c r="AI567" s="1772">
        <v>0</v>
      </c>
      <c r="AJ567" s="1772">
        <v>0</v>
      </c>
      <c r="AK567" s="1772">
        <v>0</v>
      </c>
      <c r="AL567" s="1772">
        <v>65.84825525424958</v>
      </c>
      <c r="AM567" s="1772"/>
      <c r="AN567" s="1772">
        <v>3.455926052757786</v>
      </c>
      <c r="AO567" s="1772">
        <v>0</v>
      </c>
      <c r="AP567" s="1772">
        <v>0</v>
      </c>
      <c r="AQ567" s="1772">
        <v>0</v>
      </c>
      <c r="AR567" s="1772">
        <v>0</v>
      </c>
      <c r="AS567" s="1772">
        <v>0</v>
      </c>
      <c r="AT567" s="1772">
        <v>0</v>
      </c>
      <c r="AU567" s="1772">
        <v>0</v>
      </c>
      <c r="AV567" s="1772">
        <v>0</v>
      </c>
      <c r="AW567" s="1772">
        <v>0</v>
      </c>
      <c r="AX567" s="1772">
        <v>0</v>
      </c>
      <c r="AY567" s="1772">
        <v>0</v>
      </c>
      <c r="AZ567" s="1772">
        <v>0</v>
      </c>
      <c r="BA567" s="1772"/>
      <c r="BB567" s="1772">
        <v>0</v>
      </c>
      <c r="BC567" s="1772">
        <v>0</v>
      </c>
      <c r="BD567" s="1772">
        <v>0</v>
      </c>
      <c r="BE567" s="1772">
        <v>0</v>
      </c>
      <c r="BF567" s="1772">
        <v>0</v>
      </c>
      <c r="BG567" s="1772">
        <v>43.320855033191449</v>
      </c>
      <c r="BH567" s="1772">
        <v>0</v>
      </c>
      <c r="BI567" s="1772">
        <v>0</v>
      </c>
      <c r="BJ567" s="1772">
        <v>0</v>
      </c>
      <c r="BK567" s="1772">
        <v>0</v>
      </c>
      <c r="BL567" s="1772">
        <v>0</v>
      </c>
      <c r="BM567" s="1772"/>
      <c r="BN567" s="1772"/>
      <c r="BO567" s="1772"/>
      <c r="BP567" s="1772"/>
      <c r="BQ567" s="1772"/>
      <c r="BR567" s="1772"/>
      <c r="BS567" s="1772"/>
      <c r="BT567" s="1772"/>
      <c r="BU567" s="1772"/>
      <c r="BV567" s="1772">
        <v>1046.1859983232862</v>
      </c>
      <c r="BW567" s="1772"/>
      <c r="BX567" s="1772"/>
      <c r="BY567" s="1772"/>
      <c r="BZ567" s="1772"/>
      <c r="CA567" s="1772"/>
      <c r="CB567" s="1772"/>
      <c r="CC567" s="1772"/>
      <c r="CD567" s="1772"/>
      <c r="CE567" s="1772"/>
      <c r="CF567" s="1772"/>
      <c r="CG567" s="1772"/>
      <c r="CH567" s="1772"/>
      <c r="CI567" s="1772">
        <v>19615.354800000001</v>
      </c>
      <c r="CJ567" s="1772">
        <v>-416.24031999999352</v>
      </c>
      <c r="CK567" s="1772"/>
      <c r="CL567" s="1772"/>
      <c r="CM567" s="1772"/>
      <c r="CN567" s="1772"/>
      <c r="CO567" s="1772">
        <v>-445.45760000000064</v>
      </c>
      <c r="CP567" s="1772">
        <v>40.55296000000002</v>
      </c>
      <c r="CQ567" s="1772">
        <v>31</v>
      </c>
      <c r="CR567" s="1772">
        <v>194.96923618250185</v>
      </c>
      <c r="CS567" s="1772">
        <v>0</v>
      </c>
      <c r="CT567" s="1772">
        <v>0</v>
      </c>
      <c r="CU567" s="1772">
        <v>0</v>
      </c>
      <c r="CV567" s="1772">
        <v>0</v>
      </c>
      <c r="CW567" s="1772">
        <v>0</v>
      </c>
      <c r="CX567" s="1772">
        <v>0</v>
      </c>
      <c r="CY567" s="1772">
        <v>0</v>
      </c>
      <c r="CZ567" s="1772">
        <v>218.73569479044363</v>
      </c>
      <c r="DA567" s="1772">
        <v>0</v>
      </c>
      <c r="DB567" s="1772">
        <v>0</v>
      </c>
      <c r="DC567" s="1772">
        <v>40.551518414073144</v>
      </c>
      <c r="DD567" s="1772">
        <v>0</v>
      </c>
      <c r="DE567" s="1772">
        <v>0</v>
      </c>
      <c r="DF567" s="1772">
        <v>0</v>
      </c>
      <c r="DG567" s="1772">
        <v>1.751707557437193</v>
      </c>
      <c r="DH567" s="1772">
        <v>0</v>
      </c>
      <c r="DI567" s="1772">
        <v>-56.988000311919336</v>
      </c>
      <c r="DJ567" s="1772"/>
      <c r="DK567" s="1772">
        <v>0</v>
      </c>
      <c r="DL567" s="1772">
        <v>0</v>
      </c>
      <c r="DM567" s="1772">
        <v>0</v>
      </c>
      <c r="DN567" s="1772">
        <v>0</v>
      </c>
      <c r="DO567" s="1772">
        <v>-8.6646136728341361</v>
      </c>
      <c r="DP567" s="1772">
        <v>-0.41707059469836993</v>
      </c>
      <c r="DQ567" s="1772">
        <v>0</v>
      </c>
      <c r="DR567" s="1772">
        <v>0</v>
      </c>
      <c r="DS567" s="1772"/>
      <c r="DT567" s="1772"/>
      <c r="DU567" s="1772"/>
      <c r="DV567" s="1772">
        <v>13318.644538273378</v>
      </c>
      <c r="DW567" s="1772">
        <v>0</v>
      </c>
      <c r="DX567" s="1772">
        <v>0</v>
      </c>
      <c r="DY567" s="1772">
        <v>-445.45759999999791</v>
      </c>
      <c r="DZ567" s="1772">
        <v>40.552960000000098</v>
      </c>
      <c r="EA567" s="1772">
        <v>0</v>
      </c>
      <c r="EB567" s="1772">
        <v>0</v>
      </c>
      <c r="EC567" s="1772">
        <v>-599.83486414265826</v>
      </c>
      <c r="ED567" s="1772">
        <v>0</v>
      </c>
      <c r="EE567" s="1772">
        <v>0</v>
      </c>
      <c r="EF567" s="1772">
        <v>0</v>
      </c>
      <c r="EG567" s="1772">
        <v>0</v>
      </c>
      <c r="EH567" s="1772">
        <v>0</v>
      </c>
      <c r="EI567" s="1772">
        <v>0</v>
      </c>
      <c r="EJ567" s="1772">
        <v>0</v>
      </c>
      <c r="EK567" s="1772">
        <v>0</v>
      </c>
      <c r="EL567" s="1772">
        <v>0</v>
      </c>
      <c r="EM567" s="1772">
        <v>0</v>
      </c>
      <c r="EN567" s="1772">
        <v>0</v>
      </c>
      <c r="EO567" s="1772">
        <v>0</v>
      </c>
      <c r="EP567" s="1772">
        <v>0</v>
      </c>
      <c r="EQ567" s="1772">
        <v>0</v>
      </c>
      <c r="ER567" s="1772">
        <v>0</v>
      </c>
      <c r="ES567" s="1772">
        <v>0</v>
      </c>
      <c r="ET567" s="1772">
        <v>0</v>
      </c>
      <c r="EU567" s="1772">
        <v>0</v>
      </c>
      <c r="EV567" s="1772">
        <v>225</v>
      </c>
      <c r="EW567" s="1772">
        <v>0</v>
      </c>
      <c r="EX567" s="1772">
        <v>0</v>
      </c>
      <c r="EY567" s="1772">
        <v>0</v>
      </c>
      <c r="EZ567" s="1772"/>
      <c r="FA567" s="1772">
        <v>0</v>
      </c>
      <c r="FB567" s="1772"/>
      <c r="FC567" s="1772"/>
      <c r="FD567" s="1772"/>
      <c r="FE567" s="1772"/>
      <c r="FF567" s="1772">
        <v>0</v>
      </c>
      <c r="FG567" s="1772">
        <v>0</v>
      </c>
      <c r="FH567" s="1772">
        <v>0</v>
      </c>
      <c r="FI567" s="1772">
        <v>0</v>
      </c>
    </row>
    <row r="568" spans="1:165">
      <c r="A568" s="1772">
        <v>566</v>
      </c>
      <c r="B568" s="1772" t="s">
        <v>2379</v>
      </c>
      <c r="C568" s="1772" t="s">
        <v>2366</v>
      </c>
      <c r="D568" s="1772" t="s">
        <v>534</v>
      </c>
      <c r="E568" s="1772" t="s">
        <v>919</v>
      </c>
      <c r="F568" s="1772" t="s">
        <v>1240</v>
      </c>
      <c r="G568" s="1772" t="s">
        <v>1240</v>
      </c>
      <c r="H568" s="1772" t="s">
        <v>1240</v>
      </c>
      <c r="I568" s="1772" t="s">
        <v>2328</v>
      </c>
      <c r="J568" s="1772" t="s">
        <v>2358</v>
      </c>
      <c r="K568" s="1773">
        <v>44774</v>
      </c>
      <c r="L568" s="1772">
        <v>0</v>
      </c>
      <c r="M568" s="1772">
        <v>0</v>
      </c>
      <c r="N568" s="1772">
        <v>401.84199999999998</v>
      </c>
      <c r="O568" s="1772">
        <v>401.84199999999998</v>
      </c>
      <c r="P568" s="1772">
        <v>401.84199999999998</v>
      </c>
      <c r="Q568" s="1772">
        <v>401.84199999999998</v>
      </c>
      <c r="R568" s="1772"/>
      <c r="S568" s="1772">
        <v>69.64</v>
      </c>
      <c r="T568" s="1772">
        <v>144.41999999999999</v>
      </c>
      <c r="U568" s="1772"/>
      <c r="V568" s="1772">
        <v>86018.298519999982</v>
      </c>
      <c r="W568" s="1772">
        <v>86018.298519999982</v>
      </c>
      <c r="X568" s="1772">
        <v>84643.998879999999</v>
      </c>
      <c r="Y568" s="1772">
        <v>0</v>
      </c>
      <c r="Z568" s="1772">
        <v>21465.936970580246</v>
      </c>
      <c r="AA568" s="1772">
        <v>0</v>
      </c>
      <c r="AB568" s="1772">
        <v>0</v>
      </c>
      <c r="AC568" s="1772">
        <v>0</v>
      </c>
      <c r="AD568" s="1772">
        <v>0</v>
      </c>
      <c r="AE568" s="1772">
        <v>0</v>
      </c>
      <c r="AF568" s="1772">
        <v>58034.754451321751</v>
      </c>
      <c r="AG568" s="1772">
        <v>0</v>
      </c>
      <c r="AH568" s="1772">
        <v>0</v>
      </c>
      <c r="AI568" s="1772">
        <v>0</v>
      </c>
      <c r="AJ568" s="1772">
        <v>0</v>
      </c>
      <c r="AK568" s="1772">
        <v>0</v>
      </c>
      <c r="AL568" s="1772">
        <v>3810.569497102269</v>
      </c>
      <c r="AM568" s="1772"/>
      <c r="AN568" s="1772">
        <v>199.99081752481194</v>
      </c>
      <c r="AO568" s="1772">
        <v>0</v>
      </c>
      <c r="AP568" s="1772">
        <v>0</v>
      </c>
      <c r="AQ568" s="1772">
        <v>0</v>
      </c>
      <c r="AR568" s="1772">
        <v>0</v>
      </c>
      <c r="AS568" s="1772">
        <v>0</v>
      </c>
      <c r="AT568" s="1772">
        <v>0</v>
      </c>
      <c r="AU568" s="1772">
        <v>0</v>
      </c>
      <c r="AV568" s="1772">
        <v>0</v>
      </c>
      <c r="AW568" s="1772">
        <v>0</v>
      </c>
      <c r="AX568" s="1772">
        <v>0</v>
      </c>
      <c r="AY568" s="1772">
        <v>0</v>
      </c>
      <c r="AZ568" s="1772">
        <v>0</v>
      </c>
      <c r="BA568" s="1772"/>
      <c r="BB568" s="1772">
        <v>0</v>
      </c>
      <c r="BC568" s="1772">
        <v>0</v>
      </c>
      <c r="BD568" s="1772">
        <v>0</v>
      </c>
      <c r="BE568" s="1772">
        <v>0</v>
      </c>
      <c r="BF568" s="1772">
        <v>0</v>
      </c>
      <c r="BG568" s="1772">
        <v>2506.932463745351</v>
      </c>
      <c r="BH568" s="1772">
        <v>0</v>
      </c>
      <c r="BI568" s="1772">
        <v>0</v>
      </c>
      <c r="BJ568" s="1772">
        <v>0</v>
      </c>
      <c r="BK568" s="1772">
        <v>0</v>
      </c>
      <c r="BL568" s="1772">
        <v>0</v>
      </c>
      <c r="BM568" s="1772"/>
      <c r="BN568" s="1772"/>
      <c r="BO568" s="1772"/>
      <c r="BP568" s="1772"/>
      <c r="BQ568" s="1772"/>
      <c r="BR568" s="1772"/>
      <c r="BS568" s="1772"/>
      <c r="BT568" s="1772"/>
      <c r="BU568" s="1772"/>
      <c r="BV568" s="1772">
        <v>60541.686915067105</v>
      </c>
      <c r="BW568" s="1772"/>
      <c r="BX568" s="1772"/>
      <c r="BY568" s="1772"/>
      <c r="BZ568" s="1772"/>
      <c r="CA568" s="1772"/>
      <c r="CB568" s="1772"/>
      <c r="CC568" s="1772"/>
      <c r="CD568" s="1772"/>
      <c r="CE568" s="1772"/>
      <c r="CF568" s="1772"/>
      <c r="CG568" s="1772"/>
      <c r="CH568" s="1772"/>
      <c r="CI568" s="1772">
        <v>84643.57759999999</v>
      </c>
      <c r="CJ568" s="1772">
        <v>-1374.7509199999913</v>
      </c>
      <c r="CK568" s="1772"/>
      <c r="CL568" s="1772"/>
      <c r="CM568" s="1772"/>
      <c r="CN568" s="1772"/>
      <c r="CO568" s="1772">
        <v>-3721.0569199999991</v>
      </c>
      <c r="CP568" s="1772">
        <v>2346.7572800000012</v>
      </c>
      <c r="CQ568" s="1772">
        <v>31</v>
      </c>
      <c r="CR568" s="1772">
        <v>-1375.3400431930495</v>
      </c>
      <c r="CS568" s="1772">
        <v>0</v>
      </c>
      <c r="CT568" s="1772">
        <v>0</v>
      </c>
      <c r="CU568" s="1772">
        <v>0</v>
      </c>
      <c r="CV568" s="1772">
        <v>0</v>
      </c>
      <c r="CW568" s="1772">
        <v>0</v>
      </c>
      <c r="CX568" s="1772">
        <v>0</v>
      </c>
      <c r="CY568" s="1772">
        <v>0</v>
      </c>
      <c r="CZ568" s="1772">
        <v>0</v>
      </c>
      <c r="DA568" s="1772">
        <v>0</v>
      </c>
      <c r="DB568" s="1772">
        <v>0</v>
      </c>
      <c r="DC568" s="1772">
        <v>2346.6738569337467</v>
      </c>
      <c r="DD568" s="1772">
        <v>0</v>
      </c>
      <c r="DE568" s="1772">
        <v>0</v>
      </c>
      <c r="DF568" s="1772">
        <v>0</v>
      </c>
      <c r="DG568" s="1772">
        <v>101.36947988128986</v>
      </c>
      <c r="DH568" s="1772">
        <v>0</v>
      </c>
      <c r="DI568" s="1772">
        <v>-3297.8358325665722</v>
      </c>
      <c r="DJ568" s="1772"/>
      <c r="DK568" s="1772">
        <v>0</v>
      </c>
      <c r="DL568" s="1772">
        <v>0</v>
      </c>
      <c r="DM568" s="1772">
        <v>0</v>
      </c>
      <c r="DN568" s="1772">
        <v>0</v>
      </c>
      <c r="DO568" s="1772">
        <v>-501.41210937773803</v>
      </c>
      <c r="DP568" s="1772">
        <v>-24.135438063764724</v>
      </c>
      <c r="DQ568" s="1772">
        <v>0</v>
      </c>
      <c r="DR568" s="1772">
        <v>0</v>
      </c>
      <c r="DS568" s="1772"/>
      <c r="DT568" s="1772"/>
      <c r="DU568" s="1772"/>
      <c r="DV568" s="1772">
        <v>0</v>
      </c>
      <c r="DW568" s="1772">
        <v>0</v>
      </c>
      <c r="DX568" s="1772">
        <v>0</v>
      </c>
      <c r="DY568" s="1772">
        <v>-3721.0569199999991</v>
      </c>
      <c r="DZ568" s="1772">
        <v>2346.7572800000053</v>
      </c>
      <c r="EA568" s="1772">
        <v>0</v>
      </c>
      <c r="EB568" s="1772">
        <v>0</v>
      </c>
      <c r="EC568" s="1772">
        <v>0</v>
      </c>
      <c r="ED568" s="1772">
        <v>0</v>
      </c>
      <c r="EE568" s="1772">
        <v>0</v>
      </c>
      <c r="EF568" s="1772">
        <v>0</v>
      </c>
      <c r="EG568" s="1772">
        <v>0</v>
      </c>
      <c r="EH568" s="1772">
        <v>0</v>
      </c>
      <c r="EI568" s="1772">
        <v>0</v>
      </c>
      <c r="EJ568" s="1772">
        <v>0</v>
      </c>
      <c r="EK568" s="1772">
        <v>0</v>
      </c>
      <c r="EL568" s="1772">
        <v>0</v>
      </c>
      <c r="EM568" s="1772">
        <v>0</v>
      </c>
      <c r="EN568" s="1772">
        <v>0</v>
      </c>
      <c r="EO568" s="1772">
        <v>0</v>
      </c>
      <c r="EP568" s="1772">
        <v>0</v>
      </c>
      <c r="EQ568" s="1772">
        <v>0</v>
      </c>
      <c r="ER568" s="1772">
        <v>0</v>
      </c>
      <c r="ES568" s="1772">
        <v>0</v>
      </c>
      <c r="ET568" s="1772">
        <v>0</v>
      </c>
      <c r="EU568" s="1772">
        <v>0</v>
      </c>
      <c r="EV568" s="1772">
        <v>225</v>
      </c>
      <c r="EW568" s="1772">
        <v>0</v>
      </c>
      <c r="EX568" s="1772">
        <v>0</v>
      </c>
      <c r="EY568" s="1772">
        <v>0</v>
      </c>
      <c r="EZ568" s="1772"/>
      <c r="FA568" s="1772">
        <v>0</v>
      </c>
      <c r="FB568" s="1772"/>
      <c r="FC568" s="1772"/>
      <c r="FD568" s="1772"/>
      <c r="FE568" s="1772"/>
      <c r="FF568" s="1772">
        <v>0</v>
      </c>
      <c r="FG568" s="1772">
        <v>0</v>
      </c>
      <c r="FH568" s="1772">
        <v>0</v>
      </c>
      <c r="FI568" s="1772">
        <v>0</v>
      </c>
    </row>
    <row r="569" spans="1:165">
      <c r="A569" s="1772">
        <v>567</v>
      </c>
      <c r="B569" s="1772" t="s">
        <v>2379</v>
      </c>
      <c r="C569" s="1772" t="s">
        <v>2366</v>
      </c>
      <c r="D569" s="1772" t="s">
        <v>534</v>
      </c>
      <c r="E569" s="1772" t="s">
        <v>919</v>
      </c>
      <c r="F569" s="1772" t="s">
        <v>1240</v>
      </c>
      <c r="G569" s="1772" t="s">
        <v>1240</v>
      </c>
      <c r="H569" s="1772" t="s">
        <v>1240</v>
      </c>
      <c r="I569" s="1772" t="s">
        <v>1240</v>
      </c>
      <c r="J569" s="1772" t="s">
        <v>2358</v>
      </c>
      <c r="K569" s="1773">
        <v>44774</v>
      </c>
      <c r="L569" s="1772">
        <v>1909</v>
      </c>
      <c r="M569" s="1772">
        <v>1909</v>
      </c>
      <c r="N569" s="1772">
        <v>0</v>
      </c>
      <c r="O569" s="1772">
        <v>0</v>
      </c>
      <c r="P569" s="1772">
        <v>0</v>
      </c>
      <c r="Q569" s="1772">
        <v>0</v>
      </c>
      <c r="R569" s="1772">
        <v>34.950000000000003</v>
      </c>
      <c r="S569" s="1772"/>
      <c r="T569" s="1772"/>
      <c r="U569" s="1772">
        <v>66719.55</v>
      </c>
      <c r="V569" s="1772"/>
      <c r="W569" s="1772">
        <v>66719.55</v>
      </c>
      <c r="X569" s="1772">
        <v>65822.319999999992</v>
      </c>
      <c r="Y569" s="1772">
        <v>0</v>
      </c>
      <c r="Z569" s="1772">
        <v>0</v>
      </c>
      <c r="AA569" s="1772">
        <v>0</v>
      </c>
      <c r="AB569" s="1772">
        <v>0</v>
      </c>
      <c r="AC569" s="1772">
        <v>0</v>
      </c>
      <c r="AD569" s="1772">
        <v>24186.609087333232</v>
      </c>
      <c r="AE569" s="1772">
        <v>42541.698457860613</v>
      </c>
      <c r="AF569" s="1772"/>
      <c r="AG569" s="1772"/>
      <c r="AH569" s="1772"/>
      <c r="AI569" s="1772">
        <v>0</v>
      </c>
      <c r="AJ569" s="1772">
        <v>0</v>
      </c>
      <c r="AK569" s="1772">
        <v>0</v>
      </c>
      <c r="AL569" s="1772">
        <v>0</v>
      </c>
      <c r="AM569" s="1772"/>
      <c r="AN569" s="1772">
        <v>0</v>
      </c>
      <c r="AO569" s="1772">
        <v>0</v>
      </c>
      <c r="AP569" s="1772">
        <v>0</v>
      </c>
      <c r="AQ569" s="1772">
        <v>0</v>
      </c>
      <c r="AR569" s="1772">
        <v>0</v>
      </c>
      <c r="AS569" s="1772"/>
      <c r="AT569" s="1772"/>
      <c r="AU569" s="1772">
        <v>0</v>
      </c>
      <c r="AV569" s="1772">
        <v>0</v>
      </c>
      <c r="AW569" s="1772">
        <v>0</v>
      </c>
      <c r="AX569" s="1772"/>
      <c r="AY569" s="1772"/>
      <c r="AZ569" s="1772">
        <v>0</v>
      </c>
      <c r="BA569" s="1772"/>
      <c r="BB569" s="1772">
        <v>0</v>
      </c>
      <c r="BC569" s="1772">
        <v>0</v>
      </c>
      <c r="BD569" s="1772">
        <v>0</v>
      </c>
      <c r="BE569" s="1772">
        <v>0</v>
      </c>
      <c r="BF569" s="1772"/>
      <c r="BG569" s="1772">
        <v>0</v>
      </c>
      <c r="BH569" s="1772">
        <v>0</v>
      </c>
      <c r="BI569" s="1772">
        <v>0</v>
      </c>
      <c r="BJ569" s="1772">
        <v>0</v>
      </c>
      <c r="BK569" s="1772">
        <v>30830.6</v>
      </c>
      <c r="BL569" s="1772">
        <v>14</v>
      </c>
      <c r="BM569" s="1772"/>
      <c r="BN569" s="1772"/>
      <c r="BO569" s="1772"/>
      <c r="BP569" s="1772"/>
      <c r="BQ569" s="1772"/>
      <c r="BR569" s="1772"/>
      <c r="BS569" s="1772"/>
      <c r="BT569" s="1772"/>
      <c r="BU569" s="1772"/>
      <c r="BV569" s="1772">
        <v>0</v>
      </c>
      <c r="BW569" s="1772"/>
      <c r="BX569" s="1772"/>
      <c r="BY569" s="1772"/>
      <c r="BZ569" s="1772"/>
      <c r="CA569" s="1772"/>
      <c r="CB569" s="1772"/>
      <c r="CC569" s="1772"/>
      <c r="CD569" s="1772"/>
      <c r="CE569" s="1772"/>
      <c r="CF569" s="1772"/>
      <c r="CG569" s="1772"/>
      <c r="CH569" s="1772"/>
      <c r="CI569" s="1772">
        <v>65822.319999999992</v>
      </c>
      <c r="CJ569" s="1772">
        <v>-897.25999999999476</v>
      </c>
      <c r="CK569" s="1772"/>
      <c r="CL569" s="1772"/>
      <c r="CM569" s="1772"/>
      <c r="CN569" s="1772"/>
      <c r="CO569" s="1772">
        <v>-897.23000000001139</v>
      </c>
      <c r="CP569" s="1772">
        <v>0</v>
      </c>
      <c r="CQ569" s="1772">
        <v>31</v>
      </c>
      <c r="CR569" s="1772">
        <v>1012.2422813611302</v>
      </c>
      <c r="CS569" s="1772">
        <v>0</v>
      </c>
      <c r="CT569" s="1772">
        <v>0</v>
      </c>
      <c r="CU569" s="1772">
        <v>0</v>
      </c>
      <c r="CV569" s="1772">
        <v>0</v>
      </c>
      <c r="CW569" s="1772"/>
      <c r="CX569" s="1772"/>
      <c r="CY569" s="1772"/>
      <c r="CZ569" s="1772">
        <v>1012.2422813611302</v>
      </c>
      <c r="DA569" s="1772">
        <v>0</v>
      </c>
      <c r="DB569" s="1772">
        <v>0</v>
      </c>
      <c r="DC569" s="1772"/>
      <c r="DD569" s="1772"/>
      <c r="DE569" s="1772">
        <v>0</v>
      </c>
      <c r="DF569" s="1772">
        <v>0</v>
      </c>
      <c r="DG569" s="1772">
        <v>0</v>
      </c>
      <c r="DH569" s="1772">
        <v>0</v>
      </c>
      <c r="DI569" s="1772">
        <v>0</v>
      </c>
      <c r="DJ569" s="1772"/>
      <c r="DK569" s="1772">
        <v>0</v>
      </c>
      <c r="DL569" s="1772">
        <v>0</v>
      </c>
      <c r="DM569" s="1772"/>
      <c r="DN569" s="1772">
        <v>0</v>
      </c>
      <c r="DO569" s="1772">
        <v>0</v>
      </c>
      <c r="DP569" s="1772">
        <v>0</v>
      </c>
      <c r="DQ569" s="1772">
        <v>0</v>
      </c>
      <c r="DR569" s="1772">
        <v>0</v>
      </c>
      <c r="DS569" s="1772"/>
      <c r="DT569" s="1772"/>
      <c r="DU569" s="1772">
        <v>42541.698457860613</v>
      </c>
      <c r="DV569" s="1772"/>
      <c r="DW569" s="1772">
        <v>0</v>
      </c>
      <c r="DX569" s="1772">
        <v>0</v>
      </c>
      <c r="DY569" s="1772">
        <v>-897.23000000001048</v>
      </c>
      <c r="DZ569" s="1772"/>
      <c r="EA569" s="1772">
        <v>0</v>
      </c>
      <c r="EB569" s="1772"/>
      <c r="EC569" s="1772">
        <v>-1915.9602797068292</v>
      </c>
      <c r="ED569" s="1772"/>
      <c r="EE569" s="1772">
        <v>0</v>
      </c>
      <c r="EF569" s="1772">
        <v>0</v>
      </c>
      <c r="EG569" s="1772"/>
      <c r="EH569" s="1772">
        <v>0</v>
      </c>
      <c r="EI569" s="1772">
        <v>0</v>
      </c>
      <c r="EJ569" s="1772">
        <v>0</v>
      </c>
      <c r="EK569" s="1772">
        <v>0</v>
      </c>
      <c r="EL569" s="1772">
        <v>0</v>
      </c>
      <c r="EM569" s="1772"/>
      <c r="EN569" s="1772"/>
      <c r="EO569" s="1772">
        <v>0</v>
      </c>
      <c r="EP569" s="1772">
        <v>0</v>
      </c>
      <c r="EQ569" s="1772"/>
      <c r="ER569" s="1772">
        <v>0</v>
      </c>
      <c r="ES569" s="1772"/>
      <c r="ET569" s="1772">
        <v>0</v>
      </c>
      <c r="EU569" s="1772"/>
      <c r="EV569" s="1772">
        <v>225</v>
      </c>
      <c r="EW569" s="1772"/>
      <c r="EX569" s="1772"/>
      <c r="EY569" s="1772"/>
      <c r="EZ569" s="1772"/>
      <c r="FA569" s="1772">
        <v>0</v>
      </c>
      <c r="FB569" s="1772"/>
      <c r="FC569" s="1772"/>
      <c r="FD569" s="1772"/>
      <c r="FE569" s="1772"/>
      <c r="FF569" s="1772">
        <v>0</v>
      </c>
      <c r="FG569" s="1772">
        <v>0</v>
      </c>
      <c r="FH569" s="1772">
        <v>0</v>
      </c>
      <c r="FI569" s="1772">
        <v>0</v>
      </c>
    </row>
    <row r="570" spans="1:165">
      <c r="A570" s="1772">
        <v>568</v>
      </c>
      <c r="B570" s="1772" t="s">
        <v>2379</v>
      </c>
      <c r="C570" s="1772" t="s">
        <v>2367</v>
      </c>
      <c r="D570" s="1772" t="s">
        <v>1826</v>
      </c>
      <c r="E570" s="1772" t="s">
        <v>919</v>
      </c>
      <c r="F570" s="1772" t="s">
        <v>1240</v>
      </c>
      <c r="G570" s="1772" t="s">
        <v>1240</v>
      </c>
      <c r="H570" s="1772" t="s">
        <v>1240</v>
      </c>
      <c r="I570" s="1772" t="s">
        <v>894</v>
      </c>
      <c r="J570" s="1772" t="s">
        <v>2358</v>
      </c>
      <c r="K570" s="1773">
        <v>44774</v>
      </c>
      <c r="L570" s="1772">
        <v>0</v>
      </c>
      <c r="M570" s="1772">
        <v>0</v>
      </c>
      <c r="N570" s="1772">
        <v>7.6999999999999999E-2</v>
      </c>
      <c r="O570" s="1772">
        <v>7.6999999999999999E-2</v>
      </c>
      <c r="P570" s="1772">
        <v>7.6999999999999999E-2</v>
      </c>
      <c r="Q570" s="1772">
        <v>7.6999999999999999E-2</v>
      </c>
      <c r="R570" s="1772"/>
      <c r="S570" s="1772">
        <v>1585.55</v>
      </c>
      <c r="T570" s="1772">
        <v>144.41999999999999</v>
      </c>
      <c r="U570" s="1772"/>
      <c r="V570" s="1772">
        <v>133.20769000000001</v>
      </c>
      <c r="W570" s="1772">
        <v>133.20769000000001</v>
      </c>
      <c r="X570" s="1772">
        <v>130.03529</v>
      </c>
      <c r="Y570" s="1772">
        <v>0</v>
      </c>
      <c r="Z570" s="1772">
        <v>4.727875108500867</v>
      </c>
      <c r="AA570" s="1772">
        <v>0</v>
      </c>
      <c r="AB570" s="1772">
        <v>0</v>
      </c>
      <c r="AC570" s="1772">
        <v>0</v>
      </c>
      <c r="AD570" s="1772">
        <v>27.102168534906539</v>
      </c>
      <c r="AE570" s="1772">
        <v>88.171091871878403</v>
      </c>
      <c r="AF570" s="1772">
        <v>11.120480419547421</v>
      </c>
      <c r="AG570" s="1772">
        <v>0</v>
      </c>
      <c r="AH570" s="1772">
        <v>0</v>
      </c>
      <c r="AI570" s="1772">
        <v>0</v>
      </c>
      <c r="AJ570" s="1772">
        <v>0</v>
      </c>
      <c r="AK570" s="1772">
        <v>0</v>
      </c>
      <c r="AL570" s="1772">
        <v>0.7301721852789772</v>
      </c>
      <c r="AM570" s="1772"/>
      <c r="AN570" s="1772">
        <v>0.11202384964613073</v>
      </c>
      <c r="AO570" s="1772">
        <v>0</v>
      </c>
      <c r="AP570" s="1772">
        <v>0</v>
      </c>
      <c r="AQ570" s="1772">
        <v>0</v>
      </c>
      <c r="AR570" s="1772">
        <v>0</v>
      </c>
      <c r="AS570" s="1772">
        <v>0</v>
      </c>
      <c r="AT570" s="1772">
        <v>0</v>
      </c>
      <c r="AU570" s="1772">
        <v>0</v>
      </c>
      <c r="AV570" s="1772">
        <v>0</v>
      </c>
      <c r="AW570" s="1772">
        <v>0</v>
      </c>
      <c r="AX570" s="1772">
        <v>0</v>
      </c>
      <c r="AY570" s="1772">
        <v>0</v>
      </c>
      <c r="AZ570" s="1772">
        <v>0</v>
      </c>
      <c r="BA570" s="1772"/>
      <c r="BB570" s="1772">
        <v>0</v>
      </c>
      <c r="BC570" s="1772">
        <v>0</v>
      </c>
      <c r="BD570" s="1772">
        <v>0</v>
      </c>
      <c r="BE570" s="1772">
        <v>0</v>
      </c>
      <c r="BF570" s="1772">
        <v>0</v>
      </c>
      <c r="BG570" s="1772">
        <v>1.2441909715860779</v>
      </c>
      <c r="BH570" s="1772">
        <v>0</v>
      </c>
      <c r="BI570" s="1772">
        <v>0</v>
      </c>
      <c r="BJ570" s="1772">
        <v>0</v>
      </c>
      <c r="BK570" s="1772">
        <v>0</v>
      </c>
      <c r="BL570" s="1772">
        <v>0</v>
      </c>
      <c r="BM570" s="1772"/>
      <c r="BN570" s="1772"/>
      <c r="BO570" s="1772"/>
      <c r="BP570" s="1772"/>
      <c r="BQ570" s="1772"/>
      <c r="BR570" s="1772"/>
      <c r="BS570" s="1772"/>
      <c r="BT570" s="1772"/>
      <c r="BU570" s="1772"/>
      <c r="BV570" s="1772">
        <v>12.364671391133498</v>
      </c>
      <c r="BW570" s="1772"/>
      <c r="BX570" s="1772"/>
      <c r="BY570" s="1772"/>
      <c r="BZ570" s="1772"/>
      <c r="CA570" s="1772"/>
      <c r="CB570" s="1772"/>
      <c r="CC570" s="1772"/>
      <c r="CD570" s="1772"/>
      <c r="CE570" s="1772"/>
      <c r="CF570" s="1772"/>
      <c r="CG570" s="1772"/>
      <c r="CH570" s="1772"/>
      <c r="CI570" s="1772">
        <v>135.10159999999999</v>
      </c>
      <c r="CJ570" s="1772">
        <v>1.8639100000000042</v>
      </c>
      <c r="CK570" s="1772"/>
      <c r="CL570" s="1772"/>
      <c r="CM570" s="1772"/>
      <c r="CN570" s="1772"/>
      <c r="CO570" s="1772">
        <v>-3.6220799999999973</v>
      </c>
      <c r="CP570" s="1772">
        <v>0.44968000000000025</v>
      </c>
      <c r="CQ570" s="1772">
        <v>31</v>
      </c>
      <c r="CR570" s="1772">
        <v>0.79828863387430005</v>
      </c>
      <c r="CS570" s="1772">
        <v>0</v>
      </c>
      <c r="CT570" s="1772">
        <v>0</v>
      </c>
      <c r="CU570" s="1772">
        <v>0</v>
      </c>
      <c r="CV570" s="1772">
        <v>0</v>
      </c>
      <c r="CW570" s="1772">
        <v>0</v>
      </c>
      <c r="CX570" s="1772">
        <v>0</v>
      </c>
      <c r="CY570" s="1772">
        <v>0</v>
      </c>
      <c r="CZ570" s="1772">
        <v>1.1342623849647921</v>
      </c>
      <c r="DA570" s="1772">
        <v>0</v>
      </c>
      <c r="DB570" s="1772">
        <v>0</v>
      </c>
      <c r="DC570" s="1772">
        <v>0.44966401467218198</v>
      </c>
      <c r="DD570" s="1772">
        <v>0</v>
      </c>
      <c r="DE570" s="1772">
        <v>0</v>
      </c>
      <c r="DF570" s="1772">
        <v>0</v>
      </c>
      <c r="DG570" s="1772">
        <v>5.0309688628091154E-2</v>
      </c>
      <c r="DH570" s="1772">
        <v>0</v>
      </c>
      <c r="DI570" s="1772">
        <v>-0.72634872477650525</v>
      </c>
      <c r="DJ570" s="1772"/>
      <c r="DK570" s="1772">
        <v>0</v>
      </c>
      <c r="DL570" s="1772">
        <v>0</v>
      </c>
      <c r="DM570" s="1772">
        <v>0</v>
      </c>
      <c r="DN570" s="1772">
        <v>0</v>
      </c>
      <c r="DO570" s="1772">
        <v>-9.6079385485056013E-2</v>
      </c>
      <c r="DP570" s="1772">
        <v>-1.351934412920322E-2</v>
      </c>
      <c r="DQ570" s="1772">
        <v>0</v>
      </c>
      <c r="DR570" s="1772">
        <v>0</v>
      </c>
      <c r="DS570" s="1772"/>
      <c r="DT570" s="1772"/>
      <c r="DU570" s="1772"/>
      <c r="DV570" s="1772">
        <v>88.171091871878403</v>
      </c>
      <c r="DW570" s="1772">
        <v>0</v>
      </c>
      <c r="DX570" s="1772">
        <v>0</v>
      </c>
      <c r="DY570" s="1772">
        <v>-3.6220799999999969</v>
      </c>
      <c r="DZ570" s="1772">
        <v>0.44968000000000075</v>
      </c>
      <c r="EA570" s="1772">
        <v>0</v>
      </c>
      <c r="EB570" s="1772">
        <v>0</v>
      </c>
      <c r="EC570" s="1772">
        <v>-3.9709817888971912</v>
      </c>
      <c r="ED570" s="1772">
        <v>0</v>
      </c>
      <c r="EE570" s="1772">
        <v>0</v>
      </c>
      <c r="EF570" s="1772">
        <v>0</v>
      </c>
      <c r="EG570" s="1772">
        <v>0</v>
      </c>
      <c r="EH570" s="1772">
        <v>0</v>
      </c>
      <c r="EI570" s="1772">
        <v>0</v>
      </c>
      <c r="EJ570" s="1772">
        <v>0</v>
      </c>
      <c r="EK570" s="1772">
        <v>0</v>
      </c>
      <c r="EL570" s="1772">
        <v>0</v>
      </c>
      <c r="EM570" s="1772">
        <v>0</v>
      </c>
      <c r="EN570" s="1772">
        <v>0</v>
      </c>
      <c r="EO570" s="1772">
        <v>0</v>
      </c>
      <c r="EP570" s="1772">
        <v>0</v>
      </c>
      <c r="EQ570" s="1772">
        <v>0</v>
      </c>
      <c r="ER570" s="1772">
        <v>0</v>
      </c>
      <c r="ES570" s="1772">
        <v>0</v>
      </c>
      <c r="ET570" s="1772">
        <v>0</v>
      </c>
      <c r="EU570" s="1772">
        <v>0</v>
      </c>
      <c r="EV570" s="1772">
        <v>225</v>
      </c>
      <c r="EW570" s="1772">
        <v>0</v>
      </c>
      <c r="EX570" s="1772">
        <v>0</v>
      </c>
      <c r="EY570" s="1772">
        <v>0</v>
      </c>
      <c r="EZ570" s="1772"/>
      <c r="FA570" s="1772">
        <v>0</v>
      </c>
      <c r="FB570" s="1772"/>
      <c r="FC570" s="1772"/>
      <c r="FD570" s="1772"/>
      <c r="FE570" s="1772"/>
      <c r="FF570" s="1772">
        <v>0</v>
      </c>
      <c r="FG570" s="1772">
        <v>0</v>
      </c>
      <c r="FH570" s="1772">
        <v>0</v>
      </c>
      <c r="FI570" s="1772">
        <v>0</v>
      </c>
    </row>
    <row r="571" spans="1:165">
      <c r="A571" s="1772">
        <v>569</v>
      </c>
      <c r="B571" s="1772" t="s">
        <v>2379</v>
      </c>
      <c r="C571" s="1772" t="s">
        <v>2367</v>
      </c>
      <c r="D571" s="1772" t="s">
        <v>1826</v>
      </c>
      <c r="E571" s="1772" t="s">
        <v>919</v>
      </c>
      <c r="F571" s="1772" t="s">
        <v>1240</v>
      </c>
      <c r="G571" s="1772" t="s">
        <v>1240</v>
      </c>
      <c r="H571" s="1772" t="s">
        <v>1240</v>
      </c>
      <c r="I571" s="1772" t="s">
        <v>2328</v>
      </c>
      <c r="J571" s="1772" t="s">
        <v>2358</v>
      </c>
      <c r="K571" s="1773">
        <v>44774</v>
      </c>
      <c r="L571" s="1772">
        <v>0</v>
      </c>
      <c r="M571" s="1772">
        <v>0</v>
      </c>
      <c r="N571" s="1772">
        <v>3.302</v>
      </c>
      <c r="O571" s="1772">
        <v>3.302</v>
      </c>
      <c r="P571" s="1772">
        <v>3.302</v>
      </c>
      <c r="Q571" s="1772">
        <v>3.302</v>
      </c>
      <c r="R571" s="1772"/>
      <c r="S571" s="1772">
        <v>387.88</v>
      </c>
      <c r="T571" s="1772">
        <v>144.41999999999999</v>
      </c>
      <c r="U571" s="1772"/>
      <c r="V571" s="1772">
        <v>1757.6545999999998</v>
      </c>
      <c r="W571" s="1772">
        <v>1757.6545999999998</v>
      </c>
      <c r="X571" s="1772">
        <v>1718.9221399999999</v>
      </c>
      <c r="Y571" s="1772">
        <v>0</v>
      </c>
      <c r="Z571" s="1772">
        <v>202.74602088662161</v>
      </c>
      <c r="AA571" s="1772">
        <v>0</v>
      </c>
      <c r="AB571" s="1772">
        <v>0</v>
      </c>
      <c r="AC571" s="1772">
        <v>0</v>
      </c>
      <c r="AD571" s="1772">
        <v>232.34521228769128</v>
      </c>
      <c r="AE571" s="1772">
        <v>756.2103811706063</v>
      </c>
      <c r="AF571" s="1772">
        <v>476.88086162786476</v>
      </c>
      <c r="AG571" s="1772">
        <v>0</v>
      </c>
      <c r="AH571" s="1772">
        <v>0</v>
      </c>
      <c r="AI571" s="1772">
        <v>0</v>
      </c>
      <c r="AJ571" s="1772">
        <v>0</v>
      </c>
      <c r="AK571" s="1772">
        <v>0</v>
      </c>
      <c r="AL571" s="1772">
        <v>31.312059166119255</v>
      </c>
      <c r="AM571" s="1772"/>
      <c r="AN571" s="1772">
        <v>4.803931838071736</v>
      </c>
      <c r="AO571" s="1772">
        <v>0</v>
      </c>
      <c r="AP571" s="1772">
        <v>0</v>
      </c>
      <c r="AQ571" s="1772">
        <v>0</v>
      </c>
      <c r="AR571" s="1772">
        <v>0</v>
      </c>
      <c r="AS571" s="1772">
        <v>0</v>
      </c>
      <c r="AT571" s="1772">
        <v>0</v>
      </c>
      <c r="AU571" s="1772">
        <v>0</v>
      </c>
      <c r="AV571" s="1772">
        <v>0</v>
      </c>
      <c r="AW571" s="1772">
        <v>0</v>
      </c>
      <c r="AX571" s="1772">
        <v>0</v>
      </c>
      <c r="AY571" s="1772">
        <v>0</v>
      </c>
      <c r="AZ571" s="1772">
        <v>0</v>
      </c>
      <c r="BA571" s="1772"/>
      <c r="BB571" s="1772">
        <v>0</v>
      </c>
      <c r="BC571" s="1772">
        <v>0</v>
      </c>
      <c r="BD571" s="1772">
        <v>0</v>
      </c>
      <c r="BE571" s="1772">
        <v>0</v>
      </c>
      <c r="BF571" s="1772">
        <v>0</v>
      </c>
      <c r="BG571" s="1772">
        <v>53.354786859444538</v>
      </c>
      <c r="BH571" s="1772">
        <v>0</v>
      </c>
      <c r="BI571" s="1772">
        <v>0</v>
      </c>
      <c r="BJ571" s="1772">
        <v>0</v>
      </c>
      <c r="BK571" s="1772">
        <v>0</v>
      </c>
      <c r="BL571" s="1772">
        <v>0</v>
      </c>
      <c r="BM571" s="1772"/>
      <c r="BN571" s="1772"/>
      <c r="BO571" s="1772"/>
      <c r="BP571" s="1772"/>
      <c r="BQ571" s="1772"/>
      <c r="BR571" s="1772"/>
      <c r="BS571" s="1772"/>
      <c r="BT571" s="1772"/>
      <c r="BU571" s="1772"/>
      <c r="BV571" s="1772">
        <v>530.23564848730928</v>
      </c>
      <c r="BW571" s="1772"/>
      <c r="BX571" s="1772"/>
      <c r="BY571" s="1772"/>
      <c r="BZ571" s="1772"/>
      <c r="CA571" s="1772"/>
      <c r="CB571" s="1772"/>
      <c r="CC571" s="1772"/>
      <c r="CD571" s="1772"/>
      <c r="CE571" s="1772"/>
      <c r="CF571" s="1772"/>
      <c r="CG571" s="1772"/>
      <c r="CH571" s="1772"/>
      <c r="CI571" s="1772">
        <v>1717.8809999999999</v>
      </c>
      <c r="CJ571" s="1772">
        <v>-39.80359999999996</v>
      </c>
      <c r="CK571" s="1772"/>
      <c r="CL571" s="1772"/>
      <c r="CM571" s="1772"/>
      <c r="CN571" s="1772"/>
      <c r="CO571" s="1772">
        <v>-58.016139999999979</v>
      </c>
      <c r="CP571" s="1772">
        <v>19.283680000000011</v>
      </c>
      <c r="CQ571" s="1772">
        <v>31</v>
      </c>
      <c r="CR571" s="1772">
        <v>-4.6836404614608682</v>
      </c>
      <c r="CS571" s="1772">
        <v>0</v>
      </c>
      <c r="CT571" s="1772">
        <v>0</v>
      </c>
      <c r="CU571" s="1772">
        <v>0</v>
      </c>
      <c r="CV571" s="1772">
        <v>0</v>
      </c>
      <c r="CW571" s="1772">
        <v>0</v>
      </c>
      <c r="CX571" s="1772">
        <v>0</v>
      </c>
      <c r="CY571" s="1772">
        <v>0</v>
      </c>
      <c r="CZ571" s="1772">
        <v>9.7239611762120433</v>
      </c>
      <c r="DA571" s="1772">
        <v>0</v>
      </c>
      <c r="DB571" s="1772">
        <v>0</v>
      </c>
      <c r="DC571" s="1772">
        <v>19.282994499318761</v>
      </c>
      <c r="DD571" s="1772">
        <v>0</v>
      </c>
      <c r="DE571" s="1772">
        <v>0</v>
      </c>
      <c r="DF571" s="1772">
        <v>0</v>
      </c>
      <c r="DG571" s="1772">
        <v>2.1574362577916517</v>
      </c>
      <c r="DH571" s="1772">
        <v>0</v>
      </c>
      <c r="DI571" s="1772">
        <v>-31.148097262493792</v>
      </c>
      <c r="DJ571" s="1772"/>
      <c r="DK571" s="1772">
        <v>0</v>
      </c>
      <c r="DL571" s="1772">
        <v>0</v>
      </c>
      <c r="DM571" s="1772">
        <v>0</v>
      </c>
      <c r="DN571" s="1772">
        <v>0</v>
      </c>
      <c r="DO571" s="1772">
        <v>-4.1201835178136967</v>
      </c>
      <c r="DP571" s="1772">
        <v>-0.57975161447570223</v>
      </c>
      <c r="DQ571" s="1772">
        <v>0</v>
      </c>
      <c r="DR571" s="1772">
        <v>0</v>
      </c>
      <c r="DS571" s="1772"/>
      <c r="DT571" s="1772"/>
      <c r="DU571" s="1772"/>
      <c r="DV571" s="1772">
        <v>756.2103811706063</v>
      </c>
      <c r="DW571" s="1772">
        <v>0</v>
      </c>
      <c r="DX571" s="1772">
        <v>0</v>
      </c>
      <c r="DY571" s="1772">
        <v>-58.01613999999995</v>
      </c>
      <c r="DZ571" s="1772">
        <v>19.283680000000004</v>
      </c>
      <c r="EA571" s="1772">
        <v>0</v>
      </c>
      <c r="EB571" s="1772">
        <v>0</v>
      </c>
      <c r="EC571" s="1772">
        <v>-34.057621250363241</v>
      </c>
      <c r="ED571" s="1772">
        <v>0</v>
      </c>
      <c r="EE571" s="1772">
        <v>0</v>
      </c>
      <c r="EF571" s="1772">
        <v>0</v>
      </c>
      <c r="EG571" s="1772">
        <v>0</v>
      </c>
      <c r="EH571" s="1772">
        <v>0</v>
      </c>
      <c r="EI571" s="1772">
        <v>0</v>
      </c>
      <c r="EJ571" s="1772">
        <v>0</v>
      </c>
      <c r="EK571" s="1772">
        <v>0</v>
      </c>
      <c r="EL571" s="1772">
        <v>0</v>
      </c>
      <c r="EM571" s="1772">
        <v>0</v>
      </c>
      <c r="EN571" s="1772">
        <v>0</v>
      </c>
      <c r="EO571" s="1772">
        <v>0</v>
      </c>
      <c r="EP571" s="1772">
        <v>0</v>
      </c>
      <c r="EQ571" s="1772">
        <v>0</v>
      </c>
      <c r="ER571" s="1772">
        <v>0</v>
      </c>
      <c r="ES571" s="1772">
        <v>0</v>
      </c>
      <c r="ET571" s="1772">
        <v>0</v>
      </c>
      <c r="EU571" s="1772">
        <v>0</v>
      </c>
      <c r="EV571" s="1772">
        <v>225</v>
      </c>
      <c r="EW571" s="1772">
        <v>0</v>
      </c>
      <c r="EX571" s="1772">
        <v>0</v>
      </c>
      <c r="EY571" s="1772">
        <v>0</v>
      </c>
      <c r="EZ571" s="1772"/>
      <c r="FA571" s="1772">
        <v>0</v>
      </c>
      <c r="FB571" s="1772"/>
      <c r="FC571" s="1772"/>
      <c r="FD571" s="1772"/>
      <c r="FE571" s="1772"/>
      <c r="FF571" s="1772">
        <v>0</v>
      </c>
      <c r="FG571" s="1772">
        <v>0</v>
      </c>
      <c r="FH571" s="1772">
        <v>0</v>
      </c>
      <c r="FI571" s="1772">
        <v>0</v>
      </c>
    </row>
    <row r="572" spans="1:165">
      <c r="A572" s="1772">
        <v>570</v>
      </c>
      <c r="B572" s="1772" t="s">
        <v>2379</v>
      </c>
      <c r="C572" s="1772" t="s">
        <v>2367</v>
      </c>
      <c r="D572" s="1772" t="s">
        <v>1826</v>
      </c>
      <c r="E572" s="1772" t="s">
        <v>919</v>
      </c>
      <c r="F572" s="1772" t="s">
        <v>1240</v>
      </c>
      <c r="G572" s="1772" t="s">
        <v>1240</v>
      </c>
      <c r="H572" s="1772" t="s">
        <v>1240</v>
      </c>
      <c r="I572" s="1772" t="s">
        <v>1240</v>
      </c>
      <c r="J572" s="1772" t="s">
        <v>2358</v>
      </c>
      <c r="K572" s="1773">
        <v>44774</v>
      </c>
      <c r="L572" s="1772">
        <v>0</v>
      </c>
      <c r="M572" s="1772">
        <v>0</v>
      </c>
      <c r="N572" s="1772">
        <v>0</v>
      </c>
      <c r="O572" s="1772">
        <v>0</v>
      </c>
      <c r="P572" s="1772">
        <v>0</v>
      </c>
      <c r="Q572" s="1772">
        <v>0</v>
      </c>
      <c r="R572" s="1772"/>
      <c r="S572" s="1772"/>
      <c r="T572" s="1772"/>
      <c r="U572" s="1772"/>
      <c r="V572" s="1772"/>
      <c r="W572" s="1772"/>
      <c r="X572" s="1772"/>
      <c r="Y572" s="1772"/>
      <c r="Z572" s="1772"/>
      <c r="AA572" s="1772">
        <v>0</v>
      </c>
      <c r="AB572" s="1772"/>
      <c r="AC572" s="1772"/>
      <c r="AD572" s="1772"/>
      <c r="AE572" s="1772"/>
      <c r="AF572" s="1772"/>
      <c r="AG572" s="1772"/>
      <c r="AH572" s="1772"/>
      <c r="AI572" s="1772"/>
      <c r="AJ572" s="1772"/>
      <c r="AK572" s="1772"/>
      <c r="AL572" s="1772"/>
      <c r="AM572" s="1772"/>
      <c r="AN572" s="1772"/>
      <c r="AO572" s="1772"/>
      <c r="AP572" s="1772"/>
      <c r="AQ572" s="1772"/>
      <c r="AR572" s="1772"/>
      <c r="AS572" s="1772"/>
      <c r="AT572" s="1772"/>
      <c r="AU572" s="1772"/>
      <c r="AV572" s="1772"/>
      <c r="AW572" s="1772"/>
      <c r="AX572" s="1772"/>
      <c r="AY572" s="1772"/>
      <c r="AZ572" s="1772">
        <v>0</v>
      </c>
      <c r="BA572" s="1772"/>
      <c r="BB572" s="1772"/>
      <c r="BC572" s="1772"/>
      <c r="BD572" s="1772"/>
      <c r="BE572" s="1772"/>
      <c r="BF572" s="1772"/>
      <c r="BG572" s="1772"/>
      <c r="BH572" s="1772"/>
      <c r="BI572" s="1772">
        <v>0</v>
      </c>
      <c r="BJ572" s="1772">
        <v>0</v>
      </c>
      <c r="BK572" s="1772">
        <v>354.1</v>
      </c>
      <c r="BL572" s="1772">
        <v>4</v>
      </c>
      <c r="BM572" s="1772"/>
      <c r="BN572" s="1772"/>
      <c r="BO572" s="1772"/>
      <c r="BP572" s="1772"/>
      <c r="BQ572" s="1772"/>
      <c r="BR572" s="1772"/>
      <c r="BS572" s="1772"/>
      <c r="BT572" s="1772"/>
      <c r="BU572" s="1772"/>
      <c r="BV572" s="1772"/>
      <c r="BW572" s="1772"/>
      <c r="BX572" s="1772"/>
      <c r="BY572" s="1772"/>
      <c r="BZ572" s="1772"/>
      <c r="CA572" s="1772"/>
      <c r="CB572" s="1772"/>
      <c r="CC572" s="1772"/>
      <c r="CD572" s="1772"/>
      <c r="CE572" s="1772"/>
      <c r="CF572" s="1772"/>
      <c r="CG572" s="1772"/>
      <c r="CH572" s="1772"/>
      <c r="CI572" s="1772"/>
      <c r="CJ572" s="1772">
        <v>-0.03</v>
      </c>
      <c r="CK572" s="1772"/>
      <c r="CL572" s="1772"/>
      <c r="CM572" s="1772"/>
      <c r="CN572" s="1772"/>
      <c r="CO572" s="1772">
        <v>0</v>
      </c>
      <c r="CP572" s="1772">
        <v>0</v>
      </c>
      <c r="CQ572" s="1772">
        <v>31</v>
      </c>
      <c r="CR572" s="1772"/>
      <c r="CS572" s="1772"/>
      <c r="CT572" s="1772"/>
      <c r="CU572" s="1772"/>
      <c r="CV572" s="1772"/>
      <c r="CW572" s="1772"/>
      <c r="CX572" s="1772"/>
      <c r="CY572" s="1772"/>
      <c r="CZ572" s="1772"/>
      <c r="DA572" s="1772"/>
      <c r="DB572" s="1772"/>
      <c r="DC572" s="1772"/>
      <c r="DD572" s="1772"/>
      <c r="DE572" s="1772"/>
      <c r="DF572" s="1772"/>
      <c r="DG572" s="1772"/>
      <c r="DH572" s="1772"/>
      <c r="DI572" s="1772"/>
      <c r="DJ572" s="1772"/>
      <c r="DK572" s="1772">
        <v>0</v>
      </c>
      <c r="DL572" s="1772"/>
      <c r="DM572" s="1772"/>
      <c r="DN572" s="1772"/>
      <c r="DO572" s="1772"/>
      <c r="DP572" s="1772"/>
      <c r="DQ572" s="1772"/>
      <c r="DR572" s="1772"/>
      <c r="DS572" s="1772"/>
      <c r="DT572" s="1772"/>
      <c r="DU572" s="1772"/>
      <c r="DV572" s="1772"/>
      <c r="DW572" s="1772"/>
      <c r="DX572" s="1772"/>
      <c r="DY572" s="1772"/>
      <c r="DZ572" s="1772"/>
      <c r="EA572" s="1772"/>
      <c r="EB572" s="1772"/>
      <c r="EC572" s="1772"/>
      <c r="ED572" s="1772"/>
      <c r="EE572" s="1772"/>
      <c r="EF572" s="1772"/>
      <c r="EG572" s="1772"/>
      <c r="EH572" s="1772"/>
      <c r="EI572" s="1772"/>
      <c r="EJ572" s="1772"/>
      <c r="EK572" s="1772"/>
      <c r="EL572" s="1772"/>
      <c r="EM572" s="1772"/>
      <c r="EN572" s="1772"/>
      <c r="EO572" s="1772"/>
      <c r="EP572" s="1772"/>
      <c r="EQ572" s="1772"/>
      <c r="ER572" s="1772"/>
      <c r="ES572" s="1772"/>
      <c r="ET572" s="1772"/>
      <c r="EU572" s="1772"/>
      <c r="EV572" s="1772">
        <v>225</v>
      </c>
      <c r="EW572" s="1772"/>
      <c r="EX572" s="1772"/>
      <c r="EY572" s="1772"/>
      <c r="EZ572" s="1772"/>
      <c r="FA572" s="1772">
        <v>0</v>
      </c>
      <c r="FB572" s="1772"/>
      <c r="FC572" s="1772"/>
      <c r="FD572" s="1772"/>
      <c r="FE572" s="1772"/>
      <c r="FF572" s="1772">
        <v>0</v>
      </c>
      <c r="FG572" s="1772">
        <v>0</v>
      </c>
      <c r="FH572" s="1772">
        <v>0</v>
      </c>
      <c r="FI572" s="1772">
        <v>0</v>
      </c>
    </row>
    <row r="573" spans="1:165">
      <c r="A573" s="1772">
        <v>571</v>
      </c>
      <c r="B573" s="1772" t="s">
        <v>2379</v>
      </c>
      <c r="C573" s="1772" t="s">
        <v>2367</v>
      </c>
      <c r="D573" s="1772" t="s">
        <v>1826</v>
      </c>
      <c r="E573" s="1772" t="s">
        <v>919</v>
      </c>
      <c r="F573" s="1772" t="s">
        <v>1240</v>
      </c>
      <c r="G573" s="1772" t="s">
        <v>1240</v>
      </c>
      <c r="H573" s="1772" t="s">
        <v>1240</v>
      </c>
      <c r="I573" s="1772" t="s">
        <v>2368</v>
      </c>
      <c r="J573" s="1772" t="s">
        <v>2358</v>
      </c>
      <c r="K573" s="1773">
        <v>44774</v>
      </c>
      <c r="L573" s="1772">
        <v>0</v>
      </c>
      <c r="M573" s="1772">
        <v>0</v>
      </c>
      <c r="N573" s="1772">
        <v>8.7999999999999995E-2</v>
      </c>
      <c r="O573" s="1772">
        <v>8.7999999999999995E-2</v>
      </c>
      <c r="P573" s="1772">
        <v>8.7999999999999995E-2</v>
      </c>
      <c r="Q573" s="1772">
        <v>8.7999999999999995E-2</v>
      </c>
      <c r="R573" s="1772"/>
      <c r="S573" s="1772">
        <v>986.74</v>
      </c>
      <c r="T573" s="1772">
        <v>144.41999999999999</v>
      </c>
      <c r="U573" s="1772"/>
      <c r="V573" s="1772">
        <v>99.542079999999999</v>
      </c>
      <c r="W573" s="1772">
        <v>99.542079999999999</v>
      </c>
      <c r="X573" s="1772">
        <v>97.21271999999999</v>
      </c>
      <c r="Y573" s="1772">
        <v>0</v>
      </c>
      <c r="Z573" s="1772">
        <v>5.4032858382867053</v>
      </c>
      <c r="AA573" s="1772">
        <v>0</v>
      </c>
      <c r="AB573" s="1772">
        <v>0</v>
      </c>
      <c r="AC573" s="1772">
        <v>0</v>
      </c>
      <c r="AD573" s="1772">
        <v>18.585231422038071</v>
      </c>
      <c r="AE573" s="1772">
        <v>60.460187955493737</v>
      </c>
      <c r="AF573" s="1772">
        <v>12.709120479482767</v>
      </c>
      <c r="AG573" s="1772">
        <v>0</v>
      </c>
      <c r="AH573" s="1772">
        <v>0</v>
      </c>
      <c r="AI573" s="1772">
        <v>0</v>
      </c>
      <c r="AJ573" s="1772">
        <v>0</v>
      </c>
      <c r="AK573" s="1772">
        <v>0</v>
      </c>
      <c r="AL573" s="1772">
        <v>0.83448249746168812</v>
      </c>
      <c r="AM573" s="1772"/>
      <c r="AN573" s="1772">
        <v>0.1280272567384351</v>
      </c>
      <c r="AO573" s="1772">
        <v>0</v>
      </c>
      <c r="AP573" s="1772">
        <v>0</v>
      </c>
      <c r="AQ573" s="1772">
        <v>0</v>
      </c>
      <c r="AR573" s="1772">
        <v>0</v>
      </c>
      <c r="AS573" s="1772">
        <v>0</v>
      </c>
      <c r="AT573" s="1772">
        <v>0</v>
      </c>
      <c r="AU573" s="1772">
        <v>0</v>
      </c>
      <c r="AV573" s="1772">
        <v>0</v>
      </c>
      <c r="AW573" s="1772">
        <v>0</v>
      </c>
      <c r="AX573" s="1772">
        <v>0</v>
      </c>
      <c r="AY573" s="1772">
        <v>0</v>
      </c>
      <c r="AZ573" s="1772">
        <v>0</v>
      </c>
      <c r="BA573" s="1772"/>
      <c r="BB573" s="1772">
        <v>0</v>
      </c>
      <c r="BC573" s="1772">
        <v>0</v>
      </c>
      <c r="BD573" s="1772">
        <v>0</v>
      </c>
      <c r="BE573" s="1772">
        <v>0</v>
      </c>
      <c r="BF573" s="1772">
        <v>0</v>
      </c>
      <c r="BG573" s="1772">
        <v>1.4219325389555175</v>
      </c>
      <c r="BH573" s="1772">
        <v>0</v>
      </c>
      <c r="BI573" s="1772">
        <v>0</v>
      </c>
      <c r="BJ573" s="1772">
        <v>0</v>
      </c>
      <c r="BK573" s="1772">
        <v>0</v>
      </c>
      <c r="BL573" s="1772">
        <v>0</v>
      </c>
      <c r="BM573" s="1772"/>
      <c r="BN573" s="1772"/>
      <c r="BO573" s="1772"/>
      <c r="BP573" s="1772"/>
      <c r="BQ573" s="1772"/>
      <c r="BR573" s="1772"/>
      <c r="BS573" s="1772"/>
      <c r="BT573" s="1772"/>
      <c r="BU573" s="1772"/>
      <c r="BV573" s="1772">
        <v>14.131053018438283</v>
      </c>
      <c r="BW573" s="1772"/>
      <c r="BX573" s="1772"/>
      <c r="BY573" s="1772"/>
      <c r="BZ573" s="1772"/>
      <c r="CA573" s="1772"/>
      <c r="CB573" s="1772"/>
      <c r="CC573" s="1772"/>
      <c r="CD573" s="1772"/>
      <c r="CE573" s="1772"/>
      <c r="CF573" s="1772"/>
      <c r="CG573" s="1772"/>
      <c r="CH573" s="1772"/>
      <c r="CI573" s="1772">
        <v>99.422099999999986</v>
      </c>
      <c r="CJ573" s="1772">
        <v>-0.14998000000002776</v>
      </c>
      <c r="CK573" s="1772"/>
      <c r="CL573" s="1772"/>
      <c r="CM573" s="1772"/>
      <c r="CN573" s="1772"/>
      <c r="CO573" s="1772">
        <v>-2.8432800000000049</v>
      </c>
      <c r="CP573" s="1772">
        <v>0.51392000000000027</v>
      </c>
      <c r="CQ573" s="1772">
        <v>31</v>
      </c>
      <c r="CR573" s="1772">
        <v>0.39384705389939967</v>
      </c>
      <c r="CS573" s="1772">
        <v>0</v>
      </c>
      <c r="CT573" s="1772">
        <v>0</v>
      </c>
      <c r="CU573" s="1772">
        <v>0</v>
      </c>
      <c r="CV573" s="1772">
        <v>0</v>
      </c>
      <c r="CW573" s="1772">
        <v>0</v>
      </c>
      <c r="CX573" s="1772">
        <v>0</v>
      </c>
      <c r="CY573" s="1772">
        <v>0</v>
      </c>
      <c r="CZ573" s="1772">
        <v>0.77781705514568245</v>
      </c>
      <c r="DA573" s="1772">
        <v>0</v>
      </c>
      <c r="DB573" s="1772">
        <v>0</v>
      </c>
      <c r="DC573" s="1772">
        <v>0.51390173105392201</v>
      </c>
      <c r="DD573" s="1772">
        <v>0</v>
      </c>
      <c r="DE573" s="1772">
        <v>0</v>
      </c>
      <c r="DF573" s="1772">
        <v>0</v>
      </c>
      <c r="DG573" s="1772">
        <v>5.7496787003532779E-2</v>
      </c>
      <c r="DH573" s="1772">
        <v>0</v>
      </c>
      <c r="DI573" s="1772">
        <v>-0.83011282831600663</v>
      </c>
      <c r="DJ573" s="1772"/>
      <c r="DK573" s="1772">
        <v>0</v>
      </c>
      <c r="DL573" s="1772">
        <v>0</v>
      </c>
      <c r="DM573" s="1772">
        <v>0</v>
      </c>
      <c r="DN573" s="1772">
        <v>0</v>
      </c>
      <c r="DO573" s="1772">
        <v>-0.10980501198292103</v>
      </c>
      <c r="DP573" s="1772">
        <v>-1.5450679004803666E-2</v>
      </c>
      <c r="DQ573" s="1772">
        <v>0</v>
      </c>
      <c r="DR573" s="1772">
        <v>0</v>
      </c>
      <c r="DS573" s="1772"/>
      <c r="DT573" s="1772"/>
      <c r="DU573" s="1772"/>
      <c r="DV573" s="1772">
        <v>60.460187955493737</v>
      </c>
      <c r="DW573" s="1772">
        <v>0</v>
      </c>
      <c r="DX573" s="1772">
        <v>0</v>
      </c>
      <c r="DY573" s="1772">
        <v>-2.8432800000000071</v>
      </c>
      <c r="DZ573" s="1772">
        <v>0.5139200000000006</v>
      </c>
      <c r="EA573" s="1772">
        <v>0</v>
      </c>
      <c r="EB573" s="1772">
        <v>0</v>
      </c>
      <c r="EC573" s="1772">
        <v>-2.7229594215917245</v>
      </c>
      <c r="ED573" s="1772">
        <v>0</v>
      </c>
      <c r="EE573" s="1772">
        <v>0</v>
      </c>
      <c r="EF573" s="1772">
        <v>0</v>
      </c>
      <c r="EG573" s="1772">
        <v>0</v>
      </c>
      <c r="EH573" s="1772">
        <v>0</v>
      </c>
      <c r="EI573" s="1772">
        <v>0</v>
      </c>
      <c r="EJ573" s="1772">
        <v>0</v>
      </c>
      <c r="EK573" s="1772">
        <v>0</v>
      </c>
      <c r="EL573" s="1772">
        <v>0</v>
      </c>
      <c r="EM573" s="1772">
        <v>0</v>
      </c>
      <c r="EN573" s="1772">
        <v>0</v>
      </c>
      <c r="EO573" s="1772">
        <v>0</v>
      </c>
      <c r="EP573" s="1772">
        <v>0</v>
      </c>
      <c r="EQ573" s="1772">
        <v>0</v>
      </c>
      <c r="ER573" s="1772">
        <v>0</v>
      </c>
      <c r="ES573" s="1772">
        <v>0</v>
      </c>
      <c r="ET573" s="1772">
        <v>0</v>
      </c>
      <c r="EU573" s="1772">
        <v>0</v>
      </c>
      <c r="EV573" s="1772">
        <v>225</v>
      </c>
      <c r="EW573" s="1772">
        <v>0</v>
      </c>
      <c r="EX573" s="1772">
        <v>0</v>
      </c>
      <c r="EY573" s="1772">
        <v>0</v>
      </c>
      <c r="EZ573" s="1772"/>
      <c r="FA573" s="1772">
        <v>0</v>
      </c>
      <c r="FB573" s="1772"/>
      <c r="FC573" s="1772"/>
      <c r="FD573" s="1772"/>
      <c r="FE573" s="1772"/>
      <c r="FF573" s="1772">
        <v>0</v>
      </c>
      <c r="FG573" s="1772">
        <v>0</v>
      </c>
      <c r="FH573" s="1772">
        <v>0</v>
      </c>
      <c r="FI573" s="1772">
        <v>0</v>
      </c>
    </row>
    <row r="574" spans="1:165">
      <c r="A574" s="1772">
        <v>572</v>
      </c>
      <c r="B574" s="1772" t="s">
        <v>2379</v>
      </c>
      <c r="C574" s="1772" t="s">
        <v>2357</v>
      </c>
      <c r="D574" s="1772" t="s">
        <v>2369</v>
      </c>
      <c r="E574" s="1772" t="s">
        <v>895</v>
      </c>
      <c r="F574" s="1772" t="s">
        <v>1240</v>
      </c>
      <c r="G574" s="1772" t="s">
        <v>1240</v>
      </c>
      <c r="H574" s="1772" t="s">
        <v>1240</v>
      </c>
      <c r="I574" s="1772" t="s">
        <v>1240</v>
      </c>
      <c r="J574" s="1772" t="s">
        <v>2358</v>
      </c>
      <c r="K574" s="1773">
        <v>44774</v>
      </c>
      <c r="L574" s="1772">
        <v>0</v>
      </c>
      <c r="M574" s="1772">
        <v>0</v>
      </c>
      <c r="N574" s="1772">
        <v>214.50700000000001</v>
      </c>
      <c r="O574" s="1772">
        <v>214.50700000000001</v>
      </c>
      <c r="P574" s="1772">
        <v>214.50700000000001</v>
      </c>
      <c r="Q574" s="1772">
        <v>214.50700000000001</v>
      </c>
      <c r="R574" s="1772"/>
      <c r="S574" s="1772">
        <v>522.37</v>
      </c>
      <c r="T574" s="1772">
        <v>144.41999999999999</v>
      </c>
      <c r="U574" s="1772"/>
      <c r="V574" s="1772">
        <v>143031.12252999999</v>
      </c>
      <c r="W574" s="1772">
        <v>143031.12252999999</v>
      </c>
      <c r="X574" s="1772">
        <v>139802.79217999999</v>
      </c>
      <c r="Y574" s="1772">
        <v>0</v>
      </c>
      <c r="Z574" s="1772">
        <v>13170.93903765189</v>
      </c>
      <c r="AA574" s="1772">
        <v>0</v>
      </c>
      <c r="AB574" s="1772">
        <v>0</v>
      </c>
      <c r="AC574" s="1772">
        <v>0</v>
      </c>
      <c r="AD574" s="1772">
        <v>21871.917412886225</v>
      </c>
      <c r="AE574" s="1772">
        <v>71196.421697702477</v>
      </c>
      <c r="AF574" s="1772">
        <v>30979.49212150466</v>
      </c>
      <c r="AG574" s="1772">
        <v>0</v>
      </c>
      <c r="AH574" s="1772">
        <v>0</v>
      </c>
      <c r="AI574" s="1772">
        <v>0</v>
      </c>
      <c r="AJ574" s="1772">
        <v>0</v>
      </c>
      <c r="AK574" s="1772">
        <v>0</v>
      </c>
      <c r="AL574" s="1772">
        <v>2034.1174668524359</v>
      </c>
      <c r="AM574" s="1772"/>
      <c r="AN574" s="1772">
        <v>312.07662228626708</v>
      </c>
      <c r="AO574" s="1772">
        <v>0</v>
      </c>
      <c r="AP574" s="1772">
        <v>0</v>
      </c>
      <c r="AQ574" s="1772">
        <v>0</v>
      </c>
      <c r="AR574" s="1772">
        <v>0</v>
      </c>
      <c r="AS574" s="1772">
        <v>0</v>
      </c>
      <c r="AT574" s="1772">
        <v>0</v>
      </c>
      <c r="AU574" s="1772">
        <v>0</v>
      </c>
      <c r="AV574" s="1772">
        <v>0</v>
      </c>
      <c r="AW574" s="1772">
        <v>0</v>
      </c>
      <c r="AX574" s="1772">
        <v>0</v>
      </c>
      <c r="AY574" s="1772">
        <v>0</v>
      </c>
      <c r="AZ574" s="1772">
        <v>0</v>
      </c>
      <c r="BA574" s="1772"/>
      <c r="BB574" s="1772">
        <v>0</v>
      </c>
      <c r="BC574" s="1772">
        <v>0</v>
      </c>
      <c r="BD574" s="1772">
        <v>0</v>
      </c>
      <c r="BE574" s="1772">
        <v>0</v>
      </c>
      <c r="BF574" s="1772">
        <v>0</v>
      </c>
      <c r="BG574" s="1772">
        <v>3466.0736719742185</v>
      </c>
      <c r="BH574" s="1772">
        <v>0</v>
      </c>
      <c r="BI574" s="1772">
        <v>3.45</v>
      </c>
      <c r="BJ574" s="1772">
        <v>15.89</v>
      </c>
      <c r="BK574" s="1772">
        <v>18547.03</v>
      </c>
      <c r="BL574" s="1772">
        <v>750</v>
      </c>
      <c r="BM574" s="1772"/>
      <c r="BN574" s="1772"/>
      <c r="BO574" s="1772"/>
      <c r="BP574" s="1772"/>
      <c r="BQ574" s="1772"/>
      <c r="BR574" s="1772">
        <v>16774.447400000005</v>
      </c>
      <c r="BS574" s="1772"/>
      <c r="BT574" s="1772"/>
      <c r="BU574" s="1772"/>
      <c r="BV574" s="1772">
        <v>34445.565793478876</v>
      </c>
      <c r="BW574" s="1772"/>
      <c r="BX574" s="1772"/>
      <c r="BY574" s="1772"/>
      <c r="BZ574" s="1772"/>
      <c r="CA574" s="1772"/>
      <c r="CB574" s="1772"/>
      <c r="CC574" s="1772"/>
      <c r="CD574" s="1772"/>
      <c r="CE574" s="1772"/>
      <c r="CF574" s="1772"/>
      <c r="CG574" s="1772"/>
      <c r="CH574" s="1772"/>
      <c r="CI574" s="1772">
        <v>123030.06539999999</v>
      </c>
      <c r="CJ574" s="1772">
        <v>-2836.2369899999903</v>
      </c>
      <c r="CK574" s="1772"/>
      <c r="CL574" s="1772"/>
      <c r="CM574" s="1772"/>
      <c r="CN574" s="1772"/>
      <c r="CO574" s="1772">
        <v>-4481.0512299999973</v>
      </c>
      <c r="CP574" s="1772">
        <v>1252.7208800000008</v>
      </c>
      <c r="CQ574" s="1772">
        <v>31</v>
      </c>
      <c r="CR574" s="1772">
        <v>-20.588114899335778</v>
      </c>
      <c r="CS574" s="1772">
        <v>0</v>
      </c>
      <c r="CT574" s="1772">
        <v>0</v>
      </c>
      <c r="CU574" s="1772">
        <v>0</v>
      </c>
      <c r="CV574" s="1772">
        <v>0</v>
      </c>
      <c r="CW574" s="1772">
        <v>0</v>
      </c>
      <c r="CX574" s="1772">
        <v>0</v>
      </c>
      <c r="CY574" s="1772">
        <v>0</v>
      </c>
      <c r="CZ574" s="1772">
        <v>915.36930620675776</v>
      </c>
      <c r="DA574" s="1772">
        <v>0</v>
      </c>
      <c r="DB574" s="1772">
        <v>0</v>
      </c>
      <c r="DC574" s="1772">
        <v>1252.676347990724</v>
      </c>
      <c r="DD574" s="1772">
        <v>0</v>
      </c>
      <c r="DE574" s="1772">
        <v>0</v>
      </c>
      <c r="DF574" s="1772">
        <v>0</v>
      </c>
      <c r="DG574" s="1772">
        <v>140.15299192916837</v>
      </c>
      <c r="DH574" s="1772">
        <v>0</v>
      </c>
      <c r="DI574" s="1772">
        <v>-2023.4660507225162</v>
      </c>
      <c r="DJ574" s="1772"/>
      <c r="DK574" s="1772">
        <v>0</v>
      </c>
      <c r="DL574" s="1772">
        <v>0</v>
      </c>
      <c r="DM574" s="1772">
        <v>0</v>
      </c>
      <c r="DN574" s="1772">
        <v>0</v>
      </c>
      <c r="DO574" s="1772">
        <v>-267.65845119795972</v>
      </c>
      <c r="DP574" s="1772">
        <v>-37.662259105493433</v>
      </c>
      <c r="DQ574" s="1772">
        <v>0</v>
      </c>
      <c r="DR574" s="1772">
        <v>0</v>
      </c>
      <c r="DS574" s="1772"/>
      <c r="DT574" s="1772"/>
      <c r="DU574" s="1772"/>
      <c r="DV574" s="1772">
        <v>71196.421697702477</v>
      </c>
      <c r="DW574" s="1772">
        <v>0</v>
      </c>
      <c r="DX574" s="1772">
        <v>0</v>
      </c>
      <c r="DY574" s="1772">
        <v>-4481.0512299999973</v>
      </c>
      <c r="DZ574" s="1772">
        <v>1252.7208800000008</v>
      </c>
      <c r="EA574" s="1772">
        <v>0</v>
      </c>
      <c r="EB574" s="1772">
        <v>0</v>
      </c>
      <c r="EC574" s="1772">
        <v>-3206.4896554419392</v>
      </c>
      <c r="ED574" s="1772">
        <v>0</v>
      </c>
      <c r="EE574" s="1772">
        <v>0</v>
      </c>
      <c r="EF574" s="1772">
        <v>0</v>
      </c>
      <c r="EG574" s="1772">
        <v>0</v>
      </c>
      <c r="EH574" s="1772">
        <v>0</v>
      </c>
      <c r="EI574" s="1772">
        <v>0</v>
      </c>
      <c r="EJ574" s="1772">
        <v>0</v>
      </c>
      <c r="EK574" s="1772">
        <v>0</v>
      </c>
      <c r="EL574" s="1772">
        <v>0</v>
      </c>
      <c r="EM574" s="1772">
        <v>0</v>
      </c>
      <c r="EN574" s="1772">
        <v>0</v>
      </c>
      <c r="EO574" s="1772">
        <v>0</v>
      </c>
      <c r="EP574" s="1772">
        <v>0</v>
      </c>
      <c r="EQ574" s="1772">
        <v>0</v>
      </c>
      <c r="ER574" s="1772">
        <v>0</v>
      </c>
      <c r="ES574" s="1772">
        <v>0</v>
      </c>
      <c r="ET574" s="1772">
        <v>0</v>
      </c>
      <c r="EU574" s="1772">
        <v>0</v>
      </c>
      <c r="EV574" s="1772">
        <v>225</v>
      </c>
      <c r="EW574" s="1772">
        <v>0</v>
      </c>
      <c r="EX574" s="1772">
        <v>0</v>
      </c>
      <c r="EY574" s="1772">
        <v>0</v>
      </c>
      <c r="EZ574" s="1772"/>
      <c r="FA574" s="1772">
        <v>0</v>
      </c>
      <c r="FB574" s="1772"/>
      <c r="FC574" s="1772"/>
      <c r="FD574" s="1772"/>
      <c r="FE574" s="1772"/>
      <c r="FF574" s="1772">
        <v>0</v>
      </c>
      <c r="FG574" s="1772">
        <v>0</v>
      </c>
      <c r="FH574" s="1772">
        <v>0</v>
      </c>
      <c r="FI574" s="1772">
        <v>0</v>
      </c>
    </row>
    <row r="575" spans="1:165">
      <c r="A575" s="1772">
        <v>573</v>
      </c>
      <c r="B575" s="1772" t="s">
        <v>2379</v>
      </c>
      <c r="C575" s="1772" t="s">
        <v>2357</v>
      </c>
      <c r="D575" s="1772" t="s">
        <v>2369</v>
      </c>
      <c r="E575" s="1772" t="s">
        <v>895</v>
      </c>
      <c r="F575" s="1772" t="s">
        <v>1240</v>
      </c>
      <c r="G575" s="1772" t="s">
        <v>1240</v>
      </c>
      <c r="H575" s="1772" t="s">
        <v>1240</v>
      </c>
      <c r="I575" s="1772" t="s">
        <v>1240</v>
      </c>
      <c r="J575" s="1772" t="s">
        <v>2358</v>
      </c>
      <c r="K575" s="1773">
        <v>44774</v>
      </c>
      <c r="L575" s="1772">
        <v>0</v>
      </c>
      <c r="M575" s="1772">
        <v>0</v>
      </c>
      <c r="N575" s="1772">
        <v>5.5209999999999999</v>
      </c>
      <c r="O575" s="1772">
        <v>5.5209999999999999</v>
      </c>
      <c r="P575" s="1772">
        <v>5.5209999999999999</v>
      </c>
      <c r="Q575" s="1772">
        <v>5.5209999999999999</v>
      </c>
      <c r="R575" s="1772"/>
      <c r="S575" s="1772">
        <v>522.37</v>
      </c>
      <c r="T575" s="1772">
        <v>144.41999999999999</v>
      </c>
      <c r="U575" s="1772"/>
      <c r="V575" s="1772">
        <v>3681.3475899999999</v>
      </c>
      <c r="W575" s="1772">
        <v>3681.3475899999999</v>
      </c>
      <c r="X575" s="1772">
        <v>3598.2565399999999</v>
      </c>
      <c r="Y575" s="1772">
        <v>0</v>
      </c>
      <c r="Z575" s="1772">
        <v>338.99478537705568</v>
      </c>
      <c r="AA575" s="1772">
        <v>0</v>
      </c>
      <c r="AB575" s="1772">
        <v>0</v>
      </c>
      <c r="AC575" s="1772">
        <v>0</v>
      </c>
      <c r="AD575" s="1772">
        <v>562.94133075631487</v>
      </c>
      <c r="AE575" s="1772">
        <v>1832.4597527960175</v>
      </c>
      <c r="AF575" s="1772">
        <v>797.35288826391309</v>
      </c>
      <c r="AG575" s="1772">
        <v>0</v>
      </c>
      <c r="AH575" s="1772">
        <v>0</v>
      </c>
      <c r="AI575" s="1772">
        <v>0</v>
      </c>
      <c r="AJ575" s="1772">
        <v>0</v>
      </c>
      <c r="AK575" s="1772">
        <v>0</v>
      </c>
      <c r="AL575" s="1772">
        <v>52.354293960067956</v>
      </c>
      <c r="AM575" s="1772"/>
      <c r="AN575" s="1772">
        <v>8.032255505146594</v>
      </c>
      <c r="AO575" s="1772">
        <v>0</v>
      </c>
      <c r="AP575" s="1772">
        <v>0</v>
      </c>
      <c r="AQ575" s="1772">
        <v>0</v>
      </c>
      <c r="AR575" s="1772">
        <v>0</v>
      </c>
      <c r="AS575" s="1772">
        <v>0</v>
      </c>
      <c r="AT575" s="1772">
        <v>0</v>
      </c>
      <c r="AU575" s="1772">
        <v>0</v>
      </c>
      <c r="AV575" s="1772">
        <v>0</v>
      </c>
      <c r="AW575" s="1772">
        <v>0</v>
      </c>
      <c r="AX575" s="1772">
        <v>0</v>
      </c>
      <c r="AY575" s="1772">
        <v>0</v>
      </c>
      <c r="AZ575" s="1772">
        <v>0</v>
      </c>
      <c r="BA575" s="1772"/>
      <c r="BB575" s="1772">
        <v>0</v>
      </c>
      <c r="BC575" s="1772">
        <v>0</v>
      </c>
      <c r="BD575" s="1772">
        <v>0</v>
      </c>
      <c r="BE575" s="1772">
        <v>0</v>
      </c>
      <c r="BF575" s="1772">
        <v>0</v>
      </c>
      <c r="BG575" s="1772">
        <v>89.210108495152411</v>
      </c>
      <c r="BH575" s="1772">
        <v>0</v>
      </c>
      <c r="BI575" s="1772">
        <v>0</v>
      </c>
      <c r="BJ575" s="1772">
        <v>0</v>
      </c>
      <c r="BK575" s="1772">
        <v>941.74</v>
      </c>
      <c r="BL575" s="1772">
        <v>12</v>
      </c>
      <c r="BM575" s="1772"/>
      <c r="BN575" s="1772"/>
      <c r="BO575" s="1772"/>
      <c r="BP575" s="1772"/>
      <c r="BQ575" s="1772"/>
      <c r="BR575" s="1772">
        <v>431.74220000000008</v>
      </c>
      <c r="BS575" s="1772"/>
      <c r="BT575" s="1772"/>
      <c r="BU575" s="1772"/>
      <c r="BV575" s="1772">
        <v>886.56299675906553</v>
      </c>
      <c r="BW575" s="1772"/>
      <c r="BX575" s="1772"/>
      <c r="BY575" s="1772"/>
      <c r="BZ575" s="1772"/>
      <c r="CA575" s="1772"/>
      <c r="CB575" s="1772"/>
      <c r="CC575" s="1772"/>
      <c r="CD575" s="1772"/>
      <c r="CE575" s="1772"/>
      <c r="CF575" s="1772"/>
      <c r="CG575" s="1772"/>
      <c r="CH575" s="1772"/>
      <c r="CI575" s="1772">
        <v>3165.9407999999999</v>
      </c>
      <c r="CJ575" s="1772">
        <v>-73.646370000000843</v>
      </c>
      <c r="CK575" s="1772"/>
      <c r="CL575" s="1772"/>
      <c r="CM575" s="1772"/>
      <c r="CN575" s="1772"/>
      <c r="CO575" s="1772">
        <v>-115.33368999999992</v>
      </c>
      <c r="CP575" s="1772">
        <v>32.242640000000016</v>
      </c>
      <c r="CQ575" s="1772">
        <v>31</v>
      </c>
      <c r="CR575" s="1772">
        <v>-0.5298987089424827</v>
      </c>
      <c r="CS575" s="1772">
        <v>0</v>
      </c>
      <c r="CT575" s="1772">
        <v>0</v>
      </c>
      <c r="CU575" s="1772">
        <v>0</v>
      </c>
      <c r="CV575" s="1772">
        <v>0</v>
      </c>
      <c r="CW575" s="1772">
        <v>0</v>
      </c>
      <c r="CX575" s="1772">
        <v>0</v>
      </c>
      <c r="CY575" s="1772">
        <v>0</v>
      </c>
      <c r="CZ575" s="1772">
        <v>23.559855573792561</v>
      </c>
      <c r="DA575" s="1772">
        <v>0</v>
      </c>
      <c r="DB575" s="1772">
        <v>0</v>
      </c>
      <c r="DC575" s="1772">
        <v>32.241493831235289</v>
      </c>
      <c r="DD575" s="1772">
        <v>0</v>
      </c>
      <c r="DE575" s="1772">
        <v>0</v>
      </c>
      <c r="DF575" s="1772">
        <v>0</v>
      </c>
      <c r="DG575" s="1772">
        <v>3.6072700118920977</v>
      </c>
      <c r="DH575" s="1772">
        <v>0</v>
      </c>
      <c r="DI575" s="1772">
        <v>-52.080146876507627</v>
      </c>
      <c r="DJ575" s="1772"/>
      <c r="DK575" s="1772">
        <v>0</v>
      </c>
      <c r="DL575" s="1772">
        <v>0</v>
      </c>
      <c r="DM575" s="1772">
        <v>0</v>
      </c>
      <c r="DN575" s="1772">
        <v>0</v>
      </c>
      <c r="DO575" s="1772">
        <v>-6.8890167177012174</v>
      </c>
      <c r="DP575" s="1772">
        <v>-0.96935453165364915</v>
      </c>
      <c r="DQ575" s="1772">
        <v>0</v>
      </c>
      <c r="DR575" s="1772">
        <v>0</v>
      </c>
      <c r="DS575" s="1772"/>
      <c r="DT575" s="1772"/>
      <c r="DU575" s="1772"/>
      <c r="DV575" s="1772">
        <v>1832.4597527960175</v>
      </c>
      <c r="DW575" s="1772">
        <v>0</v>
      </c>
      <c r="DX575" s="1772">
        <v>0</v>
      </c>
      <c r="DY575" s="1772">
        <v>-115.33368999999993</v>
      </c>
      <c r="DZ575" s="1772">
        <v>32.242639999999938</v>
      </c>
      <c r="EA575" s="1772">
        <v>0</v>
      </c>
      <c r="EB575" s="1772">
        <v>0</v>
      </c>
      <c r="EC575" s="1772">
        <v>-82.528912285822571</v>
      </c>
      <c r="ED575" s="1772">
        <v>0</v>
      </c>
      <c r="EE575" s="1772">
        <v>0</v>
      </c>
      <c r="EF575" s="1772">
        <v>0</v>
      </c>
      <c r="EG575" s="1772">
        <v>0</v>
      </c>
      <c r="EH575" s="1772">
        <v>0</v>
      </c>
      <c r="EI575" s="1772">
        <v>0</v>
      </c>
      <c r="EJ575" s="1772">
        <v>0</v>
      </c>
      <c r="EK575" s="1772">
        <v>0</v>
      </c>
      <c r="EL575" s="1772">
        <v>0</v>
      </c>
      <c r="EM575" s="1772">
        <v>0</v>
      </c>
      <c r="EN575" s="1772">
        <v>0</v>
      </c>
      <c r="EO575" s="1772">
        <v>0</v>
      </c>
      <c r="EP575" s="1772">
        <v>0</v>
      </c>
      <c r="EQ575" s="1772">
        <v>0</v>
      </c>
      <c r="ER575" s="1772">
        <v>0</v>
      </c>
      <c r="ES575" s="1772">
        <v>0</v>
      </c>
      <c r="ET575" s="1772">
        <v>0</v>
      </c>
      <c r="EU575" s="1772">
        <v>0</v>
      </c>
      <c r="EV575" s="1772">
        <v>225</v>
      </c>
      <c r="EW575" s="1772">
        <v>0</v>
      </c>
      <c r="EX575" s="1772">
        <v>0</v>
      </c>
      <c r="EY575" s="1772">
        <v>0</v>
      </c>
      <c r="EZ575" s="1772"/>
      <c r="FA575" s="1772">
        <v>0</v>
      </c>
      <c r="FB575" s="1772"/>
      <c r="FC575" s="1772"/>
      <c r="FD575" s="1772"/>
      <c r="FE575" s="1772"/>
      <c r="FF575" s="1772">
        <v>0</v>
      </c>
      <c r="FG575" s="1772">
        <v>0</v>
      </c>
      <c r="FH575" s="1772">
        <v>0</v>
      </c>
      <c r="FI575" s="1772">
        <v>0</v>
      </c>
    </row>
    <row r="576" spans="1:165">
      <c r="A576" s="1772">
        <v>574</v>
      </c>
      <c r="B576" s="1772" t="s">
        <v>2379</v>
      </c>
      <c r="C576" s="1772" t="s">
        <v>2366</v>
      </c>
      <c r="D576" s="1772" t="s">
        <v>534</v>
      </c>
      <c r="E576" s="1772" t="s">
        <v>895</v>
      </c>
      <c r="F576" s="1772" t="s">
        <v>1240</v>
      </c>
      <c r="G576" s="1772" t="s">
        <v>1240</v>
      </c>
      <c r="H576" s="1772" t="s">
        <v>1240</v>
      </c>
      <c r="I576" s="1772" t="s">
        <v>894</v>
      </c>
      <c r="J576" s="1772" t="s">
        <v>2358</v>
      </c>
      <c r="K576" s="1773">
        <v>44774</v>
      </c>
      <c r="L576" s="1772">
        <v>0</v>
      </c>
      <c r="M576" s="1772">
        <v>0</v>
      </c>
      <c r="N576" s="1772">
        <v>7.0000000000000001E-3</v>
      </c>
      <c r="O576" s="1772">
        <v>6.7200000000000003E-3</v>
      </c>
      <c r="P576" s="1772">
        <v>7.0000000000000001E-3</v>
      </c>
      <c r="Q576" s="1772">
        <v>6.7200000000000003E-3</v>
      </c>
      <c r="R576" s="1772"/>
      <c r="S576" s="1772">
        <v>2740.31</v>
      </c>
      <c r="T576" s="1772">
        <v>144.41999999999999</v>
      </c>
      <c r="U576" s="1772"/>
      <c r="V576" s="1772">
        <v>20.193110000000001</v>
      </c>
      <c r="W576" s="1772">
        <v>20.193110000000001</v>
      </c>
      <c r="X576" s="1772">
        <v>19.784939999999999</v>
      </c>
      <c r="Y576" s="1772">
        <v>0</v>
      </c>
      <c r="Z576" s="1772">
        <v>0.37393194039961414</v>
      </c>
      <c r="AA576" s="1772">
        <v>0</v>
      </c>
      <c r="AB576" s="1772">
        <v>0</v>
      </c>
      <c r="AC576" s="1772">
        <v>0</v>
      </c>
      <c r="AD576" s="1772">
        <v>5.268639692731492</v>
      </c>
      <c r="AE576" s="1772">
        <v>13.42605296196913</v>
      </c>
      <c r="AF576" s="1772">
        <v>1.0109527654134018</v>
      </c>
      <c r="AG576" s="1772">
        <v>0</v>
      </c>
      <c r="AH576" s="1772">
        <v>0</v>
      </c>
      <c r="AI576" s="1772">
        <v>0</v>
      </c>
      <c r="AJ576" s="1772">
        <v>0</v>
      </c>
      <c r="AK576" s="1772">
        <v>0</v>
      </c>
      <c r="AL576" s="1772">
        <v>6.6379289570816111E-2</v>
      </c>
      <c r="AM576" s="1772"/>
      <c r="AN576" s="1772">
        <v>3.4837964241509942E-3</v>
      </c>
      <c r="AO576" s="1772">
        <v>0</v>
      </c>
      <c r="AP576" s="1772">
        <v>0</v>
      </c>
      <c r="AQ576" s="1772">
        <v>0</v>
      </c>
      <c r="AR576" s="1772">
        <v>0</v>
      </c>
      <c r="AS576" s="1772">
        <v>0</v>
      </c>
      <c r="AT576" s="1772">
        <v>0</v>
      </c>
      <c r="AU576" s="1772">
        <v>0</v>
      </c>
      <c r="AV576" s="1772">
        <v>0</v>
      </c>
      <c r="AW576" s="1772">
        <v>0</v>
      </c>
      <c r="AX576" s="1772">
        <v>0</v>
      </c>
      <c r="AY576" s="1772">
        <v>0</v>
      </c>
      <c r="AZ576" s="1772">
        <v>0</v>
      </c>
      <c r="BA576" s="1772"/>
      <c r="BB576" s="1772">
        <v>0</v>
      </c>
      <c r="BC576" s="1772">
        <v>0</v>
      </c>
      <c r="BD576" s="1772">
        <v>0</v>
      </c>
      <c r="BE576" s="1772">
        <v>0</v>
      </c>
      <c r="BF576" s="1772">
        <v>0</v>
      </c>
      <c r="BG576" s="1772">
        <v>4.3670216767330086E-2</v>
      </c>
      <c r="BH576" s="1772">
        <v>0</v>
      </c>
      <c r="BI576" s="1772">
        <v>0</v>
      </c>
      <c r="BJ576" s="1772">
        <v>0</v>
      </c>
      <c r="BK576" s="1772">
        <v>0</v>
      </c>
      <c r="BL576" s="1772">
        <v>0</v>
      </c>
      <c r="BM576" s="1772"/>
      <c r="BN576" s="1772"/>
      <c r="BO576" s="1772"/>
      <c r="BP576" s="1772"/>
      <c r="BQ576" s="1772"/>
      <c r="BR576" s="1772">
        <v>0.79139759999999959</v>
      </c>
      <c r="BS576" s="1772"/>
      <c r="BT576" s="1772"/>
      <c r="BU576" s="1772"/>
      <c r="BV576" s="1772">
        <v>1.054622982180732</v>
      </c>
      <c r="BW576" s="1772"/>
      <c r="BX576" s="1772"/>
      <c r="BY576" s="1772"/>
      <c r="BZ576" s="1772"/>
      <c r="CA576" s="1772"/>
      <c r="CB576" s="1772"/>
      <c r="CC576" s="1772"/>
      <c r="CD576" s="1772"/>
      <c r="CE576" s="1772"/>
      <c r="CF576" s="1772"/>
      <c r="CG576" s="1772"/>
      <c r="CH576" s="1772"/>
      <c r="CI576" s="1772">
        <v>28.264199999999999</v>
      </c>
      <c r="CJ576" s="1772">
        <v>8.8488143999999913</v>
      </c>
      <c r="CK576" s="1772"/>
      <c r="CL576" s="1772"/>
      <c r="CM576" s="1772"/>
      <c r="CN576" s="1772"/>
      <c r="CO576" s="1772">
        <v>-0.44905000000000067</v>
      </c>
      <c r="CP576" s="1772">
        <v>4.0880000000000027E-2</v>
      </c>
      <c r="CQ576" s="1772">
        <v>31</v>
      </c>
      <c r="CR576" s="1772">
        <v>0.19654156873236239</v>
      </c>
      <c r="CS576" s="1772">
        <v>0</v>
      </c>
      <c r="CT576" s="1772">
        <v>0</v>
      </c>
      <c r="CU576" s="1772">
        <v>0</v>
      </c>
      <c r="CV576" s="1772">
        <v>0</v>
      </c>
      <c r="CW576" s="1772">
        <v>0</v>
      </c>
      <c r="CX576" s="1772">
        <v>0</v>
      </c>
      <c r="CY576" s="1772">
        <v>0</v>
      </c>
      <c r="CZ576" s="1772">
        <v>0.22049969232907696</v>
      </c>
      <c r="DA576" s="1772">
        <v>0</v>
      </c>
      <c r="DB576" s="1772">
        <v>0</v>
      </c>
      <c r="DC576" s="1772">
        <v>4.0878546788380321E-2</v>
      </c>
      <c r="DD576" s="1772">
        <v>0</v>
      </c>
      <c r="DE576" s="1772">
        <v>0</v>
      </c>
      <c r="DF576" s="1772">
        <v>0</v>
      </c>
      <c r="DG576" s="1772">
        <v>1.7658342312874969E-3</v>
      </c>
      <c r="DH576" s="1772">
        <v>0</v>
      </c>
      <c r="DI576" s="1772">
        <v>-5.7447580959596123E-2</v>
      </c>
      <c r="DJ576" s="1772"/>
      <c r="DK576" s="1772">
        <v>0</v>
      </c>
      <c r="DL576" s="1772">
        <v>0</v>
      </c>
      <c r="DM576" s="1772">
        <v>0</v>
      </c>
      <c r="DN576" s="1772">
        <v>0</v>
      </c>
      <c r="DO576" s="1772">
        <v>-8.7344895895505453E-3</v>
      </c>
      <c r="DP576" s="1772">
        <v>-4.2043406723625987E-4</v>
      </c>
      <c r="DQ576" s="1772">
        <v>0</v>
      </c>
      <c r="DR576" s="1772">
        <v>0</v>
      </c>
      <c r="DS576" s="1772"/>
      <c r="DT576" s="1772"/>
      <c r="DU576" s="1772"/>
      <c r="DV576" s="1772">
        <v>13.42605296196913</v>
      </c>
      <c r="DW576" s="1772">
        <v>0</v>
      </c>
      <c r="DX576" s="1772">
        <v>0</v>
      </c>
      <c r="DY576" s="1772">
        <v>-0.44904999999999973</v>
      </c>
      <c r="DZ576" s="1772">
        <v>4.0880000000000027E-2</v>
      </c>
      <c r="EA576" s="1772">
        <v>0</v>
      </c>
      <c r="EB576" s="1772">
        <v>0</v>
      </c>
      <c r="EC576" s="1772">
        <v>-0.60467224207929071</v>
      </c>
      <c r="ED576" s="1772">
        <v>0</v>
      </c>
      <c r="EE576" s="1772">
        <v>0</v>
      </c>
      <c r="EF576" s="1772">
        <v>0</v>
      </c>
      <c r="EG576" s="1772">
        <v>0</v>
      </c>
      <c r="EH576" s="1772">
        <v>0</v>
      </c>
      <c r="EI576" s="1772">
        <v>0</v>
      </c>
      <c r="EJ576" s="1772">
        <v>0</v>
      </c>
      <c r="EK576" s="1772">
        <v>0</v>
      </c>
      <c r="EL576" s="1772">
        <v>0</v>
      </c>
      <c r="EM576" s="1772">
        <v>0</v>
      </c>
      <c r="EN576" s="1772">
        <v>0</v>
      </c>
      <c r="EO576" s="1772">
        <v>0</v>
      </c>
      <c r="EP576" s="1772">
        <v>0</v>
      </c>
      <c r="EQ576" s="1772">
        <v>0</v>
      </c>
      <c r="ER576" s="1772">
        <v>0</v>
      </c>
      <c r="ES576" s="1772">
        <v>0</v>
      </c>
      <c r="ET576" s="1772">
        <v>0</v>
      </c>
      <c r="EU576" s="1772">
        <v>0</v>
      </c>
      <c r="EV576" s="1772">
        <v>225</v>
      </c>
      <c r="EW576" s="1772">
        <v>0</v>
      </c>
      <c r="EX576" s="1772">
        <v>0</v>
      </c>
      <c r="EY576" s="1772">
        <v>0</v>
      </c>
      <c r="EZ576" s="1772"/>
      <c r="FA576" s="1772">
        <v>0</v>
      </c>
      <c r="FB576" s="1772"/>
      <c r="FC576" s="1772"/>
      <c r="FD576" s="1772"/>
      <c r="FE576" s="1772"/>
      <c r="FF576" s="1772">
        <v>0</v>
      </c>
      <c r="FG576" s="1772">
        <v>0</v>
      </c>
      <c r="FH576" s="1772">
        <v>0</v>
      </c>
      <c r="FI576" s="1772">
        <v>0</v>
      </c>
    </row>
    <row r="577" spans="1:165">
      <c r="A577" s="1772">
        <v>575</v>
      </c>
      <c r="B577" s="1772" t="s">
        <v>2379</v>
      </c>
      <c r="C577" s="1772" t="s">
        <v>2366</v>
      </c>
      <c r="D577" s="1772" t="s">
        <v>534</v>
      </c>
      <c r="E577" s="1772" t="s">
        <v>895</v>
      </c>
      <c r="F577" s="1772" t="s">
        <v>1240</v>
      </c>
      <c r="G577" s="1772" t="s">
        <v>1240</v>
      </c>
      <c r="H577" s="1772" t="s">
        <v>1240</v>
      </c>
      <c r="I577" s="1772" t="s">
        <v>2328</v>
      </c>
      <c r="J577" s="1772" t="s">
        <v>2358</v>
      </c>
      <c r="K577" s="1773">
        <v>44774</v>
      </c>
      <c r="L577" s="1772">
        <v>0</v>
      </c>
      <c r="M577" s="1772">
        <v>0</v>
      </c>
      <c r="N577" s="1772">
        <v>32.932000000000002</v>
      </c>
      <c r="O577" s="1772">
        <v>31.614720000000002</v>
      </c>
      <c r="P577" s="1772">
        <v>32.932000000000002</v>
      </c>
      <c r="Q577" s="1772">
        <v>31.614720000000002</v>
      </c>
      <c r="R577" s="1772"/>
      <c r="S577" s="1772">
        <v>69.64</v>
      </c>
      <c r="T577" s="1772">
        <v>144.41999999999999</v>
      </c>
      <c r="U577" s="1772"/>
      <c r="V577" s="1772">
        <v>7049.4239199999993</v>
      </c>
      <c r="W577" s="1772">
        <v>7049.4239199999993</v>
      </c>
      <c r="X577" s="1772">
        <v>6936.7964800000009</v>
      </c>
      <c r="Y577" s="1772">
        <v>0</v>
      </c>
      <c r="Z577" s="1772">
        <v>1759.1895230342989</v>
      </c>
      <c r="AA577" s="1772">
        <v>0</v>
      </c>
      <c r="AB577" s="1772">
        <v>0</v>
      </c>
      <c r="AC577" s="1772">
        <v>0</v>
      </c>
      <c r="AD577" s="1772">
        <v>0</v>
      </c>
      <c r="AE577" s="1772">
        <v>0</v>
      </c>
      <c r="AF577" s="1772">
        <v>4756.0994957991652</v>
      </c>
      <c r="AG577" s="1772">
        <v>0</v>
      </c>
      <c r="AH577" s="1772">
        <v>0</v>
      </c>
      <c r="AI577" s="1772">
        <v>0</v>
      </c>
      <c r="AJ577" s="1772">
        <v>0</v>
      </c>
      <c r="AK577" s="1772">
        <v>0</v>
      </c>
      <c r="AL577" s="1772">
        <v>312.28610916373088</v>
      </c>
      <c r="AM577" s="1772"/>
      <c r="AN577" s="1772">
        <v>16.389769120020077</v>
      </c>
      <c r="AO577" s="1772">
        <v>0</v>
      </c>
      <c r="AP577" s="1772">
        <v>0</v>
      </c>
      <c r="AQ577" s="1772">
        <v>0</v>
      </c>
      <c r="AR577" s="1772">
        <v>0</v>
      </c>
      <c r="AS577" s="1772">
        <v>0</v>
      </c>
      <c r="AT577" s="1772">
        <v>0</v>
      </c>
      <c r="AU577" s="1772">
        <v>0</v>
      </c>
      <c r="AV577" s="1772">
        <v>0</v>
      </c>
      <c r="AW577" s="1772">
        <v>0</v>
      </c>
      <c r="AX577" s="1772">
        <v>0</v>
      </c>
      <c r="AY577" s="1772">
        <v>0</v>
      </c>
      <c r="AZ577" s="1772">
        <v>0</v>
      </c>
      <c r="BA577" s="1772"/>
      <c r="BB577" s="1772">
        <v>0</v>
      </c>
      <c r="BC577" s="1772">
        <v>0</v>
      </c>
      <c r="BD577" s="1772">
        <v>0</v>
      </c>
      <c r="BE577" s="1772">
        <v>0</v>
      </c>
      <c r="BF577" s="1772">
        <v>0</v>
      </c>
      <c r="BG577" s="1772">
        <v>205.44965408310208</v>
      </c>
      <c r="BH577" s="1772">
        <v>0</v>
      </c>
      <c r="BI577" s="1772">
        <v>0</v>
      </c>
      <c r="BJ577" s="1772">
        <v>0</v>
      </c>
      <c r="BK577" s="1772">
        <v>0</v>
      </c>
      <c r="BL577" s="1772">
        <v>0</v>
      </c>
      <c r="BM577" s="1772"/>
      <c r="BN577" s="1772"/>
      <c r="BO577" s="1772"/>
      <c r="BP577" s="1772"/>
      <c r="BQ577" s="1772"/>
      <c r="BR577" s="1772">
        <v>277.47185920000004</v>
      </c>
      <c r="BS577" s="1772"/>
      <c r="BT577" s="1772"/>
      <c r="BU577" s="1772"/>
      <c r="BV577" s="1772">
        <v>4961.5491498822676</v>
      </c>
      <c r="BW577" s="1772"/>
      <c r="BX577" s="1772"/>
      <c r="BY577" s="1772"/>
      <c r="BZ577" s="1772"/>
      <c r="CA577" s="1772"/>
      <c r="CB577" s="1772"/>
      <c r="CC577" s="1772"/>
      <c r="CD577" s="1772"/>
      <c r="CE577" s="1772"/>
      <c r="CF577" s="1772"/>
      <c r="CG577" s="1772"/>
      <c r="CH577" s="1772"/>
      <c r="CI577" s="1772">
        <v>6658.3303999999989</v>
      </c>
      <c r="CJ577" s="1772">
        <v>-109.14656320000176</v>
      </c>
      <c r="CK577" s="1772"/>
      <c r="CL577" s="1772"/>
      <c r="CM577" s="1772"/>
      <c r="CN577" s="1772"/>
      <c r="CO577" s="1772">
        <v>-304.95031999999998</v>
      </c>
      <c r="CP577" s="1772">
        <v>192.32288000000011</v>
      </c>
      <c r="CQ577" s="1772">
        <v>31</v>
      </c>
      <c r="CR577" s="1772">
        <v>-112.71270375528911</v>
      </c>
      <c r="CS577" s="1772">
        <v>0</v>
      </c>
      <c r="CT577" s="1772">
        <v>0</v>
      </c>
      <c r="CU577" s="1772">
        <v>0</v>
      </c>
      <c r="CV577" s="1772">
        <v>0</v>
      </c>
      <c r="CW577" s="1772">
        <v>0</v>
      </c>
      <c r="CX577" s="1772">
        <v>0</v>
      </c>
      <c r="CY577" s="1772">
        <v>0</v>
      </c>
      <c r="CZ577" s="1772">
        <v>0</v>
      </c>
      <c r="DA577" s="1772">
        <v>0</v>
      </c>
      <c r="DB577" s="1772">
        <v>0</v>
      </c>
      <c r="DC577" s="1772">
        <v>192.31604326213346</v>
      </c>
      <c r="DD577" s="1772">
        <v>0</v>
      </c>
      <c r="DE577" s="1772">
        <v>0</v>
      </c>
      <c r="DF577" s="1772">
        <v>0</v>
      </c>
      <c r="DG577" s="1772">
        <v>8.3074932721085304</v>
      </c>
      <c r="DH577" s="1772">
        <v>0</v>
      </c>
      <c r="DI577" s="1772">
        <v>-270.26624802305969</v>
      </c>
      <c r="DJ577" s="1772"/>
      <c r="DK577" s="1772">
        <v>0</v>
      </c>
      <c r="DL577" s="1772">
        <v>0</v>
      </c>
      <c r="DM577" s="1772">
        <v>0</v>
      </c>
      <c r="DN577" s="1772">
        <v>0</v>
      </c>
      <c r="DO577" s="1772">
        <v>-41.092030166154075</v>
      </c>
      <c r="DP577" s="1772">
        <v>-1.9779621003177876</v>
      </c>
      <c r="DQ577" s="1772">
        <v>0</v>
      </c>
      <c r="DR577" s="1772">
        <v>0</v>
      </c>
      <c r="DS577" s="1772"/>
      <c r="DT577" s="1772"/>
      <c r="DU577" s="1772"/>
      <c r="DV577" s="1772">
        <v>0</v>
      </c>
      <c r="DW577" s="1772">
        <v>0</v>
      </c>
      <c r="DX577" s="1772">
        <v>0</v>
      </c>
      <c r="DY577" s="1772">
        <v>-304.95031999999992</v>
      </c>
      <c r="DZ577" s="1772">
        <v>192.32288000000062</v>
      </c>
      <c r="EA577" s="1772">
        <v>0</v>
      </c>
      <c r="EB577" s="1772">
        <v>0</v>
      </c>
      <c r="EC577" s="1772">
        <v>0</v>
      </c>
      <c r="ED577" s="1772">
        <v>0</v>
      </c>
      <c r="EE577" s="1772">
        <v>0</v>
      </c>
      <c r="EF577" s="1772">
        <v>0</v>
      </c>
      <c r="EG577" s="1772">
        <v>0</v>
      </c>
      <c r="EH577" s="1772">
        <v>0</v>
      </c>
      <c r="EI577" s="1772">
        <v>0</v>
      </c>
      <c r="EJ577" s="1772">
        <v>0</v>
      </c>
      <c r="EK577" s="1772">
        <v>0</v>
      </c>
      <c r="EL577" s="1772">
        <v>0</v>
      </c>
      <c r="EM577" s="1772">
        <v>0</v>
      </c>
      <c r="EN577" s="1772">
        <v>0</v>
      </c>
      <c r="EO577" s="1772">
        <v>0</v>
      </c>
      <c r="EP577" s="1772">
        <v>0</v>
      </c>
      <c r="EQ577" s="1772">
        <v>0</v>
      </c>
      <c r="ER577" s="1772">
        <v>0</v>
      </c>
      <c r="ES577" s="1772">
        <v>0</v>
      </c>
      <c r="ET577" s="1772">
        <v>0</v>
      </c>
      <c r="EU577" s="1772">
        <v>0</v>
      </c>
      <c r="EV577" s="1772">
        <v>225</v>
      </c>
      <c r="EW577" s="1772">
        <v>0</v>
      </c>
      <c r="EX577" s="1772">
        <v>0</v>
      </c>
      <c r="EY577" s="1772">
        <v>0</v>
      </c>
      <c r="EZ577" s="1772"/>
      <c r="FA577" s="1772">
        <v>0</v>
      </c>
      <c r="FB577" s="1772"/>
      <c r="FC577" s="1772"/>
      <c r="FD577" s="1772"/>
      <c r="FE577" s="1772"/>
      <c r="FF577" s="1772">
        <v>0</v>
      </c>
      <c r="FG577" s="1772">
        <v>0</v>
      </c>
      <c r="FH577" s="1772">
        <v>0</v>
      </c>
      <c r="FI577" s="1772">
        <v>0</v>
      </c>
    </row>
    <row r="578" spans="1:165">
      <c r="A578" s="1772">
        <v>576</v>
      </c>
      <c r="B578" s="1772" t="s">
        <v>2379</v>
      </c>
      <c r="C578" s="1772" t="s">
        <v>2366</v>
      </c>
      <c r="D578" s="1772" t="s">
        <v>534</v>
      </c>
      <c r="E578" s="1772" t="s">
        <v>895</v>
      </c>
      <c r="F578" s="1772" t="s">
        <v>1240</v>
      </c>
      <c r="G578" s="1772" t="s">
        <v>1240</v>
      </c>
      <c r="H578" s="1772" t="s">
        <v>1240</v>
      </c>
      <c r="I578" s="1772" t="s">
        <v>1240</v>
      </c>
      <c r="J578" s="1772" t="s">
        <v>2358</v>
      </c>
      <c r="K578" s="1773">
        <v>44774</v>
      </c>
      <c r="L578" s="1772">
        <v>170</v>
      </c>
      <c r="M578" s="1772">
        <v>163.19999999999999</v>
      </c>
      <c r="N578" s="1772">
        <v>0</v>
      </c>
      <c r="O578" s="1772">
        <v>0</v>
      </c>
      <c r="P578" s="1772">
        <v>0</v>
      </c>
      <c r="Q578" s="1772">
        <v>0</v>
      </c>
      <c r="R578" s="1772">
        <v>34.950000000000003</v>
      </c>
      <c r="S578" s="1772"/>
      <c r="T578" s="1772"/>
      <c r="U578" s="1772">
        <v>5941.5000000000009</v>
      </c>
      <c r="V578" s="1772"/>
      <c r="W578" s="1772">
        <v>5941.5000000000009</v>
      </c>
      <c r="X578" s="1772">
        <v>5861.5999999999995</v>
      </c>
      <c r="Y578" s="1772">
        <v>0</v>
      </c>
      <c r="Z578" s="1772">
        <v>0</v>
      </c>
      <c r="AA578" s="1772">
        <v>0</v>
      </c>
      <c r="AB578" s="1772">
        <v>0</v>
      </c>
      <c r="AC578" s="1772">
        <v>0</v>
      </c>
      <c r="AD578" s="1772">
        <v>2153.8625169442898</v>
      </c>
      <c r="AE578" s="1772">
        <v>3788.4173587408613</v>
      </c>
      <c r="AF578" s="1772"/>
      <c r="AG578" s="1772"/>
      <c r="AH578" s="1772"/>
      <c r="AI578" s="1772">
        <v>0</v>
      </c>
      <c r="AJ578" s="1772">
        <v>0</v>
      </c>
      <c r="AK578" s="1772">
        <v>0</v>
      </c>
      <c r="AL578" s="1772">
        <v>0</v>
      </c>
      <c r="AM578" s="1772"/>
      <c r="AN578" s="1772">
        <v>0</v>
      </c>
      <c r="AO578" s="1772">
        <v>0</v>
      </c>
      <c r="AP578" s="1772">
        <v>0</v>
      </c>
      <c r="AQ578" s="1772">
        <v>0</v>
      </c>
      <c r="AR578" s="1772">
        <v>0</v>
      </c>
      <c r="AS578" s="1772"/>
      <c r="AT578" s="1772"/>
      <c r="AU578" s="1772">
        <v>0</v>
      </c>
      <c r="AV578" s="1772">
        <v>0</v>
      </c>
      <c r="AW578" s="1772">
        <v>0</v>
      </c>
      <c r="AX578" s="1772"/>
      <c r="AY578" s="1772"/>
      <c r="AZ578" s="1772">
        <v>0</v>
      </c>
      <c r="BA578" s="1772"/>
      <c r="BB578" s="1772">
        <v>0</v>
      </c>
      <c r="BC578" s="1772">
        <v>0</v>
      </c>
      <c r="BD578" s="1772">
        <v>0</v>
      </c>
      <c r="BE578" s="1772">
        <v>0</v>
      </c>
      <c r="BF578" s="1772"/>
      <c r="BG578" s="1772">
        <v>0</v>
      </c>
      <c r="BH578" s="1772">
        <v>0</v>
      </c>
      <c r="BI578" s="1772">
        <v>0</v>
      </c>
      <c r="BJ578" s="1772">
        <v>0</v>
      </c>
      <c r="BK578" s="1772">
        <v>3551.52</v>
      </c>
      <c r="BL578" s="1772">
        <v>1</v>
      </c>
      <c r="BM578" s="1772"/>
      <c r="BN578" s="1772"/>
      <c r="BO578" s="1772"/>
      <c r="BP578" s="1772"/>
      <c r="BQ578" s="1772"/>
      <c r="BR578" s="1772">
        <v>234.46400000000037</v>
      </c>
      <c r="BS578" s="1772"/>
      <c r="BT578" s="1772"/>
      <c r="BU578" s="1772"/>
      <c r="BV578" s="1772">
        <v>0</v>
      </c>
      <c r="BW578" s="1772"/>
      <c r="BX578" s="1772"/>
      <c r="BY578" s="1772"/>
      <c r="BZ578" s="1772"/>
      <c r="CA578" s="1772"/>
      <c r="CB578" s="1772"/>
      <c r="CC578" s="1772"/>
      <c r="CD578" s="1772"/>
      <c r="CE578" s="1772"/>
      <c r="CF578" s="1772"/>
      <c r="CG578" s="1772"/>
      <c r="CH578" s="1772"/>
      <c r="CI578" s="1772">
        <v>5627.1359999999995</v>
      </c>
      <c r="CJ578" s="1772">
        <v>-76.734000000001288</v>
      </c>
      <c r="CK578" s="1772"/>
      <c r="CL578" s="1772"/>
      <c r="CM578" s="1772"/>
      <c r="CN578" s="1772"/>
      <c r="CO578" s="1772">
        <v>-79.900000000001015</v>
      </c>
      <c r="CP578" s="1772">
        <v>0</v>
      </c>
      <c r="CQ578" s="1772">
        <v>31</v>
      </c>
      <c r="CR578" s="1772">
        <v>90.142057533469142</v>
      </c>
      <c r="CS578" s="1772">
        <v>0</v>
      </c>
      <c r="CT578" s="1772">
        <v>0</v>
      </c>
      <c r="CU578" s="1772">
        <v>0</v>
      </c>
      <c r="CV578" s="1772">
        <v>0</v>
      </c>
      <c r="CW578" s="1772"/>
      <c r="CX578" s="1772"/>
      <c r="CY578" s="1772"/>
      <c r="CZ578" s="1772">
        <v>90.142057533469142</v>
      </c>
      <c r="DA578" s="1772">
        <v>0</v>
      </c>
      <c r="DB578" s="1772">
        <v>0</v>
      </c>
      <c r="DC578" s="1772"/>
      <c r="DD578" s="1772"/>
      <c r="DE578" s="1772">
        <v>0</v>
      </c>
      <c r="DF578" s="1772">
        <v>0</v>
      </c>
      <c r="DG578" s="1772">
        <v>0</v>
      </c>
      <c r="DH578" s="1772">
        <v>0</v>
      </c>
      <c r="DI578" s="1772">
        <v>0</v>
      </c>
      <c r="DJ578" s="1772"/>
      <c r="DK578" s="1772">
        <v>0</v>
      </c>
      <c r="DL578" s="1772">
        <v>0</v>
      </c>
      <c r="DM578" s="1772"/>
      <c r="DN578" s="1772">
        <v>0</v>
      </c>
      <c r="DO578" s="1772">
        <v>0</v>
      </c>
      <c r="DP578" s="1772">
        <v>0</v>
      </c>
      <c r="DQ578" s="1772">
        <v>0</v>
      </c>
      <c r="DR578" s="1772">
        <v>0</v>
      </c>
      <c r="DS578" s="1772"/>
      <c r="DT578" s="1772"/>
      <c r="DU578" s="1772">
        <v>3788.4173587408613</v>
      </c>
      <c r="DV578" s="1772"/>
      <c r="DW578" s="1772">
        <v>0</v>
      </c>
      <c r="DX578" s="1772">
        <v>0</v>
      </c>
      <c r="DY578" s="1772">
        <v>-79.900000000001455</v>
      </c>
      <c r="DZ578" s="1772"/>
      <c r="EA578" s="1772">
        <v>0</v>
      </c>
      <c r="EB578" s="1772"/>
      <c r="EC578" s="1772">
        <v>-170.619825851315</v>
      </c>
      <c r="ED578" s="1772"/>
      <c r="EE578" s="1772">
        <v>0</v>
      </c>
      <c r="EF578" s="1772">
        <v>0</v>
      </c>
      <c r="EG578" s="1772"/>
      <c r="EH578" s="1772">
        <v>0</v>
      </c>
      <c r="EI578" s="1772">
        <v>0</v>
      </c>
      <c r="EJ578" s="1772">
        <v>0</v>
      </c>
      <c r="EK578" s="1772">
        <v>0</v>
      </c>
      <c r="EL578" s="1772">
        <v>0</v>
      </c>
      <c r="EM578" s="1772"/>
      <c r="EN578" s="1772"/>
      <c r="EO578" s="1772">
        <v>0</v>
      </c>
      <c r="EP578" s="1772">
        <v>0</v>
      </c>
      <c r="EQ578" s="1772"/>
      <c r="ER578" s="1772">
        <v>0</v>
      </c>
      <c r="ES578" s="1772"/>
      <c r="ET578" s="1772">
        <v>0</v>
      </c>
      <c r="EU578" s="1772"/>
      <c r="EV578" s="1772">
        <v>225</v>
      </c>
      <c r="EW578" s="1772"/>
      <c r="EX578" s="1772"/>
      <c r="EY578" s="1772"/>
      <c r="EZ578" s="1772"/>
      <c r="FA578" s="1772">
        <v>0</v>
      </c>
      <c r="FB578" s="1772"/>
      <c r="FC578" s="1772"/>
      <c r="FD578" s="1772"/>
      <c r="FE578" s="1772"/>
      <c r="FF578" s="1772">
        <v>0</v>
      </c>
      <c r="FG578" s="1772">
        <v>0</v>
      </c>
      <c r="FH578" s="1772">
        <v>0</v>
      </c>
      <c r="FI578" s="1772">
        <v>0</v>
      </c>
    </row>
    <row r="579" spans="1:165">
      <c r="A579" s="1772">
        <v>577</v>
      </c>
      <c r="B579" s="1772" t="s">
        <v>2379</v>
      </c>
      <c r="C579" s="1772" t="s">
        <v>2357</v>
      </c>
      <c r="D579" s="1772" t="s">
        <v>1826</v>
      </c>
      <c r="E579" s="1772" t="s">
        <v>2370</v>
      </c>
      <c r="F579" s="1772" t="s">
        <v>1240</v>
      </c>
      <c r="G579" s="1772" t="s">
        <v>1240</v>
      </c>
      <c r="H579" s="1772" t="s">
        <v>1240</v>
      </c>
      <c r="I579" s="1772" t="s">
        <v>1240</v>
      </c>
      <c r="J579" s="1772" t="s">
        <v>2358</v>
      </c>
      <c r="K579" s="1773">
        <v>44774</v>
      </c>
      <c r="L579" s="1772">
        <v>0</v>
      </c>
      <c r="M579" s="1772">
        <v>0</v>
      </c>
      <c r="N579" s="1772">
        <v>65.524000000000001</v>
      </c>
      <c r="O579" s="1772">
        <v>65.524000000000001</v>
      </c>
      <c r="P579" s="1772">
        <v>65.524000000000001</v>
      </c>
      <c r="Q579" s="1772">
        <v>65.524000000000001</v>
      </c>
      <c r="R579" s="1772"/>
      <c r="S579" s="1772">
        <v>522.37</v>
      </c>
      <c r="T579" s="1772">
        <v>144.41999999999999</v>
      </c>
      <c r="U579" s="1772"/>
      <c r="V579" s="1772">
        <v>43690.747960000001</v>
      </c>
      <c r="W579" s="1772">
        <v>43690.747960000001</v>
      </c>
      <c r="X579" s="1772">
        <v>42704.61176</v>
      </c>
      <c r="Y579" s="1772">
        <v>0</v>
      </c>
      <c r="Z579" s="1772">
        <v>4023.2375144079328</v>
      </c>
      <c r="AA579" s="1772">
        <v>0</v>
      </c>
      <c r="AB579" s="1772">
        <v>0</v>
      </c>
      <c r="AC579" s="1772">
        <v>0</v>
      </c>
      <c r="AD579" s="1772">
        <v>6681.0664293564168</v>
      </c>
      <c r="AE579" s="1772">
        <v>21747.888578555743</v>
      </c>
      <c r="AF579" s="1772">
        <v>9463.0955715639648</v>
      </c>
      <c r="AG579" s="1772">
        <v>0</v>
      </c>
      <c r="AH579" s="1772">
        <v>0</v>
      </c>
      <c r="AI579" s="1772">
        <v>0</v>
      </c>
      <c r="AJ579" s="1772">
        <v>0</v>
      </c>
      <c r="AK579" s="1772">
        <v>0</v>
      </c>
      <c r="AL579" s="1772">
        <v>621.34808140545067</v>
      </c>
      <c r="AM579" s="1772"/>
      <c r="AN579" s="1772">
        <v>95.327931483286619</v>
      </c>
      <c r="AO579" s="1772">
        <v>0</v>
      </c>
      <c r="AP579" s="1772">
        <v>0</v>
      </c>
      <c r="AQ579" s="1772">
        <v>0</v>
      </c>
      <c r="AR579" s="1772">
        <v>0</v>
      </c>
      <c r="AS579" s="1772">
        <v>0</v>
      </c>
      <c r="AT579" s="1772">
        <v>0</v>
      </c>
      <c r="AU579" s="1772">
        <v>0</v>
      </c>
      <c r="AV579" s="1772">
        <v>0</v>
      </c>
      <c r="AW579" s="1772">
        <v>0</v>
      </c>
      <c r="AX579" s="1772">
        <v>0</v>
      </c>
      <c r="AY579" s="1772">
        <v>0</v>
      </c>
      <c r="AZ579" s="1772">
        <v>0</v>
      </c>
      <c r="BA579" s="1772"/>
      <c r="BB579" s="1772">
        <v>0</v>
      </c>
      <c r="BC579" s="1772">
        <v>0</v>
      </c>
      <c r="BD579" s="1772">
        <v>0</v>
      </c>
      <c r="BE579" s="1772">
        <v>0</v>
      </c>
      <c r="BF579" s="1772">
        <v>0</v>
      </c>
      <c r="BG579" s="1772">
        <v>1058.7580418468333</v>
      </c>
      <c r="BH579" s="1772">
        <v>0</v>
      </c>
      <c r="BI579" s="1772">
        <v>257.19</v>
      </c>
      <c r="BJ579" s="1772">
        <v>1186.98</v>
      </c>
      <c r="BK579" s="1772">
        <v>6471.33</v>
      </c>
      <c r="BL579" s="1772">
        <v>128</v>
      </c>
      <c r="BM579" s="1772"/>
      <c r="BN579" s="1772"/>
      <c r="BO579" s="1772"/>
      <c r="BP579" s="1772"/>
      <c r="BQ579" s="1772"/>
      <c r="BR579" s="1772"/>
      <c r="BS579" s="1772"/>
      <c r="BT579" s="1772"/>
      <c r="BU579" s="1772"/>
      <c r="BV579" s="1772">
        <v>10521.853613410798</v>
      </c>
      <c r="BW579" s="1772"/>
      <c r="BX579" s="1772"/>
      <c r="BY579" s="1772"/>
      <c r="BZ579" s="1772"/>
      <c r="CA579" s="1772"/>
      <c r="CB579" s="1772"/>
      <c r="CC579" s="1772"/>
      <c r="CD579" s="1772"/>
      <c r="CE579" s="1772"/>
      <c r="CF579" s="1772"/>
      <c r="CG579" s="1772"/>
      <c r="CH579" s="1772"/>
      <c r="CI579" s="1772">
        <v>42702.004799999995</v>
      </c>
      <c r="CJ579" s="1772">
        <v>-988.77316000001156</v>
      </c>
      <c r="CK579" s="1772"/>
      <c r="CL579" s="1772"/>
      <c r="CM579" s="1772"/>
      <c r="CN579" s="1772"/>
      <c r="CO579" s="1772">
        <v>-1368.7963599999991</v>
      </c>
      <c r="CP579" s="1772">
        <v>382.66016000000025</v>
      </c>
      <c r="CQ579" s="1772">
        <v>31</v>
      </c>
      <c r="CR579" s="1772">
        <v>-6.2889119733263215</v>
      </c>
      <c r="CS579" s="1772">
        <v>0</v>
      </c>
      <c r="CT579" s="1772">
        <v>0</v>
      </c>
      <c r="CU579" s="1772">
        <v>0</v>
      </c>
      <c r="CV579" s="1772">
        <v>0</v>
      </c>
      <c r="CW579" s="1772">
        <v>0</v>
      </c>
      <c r="CX579" s="1772">
        <v>0</v>
      </c>
      <c r="CY579" s="1772">
        <v>0</v>
      </c>
      <c r="CZ579" s="1772">
        <v>279.6116603182727</v>
      </c>
      <c r="DA579" s="1772">
        <v>0</v>
      </c>
      <c r="DB579" s="1772">
        <v>0</v>
      </c>
      <c r="DC579" s="1772">
        <v>382.64655710883017</v>
      </c>
      <c r="DD579" s="1772">
        <v>0</v>
      </c>
      <c r="DE579" s="1772">
        <v>0</v>
      </c>
      <c r="DF579" s="1772">
        <v>0</v>
      </c>
      <c r="DG579" s="1772">
        <v>42.81158490476696</v>
      </c>
      <c r="DH579" s="1772">
        <v>0</v>
      </c>
      <c r="DI579" s="1772">
        <v>-618.09446548384085</v>
      </c>
      <c r="DJ579" s="1772"/>
      <c r="DK579" s="1772">
        <v>0</v>
      </c>
      <c r="DL579" s="1772">
        <v>0</v>
      </c>
      <c r="DM579" s="1772">
        <v>0</v>
      </c>
      <c r="DN579" s="1772">
        <v>0</v>
      </c>
      <c r="DO579" s="1772">
        <v>-81.759813695101343</v>
      </c>
      <c r="DP579" s="1772">
        <v>-11.504435126258599</v>
      </c>
      <c r="DQ579" s="1772">
        <v>0</v>
      </c>
      <c r="DR579" s="1772">
        <v>0</v>
      </c>
      <c r="DS579" s="1772"/>
      <c r="DT579" s="1772"/>
      <c r="DU579" s="1772"/>
      <c r="DV579" s="1772">
        <v>21747.888578555743</v>
      </c>
      <c r="DW579" s="1772">
        <v>0</v>
      </c>
      <c r="DX579" s="1772">
        <v>0</v>
      </c>
      <c r="DY579" s="1772">
        <v>-1368.7963600000003</v>
      </c>
      <c r="DZ579" s="1772">
        <v>382.66016000000127</v>
      </c>
      <c r="EA579" s="1772">
        <v>0</v>
      </c>
      <c r="EB579" s="1772">
        <v>0</v>
      </c>
      <c r="EC579" s="1772">
        <v>-979.46467100457085</v>
      </c>
      <c r="ED579" s="1772">
        <v>0</v>
      </c>
      <c r="EE579" s="1772">
        <v>0</v>
      </c>
      <c r="EF579" s="1772">
        <v>0</v>
      </c>
      <c r="EG579" s="1772">
        <v>0</v>
      </c>
      <c r="EH579" s="1772">
        <v>0</v>
      </c>
      <c r="EI579" s="1772">
        <v>0</v>
      </c>
      <c r="EJ579" s="1772">
        <v>0</v>
      </c>
      <c r="EK579" s="1772">
        <v>0</v>
      </c>
      <c r="EL579" s="1772">
        <v>0</v>
      </c>
      <c r="EM579" s="1772">
        <v>0</v>
      </c>
      <c r="EN579" s="1772">
        <v>0</v>
      </c>
      <c r="EO579" s="1772">
        <v>0</v>
      </c>
      <c r="EP579" s="1772">
        <v>0</v>
      </c>
      <c r="EQ579" s="1772">
        <v>0</v>
      </c>
      <c r="ER579" s="1772">
        <v>0</v>
      </c>
      <c r="ES579" s="1772">
        <v>0</v>
      </c>
      <c r="ET579" s="1772">
        <v>0</v>
      </c>
      <c r="EU579" s="1772">
        <v>0</v>
      </c>
      <c r="EV579" s="1772">
        <v>225</v>
      </c>
      <c r="EW579" s="1772">
        <v>0</v>
      </c>
      <c r="EX579" s="1772">
        <v>0</v>
      </c>
      <c r="EY579" s="1772">
        <v>0</v>
      </c>
      <c r="EZ579" s="1772"/>
      <c r="FA579" s="1772">
        <v>0</v>
      </c>
      <c r="FB579" s="1772"/>
      <c r="FC579" s="1772"/>
      <c r="FD579" s="1772"/>
      <c r="FE579" s="1772"/>
      <c r="FF579" s="1772">
        <v>0</v>
      </c>
      <c r="FG579" s="1772">
        <v>0</v>
      </c>
      <c r="FH579" s="1772">
        <v>0</v>
      </c>
      <c r="FI579" s="1772">
        <v>0</v>
      </c>
    </row>
    <row r="580" spans="1:165">
      <c r="A580" s="1772">
        <v>578</v>
      </c>
      <c r="B580" s="1772" t="s">
        <v>2379</v>
      </c>
      <c r="C580" s="1772" t="s">
        <v>2357</v>
      </c>
      <c r="D580" s="1772" t="s">
        <v>1826</v>
      </c>
      <c r="E580" s="1772" t="s">
        <v>2370</v>
      </c>
      <c r="F580" s="1772" t="s">
        <v>1240</v>
      </c>
      <c r="G580" s="1772" t="s">
        <v>1240</v>
      </c>
      <c r="H580" s="1772" t="s">
        <v>1240</v>
      </c>
      <c r="I580" s="1772" t="s">
        <v>1240</v>
      </c>
      <c r="J580" s="1772" t="s">
        <v>2358</v>
      </c>
      <c r="K580" s="1773">
        <v>44774</v>
      </c>
      <c r="L580" s="1772">
        <v>0</v>
      </c>
      <c r="M580" s="1772">
        <v>0</v>
      </c>
      <c r="N580" s="1772">
        <v>0.48799999999999999</v>
      </c>
      <c r="O580" s="1772">
        <v>0.48799999999999999</v>
      </c>
      <c r="P580" s="1772">
        <v>0.48799999999999999</v>
      </c>
      <c r="Q580" s="1772">
        <v>0.48799999999999999</v>
      </c>
      <c r="R580" s="1772"/>
      <c r="S580" s="1772">
        <v>522.37</v>
      </c>
      <c r="T580" s="1772">
        <v>144.41999999999999</v>
      </c>
      <c r="U580" s="1772"/>
      <c r="V580" s="1772">
        <v>325.39351999999997</v>
      </c>
      <c r="W580" s="1772">
        <v>325.39351999999997</v>
      </c>
      <c r="X580" s="1772">
        <v>318.04912000000002</v>
      </c>
      <c r="Y580" s="1772">
        <v>0</v>
      </c>
      <c r="Z580" s="1772">
        <v>29.963676012317183</v>
      </c>
      <c r="AA580" s="1772">
        <v>0</v>
      </c>
      <c r="AB580" s="1772">
        <v>0</v>
      </c>
      <c r="AC580" s="1772">
        <v>0</v>
      </c>
      <c r="AD580" s="1772">
        <v>49.758262888803053</v>
      </c>
      <c r="AE580" s="1772">
        <v>161.97072258005008</v>
      </c>
      <c r="AF580" s="1772">
        <v>70.477849931677156</v>
      </c>
      <c r="AG580" s="1772">
        <v>0</v>
      </c>
      <c r="AH580" s="1772">
        <v>0</v>
      </c>
      <c r="AI580" s="1772">
        <v>0</v>
      </c>
      <c r="AJ580" s="1772">
        <v>0</v>
      </c>
      <c r="AK580" s="1772">
        <v>0</v>
      </c>
      <c r="AL580" s="1772">
        <v>4.6275847586511798</v>
      </c>
      <c r="AM580" s="1772"/>
      <c r="AN580" s="1772">
        <v>0.70996933282223107</v>
      </c>
      <c r="AO580" s="1772">
        <v>0</v>
      </c>
      <c r="AP580" s="1772">
        <v>0</v>
      </c>
      <c r="AQ580" s="1772">
        <v>0</v>
      </c>
      <c r="AR580" s="1772">
        <v>0</v>
      </c>
      <c r="AS580" s="1772">
        <v>0</v>
      </c>
      <c r="AT580" s="1772">
        <v>0</v>
      </c>
      <c r="AU580" s="1772">
        <v>0</v>
      </c>
      <c r="AV580" s="1772">
        <v>0</v>
      </c>
      <c r="AW580" s="1772">
        <v>0</v>
      </c>
      <c r="AX580" s="1772">
        <v>0</v>
      </c>
      <c r="AY580" s="1772">
        <v>0</v>
      </c>
      <c r="AZ580" s="1772">
        <v>0</v>
      </c>
      <c r="BA580" s="1772"/>
      <c r="BB580" s="1772">
        <v>0</v>
      </c>
      <c r="BC580" s="1772">
        <v>0</v>
      </c>
      <c r="BD580" s="1772">
        <v>0</v>
      </c>
      <c r="BE580" s="1772">
        <v>0</v>
      </c>
      <c r="BF580" s="1772">
        <v>0</v>
      </c>
      <c r="BG580" s="1772">
        <v>7.8852622614805972</v>
      </c>
      <c r="BH580" s="1772">
        <v>0</v>
      </c>
      <c r="BI580" s="1772">
        <v>0.39</v>
      </c>
      <c r="BJ580" s="1772">
        <v>1.81</v>
      </c>
      <c r="BK580" s="1772">
        <v>211.86</v>
      </c>
      <c r="BL580" s="1772">
        <v>2</v>
      </c>
      <c r="BM580" s="1772"/>
      <c r="BN580" s="1772"/>
      <c r="BO580" s="1772"/>
      <c r="BP580" s="1772"/>
      <c r="BQ580" s="1772"/>
      <c r="BR580" s="1772"/>
      <c r="BS580" s="1772"/>
      <c r="BT580" s="1772"/>
      <c r="BU580" s="1772"/>
      <c r="BV580" s="1772">
        <v>78.363112193157747</v>
      </c>
      <c r="BW580" s="1772"/>
      <c r="BX580" s="1772"/>
      <c r="BY580" s="1772"/>
      <c r="BZ580" s="1772"/>
      <c r="CA580" s="1772"/>
      <c r="CB580" s="1772"/>
      <c r="CC580" s="1772"/>
      <c r="CD580" s="1772"/>
      <c r="CE580" s="1772"/>
      <c r="CF580" s="1772"/>
      <c r="CG580" s="1772"/>
      <c r="CH580" s="1772"/>
      <c r="CI580" s="1772">
        <v>319.3526</v>
      </c>
      <c r="CJ580" s="1772">
        <v>-6.0709199999999441</v>
      </c>
      <c r="CK580" s="1772"/>
      <c r="CL580" s="1772"/>
      <c r="CM580" s="1772"/>
      <c r="CN580" s="1772"/>
      <c r="CO580" s="1772">
        <v>-10.194319999999992</v>
      </c>
      <c r="CP580" s="1772">
        <v>2.8499200000000018</v>
      </c>
      <c r="CQ580" s="1772">
        <v>31</v>
      </c>
      <c r="CR580" s="1772">
        <v>-4.6837632668683682E-2</v>
      </c>
      <c r="CS580" s="1772">
        <v>0</v>
      </c>
      <c r="CT580" s="1772">
        <v>0</v>
      </c>
      <c r="CU580" s="1772">
        <v>0</v>
      </c>
      <c r="CV580" s="1772">
        <v>0</v>
      </c>
      <c r="CW580" s="1772">
        <v>0</v>
      </c>
      <c r="CX580" s="1772">
        <v>0</v>
      </c>
      <c r="CY580" s="1772">
        <v>0</v>
      </c>
      <c r="CZ580" s="1772">
        <v>2.0824505560606354</v>
      </c>
      <c r="DA580" s="1772">
        <v>0</v>
      </c>
      <c r="DB580" s="1772">
        <v>0</v>
      </c>
      <c r="DC580" s="1772">
        <v>2.8498186903899381</v>
      </c>
      <c r="DD580" s="1772">
        <v>0</v>
      </c>
      <c r="DE580" s="1772">
        <v>0</v>
      </c>
      <c r="DF580" s="1772">
        <v>0</v>
      </c>
      <c r="DG580" s="1772">
        <v>0.31884581883777319</v>
      </c>
      <c r="DH580" s="1772">
        <v>0</v>
      </c>
      <c r="DI580" s="1772">
        <v>-4.6033529570251233</v>
      </c>
      <c r="DJ580" s="1772"/>
      <c r="DK580" s="1772">
        <v>0</v>
      </c>
      <c r="DL580" s="1772">
        <v>0</v>
      </c>
      <c r="DM580" s="1772">
        <v>0</v>
      </c>
      <c r="DN580" s="1772">
        <v>0</v>
      </c>
      <c r="DO580" s="1772">
        <v>-0.6089187028143801</v>
      </c>
      <c r="DP580" s="1772">
        <v>-8.5681038117547681E-2</v>
      </c>
      <c r="DQ580" s="1772">
        <v>0</v>
      </c>
      <c r="DR580" s="1772">
        <v>0</v>
      </c>
      <c r="DS580" s="1772"/>
      <c r="DT580" s="1772"/>
      <c r="DU580" s="1772"/>
      <c r="DV580" s="1772">
        <v>161.97072258005008</v>
      </c>
      <c r="DW580" s="1772">
        <v>0</v>
      </c>
      <c r="DX580" s="1772">
        <v>0</v>
      </c>
      <c r="DY580" s="1772">
        <v>-10.194320000000005</v>
      </c>
      <c r="DZ580" s="1772">
        <v>2.8499199999999973</v>
      </c>
      <c r="EA580" s="1772">
        <v>0</v>
      </c>
      <c r="EB580" s="1772">
        <v>0</v>
      </c>
      <c r="EC580" s="1772">
        <v>-7.2947127686073827</v>
      </c>
      <c r="ED580" s="1772">
        <v>0</v>
      </c>
      <c r="EE580" s="1772">
        <v>0</v>
      </c>
      <c r="EF580" s="1772">
        <v>0</v>
      </c>
      <c r="EG580" s="1772">
        <v>0</v>
      </c>
      <c r="EH580" s="1772">
        <v>0</v>
      </c>
      <c r="EI580" s="1772">
        <v>0</v>
      </c>
      <c r="EJ580" s="1772">
        <v>0</v>
      </c>
      <c r="EK580" s="1772">
        <v>0</v>
      </c>
      <c r="EL580" s="1772">
        <v>0</v>
      </c>
      <c r="EM580" s="1772">
        <v>0</v>
      </c>
      <c r="EN580" s="1772">
        <v>0</v>
      </c>
      <c r="EO580" s="1772">
        <v>0</v>
      </c>
      <c r="EP580" s="1772">
        <v>0</v>
      </c>
      <c r="EQ580" s="1772">
        <v>0</v>
      </c>
      <c r="ER580" s="1772">
        <v>0</v>
      </c>
      <c r="ES580" s="1772">
        <v>0</v>
      </c>
      <c r="ET580" s="1772">
        <v>0</v>
      </c>
      <c r="EU580" s="1772">
        <v>0</v>
      </c>
      <c r="EV580" s="1772">
        <v>225</v>
      </c>
      <c r="EW580" s="1772">
        <v>0</v>
      </c>
      <c r="EX580" s="1772">
        <v>0</v>
      </c>
      <c r="EY580" s="1772">
        <v>0</v>
      </c>
      <c r="EZ580" s="1772"/>
      <c r="FA580" s="1772">
        <v>0</v>
      </c>
      <c r="FB580" s="1772"/>
      <c r="FC580" s="1772"/>
      <c r="FD580" s="1772"/>
      <c r="FE580" s="1772"/>
      <c r="FF580" s="1772">
        <v>0</v>
      </c>
      <c r="FG580" s="1772">
        <v>0</v>
      </c>
      <c r="FH580" s="1772">
        <v>0</v>
      </c>
      <c r="FI580" s="1772">
        <v>0</v>
      </c>
    </row>
    <row r="581" spans="1:165">
      <c r="A581" s="1772">
        <v>579</v>
      </c>
      <c r="B581" s="1772" t="s">
        <v>2379</v>
      </c>
      <c r="C581" s="1772" t="s">
        <v>2366</v>
      </c>
      <c r="D581" s="1772" t="s">
        <v>534</v>
      </c>
      <c r="E581" s="1772" t="s">
        <v>2370</v>
      </c>
      <c r="F581" s="1772" t="s">
        <v>1240</v>
      </c>
      <c r="G581" s="1772" t="s">
        <v>1240</v>
      </c>
      <c r="H581" s="1772" t="s">
        <v>1240</v>
      </c>
      <c r="I581" s="1772" t="s">
        <v>894</v>
      </c>
      <c r="J581" s="1772" t="s">
        <v>2358</v>
      </c>
      <c r="K581" s="1773">
        <v>44774</v>
      </c>
      <c r="L581" s="1772">
        <v>0</v>
      </c>
      <c r="M581" s="1772">
        <v>0</v>
      </c>
      <c r="N581" s="1772">
        <v>8.6999999999999994E-2</v>
      </c>
      <c r="O581" s="1772">
        <v>8.6999999999999994E-2</v>
      </c>
      <c r="P581" s="1772">
        <v>8.6999999999999994E-2</v>
      </c>
      <c r="Q581" s="1772">
        <v>8.6999999999999994E-2</v>
      </c>
      <c r="R581" s="1772"/>
      <c r="S581" s="1772">
        <v>2740.31</v>
      </c>
      <c r="T581" s="1772">
        <v>144.41999999999999</v>
      </c>
      <c r="U581" s="1772"/>
      <c r="V581" s="1772">
        <v>250.97150999999997</v>
      </c>
      <c r="W581" s="1772">
        <v>250.97150999999997</v>
      </c>
      <c r="X581" s="1772">
        <v>245.89853999999997</v>
      </c>
      <c r="Y581" s="1772">
        <v>0</v>
      </c>
      <c r="Z581" s="1772">
        <v>4.6474398306809181</v>
      </c>
      <c r="AA581" s="1772">
        <v>0</v>
      </c>
      <c r="AB581" s="1772">
        <v>0</v>
      </c>
      <c r="AC581" s="1772">
        <v>0</v>
      </c>
      <c r="AD581" s="1772">
        <v>65.481664752519961</v>
      </c>
      <c r="AE581" s="1772">
        <v>166.86665824161634</v>
      </c>
      <c r="AF581" s="1772">
        <v>12.564698655852281</v>
      </c>
      <c r="AG581" s="1772">
        <v>0</v>
      </c>
      <c r="AH581" s="1772">
        <v>0</v>
      </c>
      <c r="AI581" s="1772">
        <v>0</v>
      </c>
      <c r="AJ581" s="1772">
        <v>0</v>
      </c>
      <c r="AK581" s="1772">
        <v>0</v>
      </c>
      <c r="AL581" s="1772">
        <v>0.82499974180871438</v>
      </c>
      <c r="AM581" s="1772"/>
      <c r="AN581" s="1772">
        <v>4.3298612700162352E-2</v>
      </c>
      <c r="AO581" s="1772">
        <v>0</v>
      </c>
      <c r="AP581" s="1772">
        <v>0</v>
      </c>
      <c r="AQ581" s="1772">
        <v>0</v>
      </c>
      <c r="AR581" s="1772">
        <v>0</v>
      </c>
      <c r="AS581" s="1772">
        <v>0</v>
      </c>
      <c r="AT581" s="1772">
        <v>0</v>
      </c>
      <c r="AU581" s="1772">
        <v>0</v>
      </c>
      <c r="AV581" s="1772">
        <v>0</v>
      </c>
      <c r="AW581" s="1772">
        <v>0</v>
      </c>
      <c r="AX581" s="1772">
        <v>0</v>
      </c>
      <c r="AY581" s="1772">
        <v>0</v>
      </c>
      <c r="AZ581" s="1772">
        <v>0</v>
      </c>
      <c r="BA581" s="1772"/>
      <c r="BB581" s="1772">
        <v>0</v>
      </c>
      <c r="BC581" s="1772">
        <v>0</v>
      </c>
      <c r="BD581" s="1772">
        <v>0</v>
      </c>
      <c r="BE581" s="1772">
        <v>0</v>
      </c>
      <c r="BF581" s="1772">
        <v>0</v>
      </c>
      <c r="BG581" s="1772">
        <v>0.54275840839395961</v>
      </c>
      <c r="BH581" s="1772">
        <v>0</v>
      </c>
      <c r="BI581" s="1772">
        <v>0</v>
      </c>
      <c r="BJ581" s="1772">
        <v>0</v>
      </c>
      <c r="BK581" s="1772">
        <v>0</v>
      </c>
      <c r="BL581" s="1772">
        <v>0</v>
      </c>
      <c r="BM581" s="1772"/>
      <c r="BN581" s="1772"/>
      <c r="BO581" s="1772"/>
      <c r="BP581" s="1772"/>
      <c r="BQ581" s="1772"/>
      <c r="BR581" s="1772"/>
      <c r="BS581" s="1772"/>
      <c r="BT581" s="1772"/>
      <c r="BU581" s="1772"/>
      <c r="BV581" s="1772">
        <v>13.10745706424624</v>
      </c>
      <c r="BW581" s="1772"/>
      <c r="BX581" s="1772"/>
      <c r="BY581" s="1772"/>
      <c r="BZ581" s="1772"/>
      <c r="CA581" s="1772"/>
      <c r="CB581" s="1772"/>
      <c r="CC581" s="1772"/>
      <c r="CD581" s="1772"/>
      <c r="CE581" s="1772"/>
      <c r="CF581" s="1772"/>
      <c r="CG581" s="1772"/>
      <c r="CH581" s="1772"/>
      <c r="CI581" s="1772">
        <v>254.37779999999998</v>
      </c>
      <c r="CJ581" s="1772">
        <v>3.37629000000004</v>
      </c>
      <c r="CK581" s="1772"/>
      <c r="CL581" s="1772"/>
      <c r="CM581" s="1772"/>
      <c r="CN581" s="1772"/>
      <c r="CO581" s="1772">
        <v>-5.5810500000000074</v>
      </c>
      <c r="CP581" s="1772">
        <v>0.50808000000000031</v>
      </c>
      <c r="CQ581" s="1772">
        <v>31</v>
      </c>
      <c r="CR581" s="1772">
        <v>2.4427309256736436</v>
      </c>
      <c r="CS581" s="1772">
        <v>0</v>
      </c>
      <c r="CT581" s="1772">
        <v>0</v>
      </c>
      <c r="CU581" s="1772">
        <v>0</v>
      </c>
      <c r="CV581" s="1772">
        <v>0</v>
      </c>
      <c r="CW581" s="1772">
        <v>0</v>
      </c>
      <c r="CX581" s="1772">
        <v>0</v>
      </c>
      <c r="CY581" s="1772">
        <v>0</v>
      </c>
      <c r="CZ581" s="1772">
        <v>2.7404961760899624</v>
      </c>
      <c r="DA581" s="1772">
        <v>0</v>
      </c>
      <c r="DB581" s="1772">
        <v>0</v>
      </c>
      <c r="DC581" s="1772">
        <v>0.50806193865558136</v>
      </c>
      <c r="DD581" s="1772">
        <v>0</v>
      </c>
      <c r="DE581" s="1772">
        <v>0</v>
      </c>
      <c r="DF581" s="1772">
        <v>0</v>
      </c>
      <c r="DG581" s="1772">
        <v>2.1946796874573127E-2</v>
      </c>
      <c r="DH581" s="1772">
        <v>0</v>
      </c>
      <c r="DI581" s="1772">
        <v>-0.71399136335498037</v>
      </c>
      <c r="DJ581" s="1772"/>
      <c r="DK581" s="1772">
        <v>0</v>
      </c>
      <c r="DL581" s="1772">
        <v>0</v>
      </c>
      <c r="DM581" s="1772">
        <v>0</v>
      </c>
      <c r="DN581" s="1772">
        <v>0</v>
      </c>
      <c r="DO581" s="1772">
        <v>-0.10855722775584242</v>
      </c>
      <c r="DP581" s="1772">
        <v>-5.225394835650661E-3</v>
      </c>
      <c r="DQ581" s="1772">
        <v>0</v>
      </c>
      <c r="DR581" s="1772">
        <v>0</v>
      </c>
      <c r="DS581" s="1772"/>
      <c r="DT581" s="1772"/>
      <c r="DU581" s="1772"/>
      <c r="DV581" s="1772">
        <v>166.86665824161634</v>
      </c>
      <c r="DW581" s="1772">
        <v>0</v>
      </c>
      <c r="DX581" s="1772">
        <v>0</v>
      </c>
      <c r="DY581" s="1772">
        <v>-5.5810500000000047</v>
      </c>
      <c r="DZ581" s="1772">
        <v>0.50808000000000142</v>
      </c>
      <c r="EA581" s="1772">
        <v>0</v>
      </c>
      <c r="EB581" s="1772">
        <v>0</v>
      </c>
      <c r="EC581" s="1772">
        <v>-7.5152121515569092</v>
      </c>
      <c r="ED581" s="1772">
        <v>0</v>
      </c>
      <c r="EE581" s="1772">
        <v>0</v>
      </c>
      <c r="EF581" s="1772">
        <v>0</v>
      </c>
      <c r="EG581" s="1772">
        <v>0</v>
      </c>
      <c r="EH581" s="1772">
        <v>0</v>
      </c>
      <c r="EI581" s="1772">
        <v>0</v>
      </c>
      <c r="EJ581" s="1772">
        <v>0</v>
      </c>
      <c r="EK581" s="1772">
        <v>0</v>
      </c>
      <c r="EL581" s="1772">
        <v>0</v>
      </c>
      <c r="EM581" s="1772">
        <v>0</v>
      </c>
      <c r="EN581" s="1772">
        <v>0</v>
      </c>
      <c r="EO581" s="1772">
        <v>0</v>
      </c>
      <c r="EP581" s="1772">
        <v>0</v>
      </c>
      <c r="EQ581" s="1772">
        <v>0</v>
      </c>
      <c r="ER581" s="1772">
        <v>0</v>
      </c>
      <c r="ES581" s="1772">
        <v>0</v>
      </c>
      <c r="ET581" s="1772">
        <v>0</v>
      </c>
      <c r="EU581" s="1772">
        <v>0</v>
      </c>
      <c r="EV581" s="1772">
        <v>225</v>
      </c>
      <c r="EW581" s="1772">
        <v>0</v>
      </c>
      <c r="EX581" s="1772">
        <v>0</v>
      </c>
      <c r="EY581" s="1772">
        <v>0</v>
      </c>
      <c r="EZ581" s="1772"/>
      <c r="FA581" s="1772">
        <v>0</v>
      </c>
      <c r="FB581" s="1772"/>
      <c r="FC581" s="1772"/>
      <c r="FD581" s="1772"/>
      <c r="FE581" s="1772"/>
      <c r="FF581" s="1772">
        <v>0</v>
      </c>
      <c r="FG581" s="1772">
        <v>0</v>
      </c>
      <c r="FH581" s="1772">
        <v>0</v>
      </c>
      <c r="FI581" s="1772">
        <v>0</v>
      </c>
    </row>
    <row r="582" spans="1:165">
      <c r="A582" s="1772">
        <v>580</v>
      </c>
      <c r="B582" s="1772" t="s">
        <v>2379</v>
      </c>
      <c r="C582" s="1772" t="s">
        <v>2366</v>
      </c>
      <c r="D582" s="1772" t="s">
        <v>534</v>
      </c>
      <c r="E582" s="1772" t="s">
        <v>2370</v>
      </c>
      <c r="F582" s="1772" t="s">
        <v>1240</v>
      </c>
      <c r="G582" s="1772" t="s">
        <v>1240</v>
      </c>
      <c r="H582" s="1772" t="s">
        <v>1240</v>
      </c>
      <c r="I582" s="1772" t="s">
        <v>2328</v>
      </c>
      <c r="J582" s="1772" t="s">
        <v>2358</v>
      </c>
      <c r="K582" s="1773">
        <v>44774</v>
      </c>
      <c r="L582" s="1772">
        <v>0</v>
      </c>
      <c r="M582" s="1772">
        <v>0</v>
      </c>
      <c r="N582" s="1772">
        <v>1.732</v>
      </c>
      <c r="O582" s="1772">
        <v>1.732</v>
      </c>
      <c r="P582" s="1772">
        <v>1.732</v>
      </c>
      <c r="Q582" s="1772">
        <v>1.732</v>
      </c>
      <c r="R582" s="1772"/>
      <c r="S582" s="1772">
        <v>69.64</v>
      </c>
      <c r="T582" s="1772">
        <v>144.41999999999999</v>
      </c>
      <c r="U582" s="1772"/>
      <c r="V582" s="1772">
        <v>370.75191999999998</v>
      </c>
      <c r="W582" s="1772">
        <v>370.75191999999998</v>
      </c>
      <c r="X582" s="1772">
        <v>364.82848000000001</v>
      </c>
      <c r="Y582" s="1772">
        <v>0</v>
      </c>
      <c r="Z582" s="1772">
        <v>92.521445824590231</v>
      </c>
      <c r="AA582" s="1772">
        <v>0</v>
      </c>
      <c r="AB582" s="1772">
        <v>0</v>
      </c>
      <c r="AC582" s="1772">
        <v>0</v>
      </c>
      <c r="AD582" s="1772">
        <v>0</v>
      </c>
      <c r="AE582" s="1772">
        <v>0</v>
      </c>
      <c r="AF582" s="1772">
        <v>250.13859852800172</v>
      </c>
      <c r="AG582" s="1772">
        <v>0</v>
      </c>
      <c r="AH582" s="1772">
        <v>0</v>
      </c>
      <c r="AI582" s="1772">
        <v>0</v>
      </c>
      <c r="AJ582" s="1772">
        <v>0</v>
      </c>
      <c r="AK582" s="1772">
        <v>0</v>
      </c>
      <c r="AL582" s="1772">
        <v>16.424132790950498</v>
      </c>
      <c r="AM582" s="1772"/>
      <c r="AN582" s="1772">
        <v>0.86199077237564592</v>
      </c>
      <c r="AO582" s="1772">
        <v>0</v>
      </c>
      <c r="AP582" s="1772">
        <v>0</v>
      </c>
      <c r="AQ582" s="1772">
        <v>0</v>
      </c>
      <c r="AR582" s="1772">
        <v>0</v>
      </c>
      <c r="AS582" s="1772">
        <v>0</v>
      </c>
      <c r="AT582" s="1772">
        <v>0</v>
      </c>
      <c r="AU582" s="1772">
        <v>0</v>
      </c>
      <c r="AV582" s="1772">
        <v>0</v>
      </c>
      <c r="AW582" s="1772">
        <v>0</v>
      </c>
      <c r="AX582" s="1772">
        <v>0</v>
      </c>
      <c r="AY582" s="1772">
        <v>0</v>
      </c>
      <c r="AZ582" s="1772">
        <v>0</v>
      </c>
      <c r="BA582" s="1772"/>
      <c r="BB582" s="1772">
        <v>0</v>
      </c>
      <c r="BC582" s="1772">
        <v>0</v>
      </c>
      <c r="BD582" s="1772">
        <v>0</v>
      </c>
      <c r="BE582" s="1772">
        <v>0</v>
      </c>
      <c r="BF582" s="1772">
        <v>0</v>
      </c>
      <c r="BG582" s="1772">
        <v>10.805259348716531</v>
      </c>
      <c r="BH582" s="1772">
        <v>0</v>
      </c>
      <c r="BI582" s="1772">
        <v>0</v>
      </c>
      <c r="BJ582" s="1772">
        <v>0</v>
      </c>
      <c r="BK582" s="1772">
        <v>0</v>
      </c>
      <c r="BL582" s="1772">
        <v>0</v>
      </c>
      <c r="BM582" s="1772"/>
      <c r="BN582" s="1772"/>
      <c r="BO582" s="1772"/>
      <c r="BP582" s="1772"/>
      <c r="BQ582" s="1772"/>
      <c r="BR582" s="1772"/>
      <c r="BS582" s="1772"/>
      <c r="BT582" s="1772"/>
      <c r="BU582" s="1772"/>
      <c r="BV582" s="1772">
        <v>260.94385787671825</v>
      </c>
      <c r="BW582" s="1772"/>
      <c r="BX582" s="1772"/>
      <c r="BY582" s="1772"/>
      <c r="BZ582" s="1772"/>
      <c r="CA582" s="1772"/>
      <c r="CB582" s="1772"/>
      <c r="CC582" s="1772"/>
      <c r="CD582" s="1772"/>
      <c r="CE582" s="1772"/>
      <c r="CF582" s="1772"/>
      <c r="CG582" s="1772"/>
      <c r="CH582" s="1772"/>
      <c r="CI582" s="1772">
        <v>364.40719999999999</v>
      </c>
      <c r="CJ582" s="1772">
        <v>-6.3747200000000248</v>
      </c>
      <c r="CK582" s="1772"/>
      <c r="CL582" s="1772"/>
      <c r="CM582" s="1772"/>
      <c r="CN582" s="1772"/>
      <c r="CO582" s="1772">
        <v>-16.038319999999995</v>
      </c>
      <c r="CP582" s="1772">
        <v>10.114880000000007</v>
      </c>
      <c r="CQ582" s="1772">
        <v>31</v>
      </c>
      <c r="CR582" s="1772">
        <v>-5.9279242956443454</v>
      </c>
      <c r="CS582" s="1772">
        <v>0</v>
      </c>
      <c r="CT582" s="1772">
        <v>0</v>
      </c>
      <c r="CU582" s="1772">
        <v>0</v>
      </c>
      <c r="CV582" s="1772">
        <v>0</v>
      </c>
      <c r="CW582" s="1772">
        <v>0</v>
      </c>
      <c r="CX582" s="1772">
        <v>0</v>
      </c>
      <c r="CY582" s="1772">
        <v>0</v>
      </c>
      <c r="CZ582" s="1772">
        <v>0</v>
      </c>
      <c r="DA582" s="1772">
        <v>0</v>
      </c>
      <c r="DB582" s="1772">
        <v>0</v>
      </c>
      <c r="DC582" s="1772">
        <v>10.114520433924923</v>
      </c>
      <c r="DD582" s="1772">
        <v>0</v>
      </c>
      <c r="DE582" s="1772">
        <v>0</v>
      </c>
      <c r="DF582" s="1772">
        <v>0</v>
      </c>
      <c r="DG582" s="1772">
        <v>0.43691784122713351</v>
      </c>
      <c r="DH582" s="1772">
        <v>0</v>
      </c>
      <c r="DI582" s="1772">
        <v>-14.214172888860062</v>
      </c>
      <c r="DJ582" s="1772"/>
      <c r="DK582" s="1772">
        <v>0</v>
      </c>
      <c r="DL582" s="1772">
        <v>0</v>
      </c>
      <c r="DM582" s="1772">
        <v>0</v>
      </c>
      <c r="DN582" s="1772">
        <v>0</v>
      </c>
      <c r="DO582" s="1772">
        <v>-2.1611622813002178</v>
      </c>
      <c r="DP582" s="1772">
        <v>-0.10402740063617177</v>
      </c>
      <c r="DQ582" s="1772">
        <v>0</v>
      </c>
      <c r="DR582" s="1772">
        <v>0</v>
      </c>
      <c r="DS582" s="1772"/>
      <c r="DT582" s="1772"/>
      <c r="DU582" s="1772"/>
      <c r="DV582" s="1772">
        <v>0</v>
      </c>
      <c r="DW582" s="1772">
        <v>0</v>
      </c>
      <c r="DX582" s="1772">
        <v>0</v>
      </c>
      <c r="DY582" s="1772">
        <v>-16.038319999999999</v>
      </c>
      <c r="DZ582" s="1772">
        <v>10.114879999999999</v>
      </c>
      <c r="EA582" s="1772">
        <v>0</v>
      </c>
      <c r="EB582" s="1772">
        <v>0</v>
      </c>
      <c r="EC582" s="1772">
        <v>0</v>
      </c>
      <c r="ED582" s="1772">
        <v>0</v>
      </c>
      <c r="EE582" s="1772">
        <v>0</v>
      </c>
      <c r="EF582" s="1772">
        <v>0</v>
      </c>
      <c r="EG582" s="1772">
        <v>0</v>
      </c>
      <c r="EH582" s="1772">
        <v>0</v>
      </c>
      <c r="EI582" s="1772">
        <v>0</v>
      </c>
      <c r="EJ582" s="1772">
        <v>0</v>
      </c>
      <c r="EK582" s="1772">
        <v>0</v>
      </c>
      <c r="EL582" s="1772">
        <v>0</v>
      </c>
      <c r="EM582" s="1772">
        <v>0</v>
      </c>
      <c r="EN582" s="1772">
        <v>0</v>
      </c>
      <c r="EO582" s="1772">
        <v>0</v>
      </c>
      <c r="EP582" s="1772">
        <v>0</v>
      </c>
      <c r="EQ582" s="1772">
        <v>0</v>
      </c>
      <c r="ER582" s="1772">
        <v>0</v>
      </c>
      <c r="ES582" s="1772">
        <v>0</v>
      </c>
      <c r="ET582" s="1772">
        <v>0</v>
      </c>
      <c r="EU582" s="1772">
        <v>0</v>
      </c>
      <c r="EV582" s="1772">
        <v>225</v>
      </c>
      <c r="EW582" s="1772">
        <v>0</v>
      </c>
      <c r="EX582" s="1772">
        <v>0</v>
      </c>
      <c r="EY582" s="1772">
        <v>0</v>
      </c>
      <c r="EZ582" s="1772"/>
      <c r="FA582" s="1772">
        <v>0</v>
      </c>
      <c r="FB582" s="1772"/>
      <c r="FC582" s="1772"/>
      <c r="FD582" s="1772"/>
      <c r="FE582" s="1772"/>
      <c r="FF582" s="1772">
        <v>0</v>
      </c>
      <c r="FG582" s="1772">
        <v>0</v>
      </c>
      <c r="FH582" s="1772">
        <v>0</v>
      </c>
      <c r="FI582" s="1772">
        <v>0</v>
      </c>
    </row>
    <row r="583" spans="1:165">
      <c r="A583" s="1772">
        <v>581</v>
      </c>
      <c r="B583" s="1772" t="s">
        <v>2379</v>
      </c>
      <c r="C583" s="1772" t="s">
        <v>2366</v>
      </c>
      <c r="D583" s="1772" t="s">
        <v>534</v>
      </c>
      <c r="E583" s="1772" t="s">
        <v>2370</v>
      </c>
      <c r="F583" s="1772" t="s">
        <v>1240</v>
      </c>
      <c r="G583" s="1772" t="s">
        <v>1240</v>
      </c>
      <c r="H583" s="1772" t="s">
        <v>1240</v>
      </c>
      <c r="I583" s="1772" t="s">
        <v>1240</v>
      </c>
      <c r="J583" s="1772" t="s">
        <v>2358</v>
      </c>
      <c r="K583" s="1773">
        <v>44774</v>
      </c>
      <c r="L583" s="1772">
        <v>75</v>
      </c>
      <c r="M583" s="1772">
        <v>75</v>
      </c>
      <c r="N583" s="1772">
        <v>0</v>
      </c>
      <c r="O583" s="1772">
        <v>0</v>
      </c>
      <c r="P583" s="1772">
        <v>0</v>
      </c>
      <c r="Q583" s="1772">
        <v>0</v>
      </c>
      <c r="R583" s="1772">
        <v>34.950000000000003</v>
      </c>
      <c r="S583" s="1772"/>
      <c r="T583" s="1772"/>
      <c r="U583" s="1772">
        <v>2621.25</v>
      </c>
      <c r="V583" s="1772"/>
      <c r="W583" s="1772">
        <v>2621.25</v>
      </c>
      <c r="X583" s="1772">
        <v>2585.9999999999995</v>
      </c>
      <c r="Y583" s="1772">
        <v>0</v>
      </c>
      <c r="Z583" s="1772">
        <v>0</v>
      </c>
      <c r="AA583" s="1772">
        <v>0</v>
      </c>
      <c r="AB583" s="1772">
        <v>0</v>
      </c>
      <c r="AC583" s="1772">
        <v>0</v>
      </c>
      <c r="AD583" s="1772">
        <v>950.23346335777501</v>
      </c>
      <c r="AE583" s="1772">
        <v>1671.3605994444974</v>
      </c>
      <c r="AF583" s="1772"/>
      <c r="AG583" s="1772"/>
      <c r="AH583" s="1772"/>
      <c r="AI583" s="1772">
        <v>0</v>
      </c>
      <c r="AJ583" s="1772">
        <v>0</v>
      </c>
      <c r="AK583" s="1772">
        <v>0</v>
      </c>
      <c r="AL583" s="1772">
        <v>0</v>
      </c>
      <c r="AM583" s="1772"/>
      <c r="AN583" s="1772">
        <v>0</v>
      </c>
      <c r="AO583" s="1772">
        <v>0</v>
      </c>
      <c r="AP583" s="1772">
        <v>0</v>
      </c>
      <c r="AQ583" s="1772">
        <v>0</v>
      </c>
      <c r="AR583" s="1772">
        <v>0</v>
      </c>
      <c r="AS583" s="1772"/>
      <c r="AT583" s="1772"/>
      <c r="AU583" s="1772">
        <v>0</v>
      </c>
      <c r="AV583" s="1772">
        <v>0</v>
      </c>
      <c r="AW583" s="1772">
        <v>0</v>
      </c>
      <c r="AX583" s="1772"/>
      <c r="AY583" s="1772"/>
      <c r="AZ583" s="1772">
        <v>0</v>
      </c>
      <c r="BA583" s="1772"/>
      <c r="BB583" s="1772">
        <v>0</v>
      </c>
      <c r="BC583" s="1772">
        <v>0</v>
      </c>
      <c r="BD583" s="1772">
        <v>0</v>
      </c>
      <c r="BE583" s="1772">
        <v>0</v>
      </c>
      <c r="BF583" s="1772"/>
      <c r="BG583" s="1772">
        <v>0</v>
      </c>
      <c r="BH583" s="1772">
        <v>0</v>
      </c>
      <c r="BI583" s="1772">
        <v>20.05</v>
      </c>
      <c r="BJ583" s="1772">
        <v>92.52</v>
      </c>
      <c r="BK583" s="1772">
        <v>216.42</v>
      </c>
      <c r="BL583" s="1772">
        <v>1</v>
      </c>
      <c r="BM583" s="1772"/>
      <c r="BN583" s="1772"/>
      <c r="BO583" s="1772"/>
      <c r="BP583" s="1772"/>
      <c r="BQ583" s="1772"/>
      <c r="BR583" s="1772"/>
      <c r="BS583" s="1772"/>
      <c r="BT583" s="1772"/>
      <c r="BU583" s="1772"/>
      <c r="BV583" s="1772">
        <v>0</v>
      </c>
      <c r="BW583" s="1772"/>
      <c r="BX583" s="1772"/>
      <c r="BY583" s="1772"/>
      <c r="BZ583" s="1772"/>
      <c r="CA583" s="1772"/>
      <c r="CB583" s="1772"/>
      <c r="CC583" s="1772"/>
      <c r="CD583" s="1772"/>
      <c r="CE583" s="1772"/>
      <c r="CF583" s="1772"/>
      <c r="CG583" s="1772"/>
      <c r="CH583" s="1772"/>
      <c r="CI583" s="1772">
        <v>2585.9999999999995</v>
      </c>
      <c r="CJ583" s="1772">
        <v>-35.28000000000111</v>
      </c>
      <c r="CK583" s="1772"/>
      <c r="CL583" s="1772"/>
      <c r="CM583" s="1772"/>
      <c r="CN583" s="1772"/>
      <c r="CO583" s="1772">
        <v>-35.250000000000448</v>
      </c>
      <c r="CP583" s="1772">
        <v>0</v>
      </c>
      <c r="CQ583" s="1772">
        <v>31</v>
      </c>
      <c r="CR583" s="1772">
        <v>39.768554794177476</v>
      </c>
      <c r="CS583" s="1772">
        <v>0</v>
      </c>
      <c r="CT583" s="1772">
        <v>0</v>
      </c>
      <c r="CU583" s="1772">
        <v>0</v>
      </c>
      <c r="CV583" s="1772">
        <v>0</v>
      </c>
      <c r="CW583" s="1772"/>
      <c r="CX583" s="1772"/>
      <c r="CY583" s="1772"/>
      <c r="CZ583" s="1772">
        <v>39.768554794177476</v>
      </c>
      <c r="DA583" s="1772">
        <v>0</v>
      </c>
      <c r="DB583" s="1772">
        <v>0</v>
      </c>
      <c r="DC583" s="1772"/>
      <c r="DD583" s="1772"/>
      <c r="DE583" s="1772">
        <v>0</v>
      </c>
      <c r="DF583" s="1772">
        <v>0</v>
      </c>
      <c r="DG583" s="1772">
        <v>0</v>
      </c>
      <c r="DH583" s="1772">
        <v>0</v>
      </c>
      <c r="DI583" s="1772">
        <v>0</v>
      </c>
      <c r="DJ583" s="1772"/>
      <c r="DK583" s="1772">
        <v>0</v>
      </c>
      <c r="DL583" s="1772">
        <v>0</v>
      </c>
      <c r="DM583" s="1772"/>
      <c r="DN583" s="1772">
        <v>0</v>
      </c>
      <c r="DO583" s="1772">
        <v>0</v>
      </c>
      <c r="DP583" s="1772">
        <v>0</v>
      </c>
      <c r="DQ583" s="1772">
        <v>0</v>
      </c>
      <c r="DR583" s="1772">
        <v>0</v>
      </c>
      <c r="DS583" s="1772"/>
      <c r="DT583" s="1772"/>
      <c r="DU583" s="1772">
        <v>1671.3605994444974</v>
      </c>
      <c r="DV583" s="1772"/>
      <c r="DW583" s="1772">
        <v>0</v>
      </c>
      <c r="DX583" s="1772">
        <v>0</v>
      </c>
      <c r="DY583" s="1772">
        <v>-35.250000000000455</v>
      </c>
      <c r="DZ583" s="1772"/>
      <c r="EA583" s="1772">
        <v>0</v>
      </c>
      <c r="EB583" s="1772"/>
      <c r="EC583" s="1772">
        <v>-75.273452581462379</v>
      </c>
      <c r="ED583" s="1772"/>
      <c r="EE583" s="1772">
        <v>0</v>
      </c>
      <c r="EF583" s="1772">
        <v>0</v>
      </c>
      <c r="EG583" s="1772"/>
      <c r="EH583" s="1772">
        <v>0</v>
      </c>
      <c r="EI583" s="1772">
        <v>0</v>
      </c>
      <c r="EJ583" s="1772">
        <v>0</v>
      </c>
      <c r="EK583" s="1772">
        <v>0</v>
      </c>
      <c r="EL583" s="1772">
        <v>0</v>
      </c>
      <c r="EM583" s="1772"/>
      <c r="EN583" s="1772"/>
      <c r="EO583" s="1772">
        <v>0</v>
      </c>
      <c r="EP583" s="1772">
        <v>0</v>
      </c>
      <c r="EQ583" s="1772"/>
      <c r="ER583" s="1772">
        <v>0</v>
      </c>
      <c r="ES583" s="1772"/>
      <c r="ET583" s="1772">
        <v>0</v>
      </c>
      <c r="EU583" s="1772"/>
      <c r="EV583" s="1772">
        <v>225</v>
      </c>
      <c r="EW583" s="1772"/>
      <c r="EX583" s="1772"/>
      <c r="EY583" s="1772"/>
      <c r="EZ583" s="1772"/>
      <c r="FA583" s="1772">
        <v>0</v>
      </c>
      <c r="FB583" s="1772"/>
      <c r="FC583" s="1772"/>
      <c r="FD583" s="1772"/>
      <c r="FE583" s="1772"/>
      <c r="FF583" s="1772">
        <v>0</v>
      </c>
      <c r="FG583" s="1772">
        <v>0</v>
      </c>
      <c r="FH583" s="1772">
        <v>0</v>
      </c>
      <c r="FI583" s="1772">
        <v>0</v>
      </c>
    </row>
    <row r="584" spans="1:165">
      <c r="A584" s="1772">
        <v>582</v>
      </c>
      <c r="B584" s="1772" t="s">
        <v>2379</v>
      </c>
      <c r="C584" s="1772" t="s">
        <v>2357</v>
      </c>
      <c r="D584" s="1772" t="s">
        <v>2371</v>
      </c>
      <c r="E584" s="1772" t="s">
        <v>2372</v>
      </c>
      <c r="F584" s="1772" t="s">
        <v>2373</v>
      </c>
      <c r="G584" s="1772" t="s">
        <v>1240</v>
      </c>
      <c r="H584" s="1772" t="s">
        <v>1240</v>
      </c>
      <c r="I584" s="1772" t="s">
        <v>1240</v>
      </c>
      <c r="J584" s="1772" t="s">
        <v>2358</v>
      </c>
      <c r="K584" s="1773">
        <v>44774</v>
      </c>
      <c r="L584" s="1772">
        <v>0</v>
      </c>
      <c r="M584" s="1772">
        <v>0</v>
      </c>
      <c r="N584" s="1772">
        <v>488.19900000000001</v>
      </c>
      <c r="O584" s="1772">
        <v>488.19900000000001</v>
      </c>
      <c r="P584" s="1772">
        <v>488.19900000000001</v>
      </c>
      <c r="Q584" s="1772">
        <v>488.19900000000001</v>
      </c>
      <c r="R584" s="1772"/>
      <c r="S584" s="1772">
        <v>287.3</v>
      </c>
      <c r="T584" s="1772">
        <v>79.430000000000007</v>
      </c>
      <c r="U584" s="1772"/>
      <c r="V584" s="1772">
        <v>179037.21927000003</v>
      </c>
      <c r="W584" s="1772">
        <v>179037.21927000003</v>
      </c>
      <c r="X584" s="1772">
        <v>174999.81354</v>
      </c>
      <c r="Y584" s="1772">
        <v>0</v>
      </c>
      <c r="Z584" s="1772">
        <v>16486.742143535816</v>
      </c>
      <c r="AA584" s="1772">
        <v>0</v>
      </c>
      <c r="AB584" s="1772">
        <v>0</v>
      </c>
      <c r="AC584" s="1772">
        <v>0</v>
      </c>
      <c r="AD584" s="1772">
        <v>27378.204510712952</v>
      </c>
      <c r="AE584" s="1772">
        <v>89120.224664081572</v>
      </c>
      <c r="AF584" s="1772">
        <v>38778.624431018892</v>
      </c>
      <c r="AG584" s="1772">
        <v>0</v>
      </c>
      <c r="AH584" s="1772">
        <v>0</v>
      </c>
      <c r="AI584" s="1772">
        <v>0</v>
      </c>
      <c r="AJ584" s="1772">
        <v>0</v>
      </c>
      <c r="AK584" s="1772">
        <v>0</v>
      </c>
      <c r="AL584" s="1772">
        <v>2546.2095048643664</v>
      </c>
      <c r="AM584" s="1772"/>
      <c r="AN584" s="1772">
        <v>390.64236695279681</v>
      </c>
      <c r="AO584" s="1772">
        <v>0</v>
      </c>
      <c r="AP584" s="1772">
        <v>0</v>
      </c>
      <c r="AQ584" s="1772">
        <v>0</v>
      </c>
      <c r="AR584" s="1772">
        <v>0</v>
      </c>
      <c r="AS584" s="1772">
        <v>0</v>
      </c>
      <c r="AT584" s="1772">
        <v>0</v>
      </c>
      <c r="AU584" s="1772">
        <v>0</v>
      </c>
      <c r="AV584" s="1772">
        <v>0</v>
      </c>
      <c r="AW584" s="1772">
        <v>0</v>
      </c>
      <c r="AX584" s="1772">
        <v>0</v>
      </c>
      <c r="AY584" s="1772">
        <v>0</v>
      </c>
      <c r="AZ584" s="1772">
        <v>0</v>
      </c>
      <c r="BA584" s="1772"/>
      <c r="BB584" s="1772">
        <v>0</v>
      </c>
      <c r="BC584" s="1772">
        <v>0</v>
      </c>
      <c r="BD584" s="1772">
        <v>0</v>
      </c>
      <c r="BE584" s="1772">
        <v>0</v>
      </c>
      <c r="BF584" s="1772">
        <v>0</v>
      </c>
      <c r="BG584" s="1772">
        <v>4338.6627724096625</v>
      </c>
      <c r="BH584" s="1772">
        <v>0</v>
      </c>
      <c r="BI584" s="1772">
        <v>1091.8900000000001</v>
      </c>
      <c r="BJ584" s="1772">
        <v>5039.53</v>
      </c>
      <c r="BK584" s="1772">
        <v>34406.379999999997</v>
      </c>
      <c r="BL584" s="1772">
        <v>6</v>
      </c>
      <c r="BM584" s="1772"/>
      <c r="BN584" s="1772"/>
      <c r="BO584" s="1772"/>
      <c r="BP584" s="1772"/>
      <c r="BQ584" s="1772"/>
      <c r="BR584" s="1772"/>
      <c r="BS584" s="1772"/>
      <c r="BT584" s="1772"/>
      <c r="BU584" s="1772"/>
      <c r="BV584" s="1772">
        <v>43117.287203428554</v>
      </c>
      <c r="BW584" s="1772"/>
      <c r="BX584" s="1772"/>
      <c r="BY584" s="1772"/>
      <c r="BZ584" s="1772"/>
      <c r="CA584" s="1772"/>
      <c r="CB584" s="1772"/>
      <c r="CC584" s="1772"/>
      <c r="CD584" s="1772"/>
      <c r="CE584" s="1772"/>
      <c r="CF584" s="1772"/>
      <c r="CG584" s="1772"/>
      <c r="CH584" s="1772"/>
      <c r="CI584" s="1772">
        <v>175000.17199999999</v>
      </c>
      <c r="CJ584" s="1772">
        <v>-4037.0772700000671</v>
      </c>
      <c r="CK584" s="1772"/>
      <c r="CL584" s="1772"/>
      <c r="CM584" s="1772"/>
      <c r="CN584" s="1772"/>
      <c r="CO584" s="1772">
        <v>-5604.524520000009</v>
      </c>
      <c r="CP584" s="1772">
        <v>1567.118789999997</v>
      </c>
      <c r="CQ584" s="1772">
        <v>31</v>
      </c>
      <c r="CR584" s="1772">
        <v>-25.771202842879575</v>
      </c>
      <c r="CS584" s="1772">
        <v>0</v>
      </c>
      <c r="CT584" s="1772">
        <v>0</v>
      </c>
      <c r="CU584" s="1772">
        <v>0</v>
      </c>
      <c r="CV584" s="1772">
        <v>0</v>
      </c>
      <c r="CW584" s="1772">
        <v>0</v>
      </c>
      <c r="CX584" s="1772">
        <v>0</v>
      </c>
      <c r="CY584" s="1772">
        <v>0</v>
      </c>
      <c r="CZ584" s="1772">
        <v>1145.8148636474871</v>
      </c>
      <c r="DA584" s="1772">
        <v>0</v>
      </c>
      <c r="DB584" s="1772">
        <v>0</v>
      </c>
      <c r="DC584" s="1772">
        <v>1568.0394449922605</v>
      </c>
      <c r="DD584" s="1772">
        <v>0</v>
      </c>
      <c r="DE584" s="1772">
        <v>0</v>
      </c>
      <c r="DF584" s="1772">
        <v>0</v>
      </c>
      <c r="DG584" s="1772">
        <v>175.43671198961056</v>
      </c>
      <c r="DH584" s="1772">
        <v>0</v>
      </c>
      <c r="DI584" s="1772">
        <v>-2532.8765791940168</v>
      </c>
      <c r="DJ584" s="1772"/>
      <c r="DK584" s="1772">
        <v>0</v>
      </c>
      <c r="DL584" s="1772">
        <v>0</v>
      </c>
      <c r="DM584" s="1772">
        <v>0</v>
      </c>
      <c r="DN584" s="1772">
        <v>0</v>
      </c>
      <c r="DO584" s="1772">
        <v>-335.04185653155992</v>
      </c>
      <c r="DP584" s="1772">
        <v>-47.143787746664941</v>
      </c>
      <c r="DQ584" s="1772">
        <v>0</v>
      </c>
      <c r="DR584" s="1772">
        <v>0</v>
      </c>
      <c r="DS584" s="1772"/>
      <c r="DT584" s="1772"/>
      <c r="DU584" s="1772"/>
      <c r="DV584" s="1772">
        <v>89120.224664081572</v>
      </c>
      <c r="DW584" s="1772">
        <v>0</v>
      </c>
      <c r="DX584" s="1772">
        <v>0</v>
      </c>
      <c r="DY584" s="1772">
        <v>-5604.5245200000063</v>
      </c>
      <c r="DZ584" s="1772">
        <v>1567.1187900000004</v>
      </c>
      <c r="EA584" s="1772">
        <v>0</v>
      </c>
      <c r="EB584" s="1772">
        <v>0</v>
      </c>
      <c r="EC584" s="1772">
        <v>-4013.7281012432359</v>
      </c>
      <c r="ED584" s="1772">
        <v>0</v>
      </c>
      <c r="EE584" s="1772">
        <v>0</v>
      </c>
      <c r="EF584" s="1772">
        <v>0</v>
      </c>
      <c r="EG584" s="1772">
        <v>0</v>
      </c>
      <c r="EH584" s="1772">
        <v>0</v>
      </c>
      <c r="EI584" s="1772">
        <v>0</v>
      </c>
      <c r="EJ584" s="1772">
        <v>0</v>
      </c>
      <c r="EK584" s="1772">
        <v>0</v>
      </c>
      <c r="EL584" s="1772">
        <v>0</v>
      </c>
      <c r="EM584" s="1772">
        <v>0</v>
      </c>
      <c r="EN584" s="1772">
        <v>0</v>
      </c>
      <c r="EO584" s="1772">
        <v>0</v>
      </c>
      <c r="EP584" s="1772">
        <v>0</v>
      </c>
      <c r="EQ584" s="1772">
        <v>0</v>
      </c>
      <c r="ER584" s="1772">
        <v>0</v>
      </c>
      <c r="ES584" s="1772">
        <v>0</v>
      </c>
      <c r="ET584" s="1772">
        <v>0</v>
      </c>
      <c r="EU584" s="1772">
        <v>0</v>
      </c>
      <c r="EV584" s="1772">
        <v>225</v>
      </c>
      <c r="EW584" s="1772">
        <v>0</v>
      </c>
      <c r="EX584" s="1772">
        <v>0</v>
      </c>
      <c r="EY584" s="1772">
        <v>0</v>
      </c>
      <c r="EZ584" s="1772"/>
      <c r="FA584" s="1772">
        <v>0</v>
      </c>
      <c r="FB584" s="1772"/>
      <c r="FC584" s="1772"/>
      <c r="FD584" s="1772"/>
      <c r="FE584" s="1772"/>
      <c r="FF584" s="1772">
        <v>0</v>
      </c>
      <c r="FG584" s="1772">
        <v>0</v>
      </c>
      <c r="FH584" s="1772">
        <v>0</v>
      </c>
      <c r="FI584" s="1772">
        <v>0</v>
      </c>
    </row>
    <row r="585" spans="1:165">
      <c r="A585" s="1772">
        <v>583</v>
      </c>
      <c r="B585" s="1772" t="s">
        <v>2379</v>
      </c>
      <c r="C585" s="1772" t="s">
        <v>2357</v>
      </c>
      <c r="D585" s="1772" t="s">
        <v>1826</v>
      </c>
      <c r="E585" s="1772" t="s">
        <v>922</v>
      </c>
      <c r="F585" s="1772" t="s">
        <v>2374</v>
      </c>
      <c r="G585" s="1772" t="s">
        <v>1240</v>
      </c>
      <c r="H585" s="1772" t="s">
        <v>1240</v>
      </c>
      <c r="I585" s="1772" t="s">
        <v>1240</v>
      </c>
      <c r="J585" s="1772" t="s">
        <v>2358</v>
      </c>
      <c r="K585" s="1773">
        <v>44774</v>
      </c>
      <c r="L585" s="1772">
        <v>0</v>
      </c>
      <c r="M585" s="1772">
        <v>0</v>
      </c>
      <c r="N585" s="1772">
        <v>20.888000000000002</v>
      </c>
      <c r="O585" s="1772">
        <v>19.634720000000002</v>
      </c>
      <c r="P585" s="1772">
        <v>20.888000000000002</v>
      </c>
      <c r="Q585" s="1772">
        <v>19.634720000000002</v>
      </c>
      <c r="R585" s="1772"/>
      <c r="S585" s="1772">
        <v>522.37</v>
      </c>
      <c r="T585" s="1772">
        <v>144.41999999999999</v>
      </c>
      <c r="U585" s="1772"/>
      <c r="V585" s="1772">
        <v>13927.909520000001</v>
      </c>
      <c r="W585" s="1772">
        <v>13927.909520000001</v>
      </c>
      <c r="X585" s="1772">
        <v>13613.545120000002</v>
      </c>
      <c r="Y585" s="1772">
        <v>0</v>
      </c>
      <c r="Z585" s="1772">
        <v>1282.5435748878717</v>
      </c>
      <c r="AA585" s="1772">
        <v>0</v>
      </c>
      <c r="AB585" s="1772">
        <v>0</v>
      </c>
      <c r="AC585" s="1772">
        <v>0</v>
      </c>
      <c r="AD585" s="1772">
        <v>2129.8167934863081</v>
      </c>
      <c r="AE585" s="1772">
        <v>6932.8779779755878</v>
      </c>
      <c r="AF585" s="1772">
        <v>3016.6830519935916</v>
      </c>
      <c r="AG585" s="1772">
        <v>0</v>
      </c>
      <c r="AH585" s="1772">
        <v>0</v>
      </c>
      <c r="AI585" s="1772">
        <v>0</v>
      </c>
      <c r="AJ585" s="1772">
        <v>0</v>
      </c>
      <c r="AK585" s="1772">
        <v>0</v>
      </c>
      <c r="AL585" s="1772">
        <v>198.07580007931529</v>
      </c>
      <c r="AM585" s="1772"/>
      <c r="AN585" s="1772">
        <v>30.389015213095828</v>
      </c>
      <c r="AO585" s="1772">
        <v>0</v>
      </c>
      <c r="AP585" s="1772">
        <v>0</v>
      </c>
      <c r="AQ585" s="1772">
        <v>0</v>
      </c>
      <c r="AR585" s="1772">
        <v>0</v>
      </c>
      <c r="AS585" s="1772">
        <v>0</v>
      </c>
      <c r="AT585" s="1772">
        <v>0</v>
      </c>
      <c r="AU585" s="1772">
        <v>0</v>
      </c>
      <c r="AV585" s="1772">
        <v>0</v>
      </c>
      <c r="AW585" s="1772">
        <v>0</v>
      </c>
      <c r="AX585" s="1772">
        <v>0</v>
      </c>
      <c r="AY585" s="1772">
        <v>0</v>
      </c>
      <c r="AZ585" s="1772">
        <v>0</v>
      </c>
      <c r="BA585" s="1772"/>
      <c r="BB585" s="1772">
        <v>0</v>
      </c>
      <c r="BC585" s="1772">
        <v>0</v>
      </c>
      <c r="BD585" s="1772">
        <v>0</v>
      </c>
      <c r="BE585" s="1772">
        <v>0</v>
      </c>
      <c r="BF585" s="1772">
        <v>0</v>
      </c>
      <c r="BG585" s="1772">
        <v>337.51507811025971</v>
      </c>
      <c r="BH585" s="1772">
        <v>0</v>
      </c>
      <c r="BI585" s="1772">
        <v>77.06</v>
      </c>
      <c r="BJ585" s="1772">
        <v>355.7</v>
      </c>
      <c r="BK585" s="1772">
        <v>2583.5300000000002</v>
      </c>
      <c r="BL585" s="1772">
        <v>35</v>
      </c>
      <c r="BM585" s="1772"/>
      <c r="BN585" s="1772"/>
      <c r="BO585" s="1772"/>
      <c r="BP585" s="1772"/>
      <c r="BQ585" s="1772">
        <v>816.8127072000002</v>
      </c>
      <c r="BR585" s="1772"/>
      <c r="BS585" s="1772"/>
      <c r="BT585" s="1772"/>
      <c r="BU585" s="1772"/>
      <c r="BV585" s="1772">
        <v>3354.1981301038513</v>
      </c>
      <c r="BW585" s="1772"/>
      <c r="BX585" s="1772"/>
      <c r="BY585" s="1772"/>
      <c r="BZ585" s="1772"/>
      <c r="CA585" s="1772"/>
      <c r="CB585" s="1772"/>
      <c r="CC585" s="1772"/>
      <c r="CD585" s="1772"/>
      <c r="CE585" s="1772"/>
      <c r="CF585" s="1772"/>
      <c r="CG585" s="1772"/>
      <c r="CH585" s="1772"/>
      <c r="CI585" s="1772">
        <v>12793.656200000001</v>
      </c>
      <c r="CJ585" s="1772">
        <v>-298.60874879999938</v>
      </c>
      <c r="CK585" s="1772"/>
      <c r="CL585" s="1772"/>
      <c r="CM585" s="1772"/>
      <c r="CN585" s="1772"/>
      <c r="CO585" s="1772">
        <v>-436.35031999999973</v>
      </c>
      <c r="CP585" s="1772">
        <v>121.98592000000008</v>
      </c>
      <c r="CQ585" s="1772">
        <v>31</v>
      </c>
      <c r="CR585" s="1772">
        <v>-2.004804244231309</v>
      </c>
      <c r="CS585" s="1772">
        <v>0</v>
      </c>
      <c r="CT585" s="1772">
        <v>0</v>
      </c>
      <c r="CU585" s="1772">
        <v>0</v>
      </c>
      <c r="CV585" s="1772">
        <v>0</v>
      </c>
      <c r="CW585" s="1772">
        <v>0</v>
      </c>
      <c r="CX585" s="1772">
        <v>0</v>
      </c>
      <c r="CY585" s="1772">
        <v>0</v>
      </c>
      <c r="CZ585" s="1772">
        <v>89.135711506135976</v>
      </c>
      <c r="DA585" s="1772">
        <v>0</v>
      </c>
      <c r="DB585" s="1772">
        <v>0</v>
      </c>
      <c r="DC585" s="1772">
        <v>121.98158361652622</v>
      </c>
      <c r="DD585" s="1772">
        <v>0</v>
      </c>
      <c r="DE585" s="1772">
        <v>0</v>
      </c>
      <c r="DF585" s="1772">
        <v>0</v>
      </c>
      <c r="DG585" s="1772">
        <v>13.64764644238403</v>
      </c>
      <c r="DH585" s="1772">
        <v>0</v>
      </c>
      <c r="DI585" s="1772">
        <v>-197.03859952119024</v>
      </c>
      <c r="DJ585" s="1772"/>
      <c r="DK585" s="1772">
        <v>0</v>
      </c>
      <c r="DL585" s="1772">
        <v>0</v>
      </c>
      <c r="DM585" s="1772">
        <v>0</v>
      </c>
      <c r="DN585" s="1772">
        <v>0</v>
      </c>
      <c r="DO585" s="1772">
        <v>-26.063716935218821</v>
      </c>
      <c r="DP585" s="1772">
        <v>-3.6674293528674902</v>
      </c>
      <c r="DQ585" s="1772">
        <v>0</v>
      </c>
      <c r="DR585" s="1772">
        <v>0</v>
      </c>
      <c r="DS585" s="1772"/>
      <c r="DT585" s="1772"/>
      <c r="DU585" s="1772"/>
      <c r="DV585" s="1772">
        <v>6932.8779779755878</v>
      </c>
      <c r="DW585" s="1772">
        <v>0</v>
      </c>
      <c r="DX585" s="1772">
        <v>0</v>
      </c>
      <c r="DY585" s="1772">
        <v>-436.35031999999956</v>
      </c>
      <c r="DZ585" s="1772">
        <v>121.98592000000008</v>
      </c>
      <c r="EA585" s="1772">
        <v>0</v>
      </c>
      <c r="EB585" s="1772">
        <v>0</v>
      </c>
      <c r="EC585" s="1772">
        <v>-312.2376235874417</v>
      </c>
      <c r="ED585" s="1772">
        <v>0</v>
      </c>
      <c r="EE585" s="1772">
        <v>0</v>
      </c>
      <c r="EF585" s="1772">
        <v>0</v>
      </c>
      <c r="EG585" s="1772">
        <v>0</v>
      </c>
      <c r="EH585" s="1772">
        <v>0</v>
      </c>
      <c r="EI585" s="1772">
        <v>0</v>
      </c>
      <c r="EJ585" s="1772">
        <v>0</v>
      </c>
      <c r="EK585" s="1772">
        <v>0</v>
      </c>
      <c r="EL585" s="1772">
        <v>0</v>
      </c>
      <c r="EM585" s="1772">
        <v>0</v>
      </c>
      <c r="EN585" s="1772">
        <v>0</v>
      </c>
      <c r="EO585" s="1772">
        <v>0</v>
      </c>
      <c r="EP585" s="1772">
        <v>0</v>
      </c>
      <c r="EQ585" s="1772">
        <v>0</v>
      </c>
      <c r="ER585" s="1772">
        <v>0</v>
      </c>
      <c r="ES585" s="1772">
        <v>0</v>
      </c>
      <c r="ET585" s="1772">
        <v>0</v>
      </c>
      <c r="EU585" s="1772">
        <v>0</v>
      </c>
      <c r="EV585" s="1772">
        <v>225</v>
      </c>
      <c r="EW585" s="1772">
        <v>0</v>
      </c>
      <c r="EX585" s="1772">
        <v>0</v>
      </c>
      <c r="EY585" s="1772">
        <v>0</v>
      </c>
      <c r="EZ585" s="1772"/>
      <c r="FA585" s="1772">
        <v>0</v>
      </c>
      <c r="FB585" s="1772"/>
      <c r="FC585" s="1772"/>
      <c r="FD585" s="1772"/>
      <c r="FE585" s="1772"/>
      <c r="FF585" s="1772">
        <v>0</v>
      </c>
      <c r="FG585" s="1772">
        <v>0</v>
      </c>
      <c r="FH585" s="1772">
        <v>0</v>
      </c>
      <c r="FI585" s="1772">
        <v>0</v>
      </c>
    </row>
    <row r="586" spans="1:165">
      <c r="A586" s="1772">
        <v>584</v>
      </c>
      <c r="B586" s="1772" t="s">
        <v>2379</v>
      </c>
      <c r="C586" s="1772" t="s">
        <v>2366</v>
      </c>
      <c r="D586" s="1772" t="s">
        <v>534</v>
      </c>
      <c r="E586" s="1772" t="s">
        <v>922</v>
      </c>
      <c r="F586" s="1772" t="s">
        <v>2374</v>
      </c>
      <c r="G586" s="1772" t="s">
        <v>1240</v>
      </c>
      <c r="H586" s="1772" t="s">
        <v>1240</v>
      </c>
      <c r="I586" s="1772" t="s">
        <v>894</v>
      </c>
      <c r="J586" s="1772" t="s">
        <v>2358</v>
      </c>
      <c r="K586" s="1773">
        <v>44774</v>
      </c>
      <c r="L586" s="1772">
        <v>0</v>
      </c>
      <c r="M586" s="1772">
        <v>0</v>
      </c>
      <c r="N586" s="1772">
        <v>0.65900000000000003</v>
      </c>
      <c r="O586" s="1772">
        <v>0.61946000000000001</v>
      </c>
      <c r="P586" s="1772">
        <v>0.65900000000000003</v>
      </c>
      <c r="Q586" s="1772">
        <v>0.61946000000000001</v>
      </c>
      <c r="R586" s="1772"/>
      <c r="S586" s="1772">
        <v>2740.31</v>
      </c>
      <c r="T586" s="1772">
        <v>144.41999999999999</v>
      </c>
      <c r="U586" s="1772"/>
      <c r="V586" s="1772">
        <v>1901.0370700000001</v>
      </c>
      <c r="W586" s="1772">
        <v>1901.0370700000001</v>
      </c>
      <c r="X586" s="1772">
        <v>1862.61078</v>
      </c>
      <c r="Y586" s="1772">
        <v>0</v>
      </c>
      <c r="Z586" s="1772">
        <v>35.203021246192243</v>
      </c>
      <c r="AA586" s="1772">
        <v>0</v>
      </c>
      <c r="AB586" s="1772">
        <v>0</v>
      </c>
      <c r="AC586" s="1772">
        <v>0</v>
      </c>
      <c r="AD586" s="1772">
        <v>496.00479393000762</v>
      </c>
      <c r="AE586" s="1772">
        <v>1263.9669859910939</v>
      </c>
      <c r="AF586" s="1772">
        <v>95.173981772490265</v>
      </c>
      <c r="AG586" s="1772">
        <v>0</v>
      </c>
      <c r="AH586" s="1772">
        <v>0</v>
      </c>
      <c r="AI586" s="1772">
        <v>0</v>
      </c>
      <c r="AJ586" s="1772">
        <v>0</v>
      </c>
      <c r="AK586" s="1772">
        <v>0</v>
      </c>
      <c r="AL586" s="1772">
        <v>6.249135975309688</v>
      </c>
      <c r="AM586" s="1772"/>
      <c r="AN586" s="1772">
        <v>0.3279745490736436</v>
      </c>
      <c r="AO586" s="1772">
        <v>0</v>
      </c>
      <c r="AP586" s="1772">
        <v>0</v>
      </c>
      <c r="AQ586" s="1772">
        <v>0</v>
      </c>
      <c r="AR586" s="1772">
        <v>0</v>
      </c>
      <c r="AS586" s="1772">
        <v>0</v>
      </c>
      <c r="AT586" s="1772">
        <v>0</v>
      </c>
      <c r="AU586" s="1772">
        <v>0</v>
      </c>
      <c r="AV586" s="1772">
        <v>0</v>
      </c>
      <c r="AW586" s="1772">
        <v>0</v>
      </c>
      <c r="AX586" s="1772">
        <v>0</v>
      </c>
      <c r="AY586" s="1772">
        <v>0</v>
      </c>
      <c r="AZ586" s="1772">
        <v>0</v>
      </c>
      <c r="BA586" s="1772"/>
      <c r="BB586" s="1772">
        <v>0</v>
      </c>
      <c r="BC586" s="1772">
        <v>0</v>
      </c>
      <c r="BD586" s="1772">
        <v>0</v>
      </c>
      <c r="BE586" s="1772">
        <v>0</v>
      </c>
      <c r="BF586" s="1772">
        <v>0</v>
      </c>
      <c r="BG586" s="1772">
        <v>4.1112389785243613</v>
      </c>
      <c r="BH586" s="1772">
        <v>0</v>
      </c>
      <c r="BI586" s="1772">
        <v>0</v>
      </c>
      <c r="BJ586" s="1772">
        <v>0</v>
      </c>
      <c r="BK586" s="1772">
        <v>0</v>
      </c>
      <c r="BL586" s="1772">
        <v>0</v>
      </c>
      <c r="BM586" s="1772"/>
      <c r="BN586" s="1772"/>
      <c r="BO586" s="1772"/>
      <c r="BP586" s="1772"/>
      <c r="BQ586" s="1772">
        <v>111.75664680000004</v>
      </c>
      <c r="BR586" s="1772"/>
      <c r="BS586" s="1772"/>
      <c r="BT586" s="1772"/>
      <c r="BU586" s="1772"/>
      <c r="BV586" s="1772">
        <v>99.28522075101462</v>
      </c>
      <c r="BW586" s="1772"/>
      <c r="BX586" s="1772"/>
      <c r="BY586" s="1772"/>
      <c r="BZ586" s="1772"/>
      <c r="CA586" s="1772"/>
      <c r="CB586" s="1772"/>
      <c r="CC586" s="1772"/>
      <c r="CD586" s="1772"/>
      <c r="CE586" s="1772"/>
      <c r="CF586" s="1772"/>
      <c r="CG586" s="1772"/>
      <c r="CH586" s="1772"/>
      <c r="CI586" s="1772">
        <v>1752.3804</v>
      </c>
      <c r="CJ586" s="1772">
        <v>-34.624445799999876</v>
      </c>
      <c r="CK586" s="1772"/>
      <c r="CL586" s="1772"/>
      <c r="CM586" s="1772"/>
      <c r="CN586" s="1772"/>
      <c r="CO586" s="1772">
        <v>-42.274850000000065</v>
      </c>
      <c r="CP586" s="1772">
        <v>3.8485600000000026</v>
      </c>
      <c r="CQ586" s="1772">
        <v>31</v>
      </c>
      <c r="CR586" s="1772">
        <v>18.502984827803857</v>
      </c>
      <c r="CS586" s="1772">
        <v>0</v>
      </c>
      <c r="CT586" s="1772">
        <v>0</v>
      </c>
      <c r="CU586" s="1772">
        <v>0</v>
      </c>
      <c r="CV586" s="1772">
        <v>0</v>
      </c>
      <c r="CW586" s="1772">
        <v>0</v>
      </c>
      <c r="CX586" s="1772">
        <v>0</v>
      </c>
      <c r="CY586" s="1772">
        <v>0</v>
      </c>
      <c r="CZ586" s="1772">
        <v>20.758471034980289</v>
      </c>
      <c r="DA586" s="1772">
        <v>0</v>
      </c>
      <c r="DB586" s="1772">
        <v>0</v>
      </c>
      <c r="DC586" s="1772">
        <v>3.8484231905060824</v>
      </c>
      <c r="DD586" s="1772">
        <v>0</v>
      </c>
      <c r="DE586" s="1772">
        <v>0</v>
      </c>
      <c r="DF586" s="1772">
        <v>0</v>
      </c>
      <c r="DG586" s="1772">
        <v>0.16624067977406565</v>
      </c>
      <c r="DH586" s="1772">
        <v>0</v>
      </c>
      <c r="DI586" s="1772">
        <v>-5.4082794074819738</v>
      </c>
      <c r="DJ586" s="1772"/>
      <c r="DK586" s="1772">
        <v>0</v>
      </c>
      <c r="DL586" s="1772">
        <v>0</v>
      </c>
      <c r="DM586" s="1772">
        <v>0</v>
      </c>
      <c r="DN586" s="1772">
        <v>0</v>
      </c>
      <c r="DO586" s="1772">
        <v>-0.82228980564482956</v>
      </c>
      <c r="DP586" s="1772">
        <v>-3.9580864329813614E-2</v>
      </c>
      <c r="DQ586" s="1772">
        <v>0</v>
      </c>
      <c r="DR586" s="1772">
        <v>0</v>
      </c>
      <c r="DS586" s="1772"/>
      <c r="DT586" s="1772"/>
      <c r="DU586" s="1772"/>
      <c r="DV586" s="1772">
        <v>1263.9669859910939</v>
      </c>
      <c r="DW586" s="1772">
        <v>0</v>
      </c>
      <c r="DX586" s="1772">
        <v>0</v>
      </c>
      <c r="DY586" s="1772">
        <v>-42.274850000000015</v>
      </c>
      <c r="DZ586" s="1772">
        <v>3.848559999999992</v>
      </c>
      <c r="EA586" s="1772">
        <v>0</v>
      </c>
      <c r="EB586" s="1772">
        <v>0</v>
      </c>
      <c r="EC586" s="1772">
        <v>-56.925572504321735</v>
      </c>
      <c r="ED586" s="1772">
        <v>0</v>
      </c>
      <c r="EE586" s="1772">
        <v>0</v>
      </c>
      <c r="EF586" s="1772">
        <v>0</v>
      </c>
      <c r="EG586" s="1772">
        <v>0</v>
      </c>
      <c r="EH586" s="1772">
        <v>0</v>
      </c>
      <c r="EI586" s="1772">
        <v>0</v>
      </c>
      <c r="EJ586" s="1772">
        <v>0</v>
      </c>
      <c r="EK586" s="1772">
        <v>0</v>
      </c>
      <c r="EL586" s="1772">
        <v>0</v>
      </c>
      <c r="EM586" s="1772">
        <v>0</v>
      </c>
      <c r="EN586" s="1772">
        <v>0</v>
      </c>
      <c r="EO586" s="1772">
        <v>0</v>
      </c>
      <c r="EP586" s="1772">
        <v>0</v>
      </c>
      <c r="EQ586" s="1772">
        <v>0</v>
      </c>
      <c r="ER586" s="1772">
        <v>0</v>
      </c>
      <c r="ES586" s="1772">
        <v>0</v>
      </c>
      <c r="ET586" s="1772">
        <v>0</v>
      </c>
      <c r="EU586" s="1772">
        <v>0</v>
      </c>
      <c r="EV586" s="1772">
        <v>225</v>
      </c>
      <c r="EW586" s="1772">
        <v>0</v>
      </c>
      <c r="EX586" s="1772">
        <v>0</v>
      </c>
      <c r="EY586" s="1772">
        <v>0</v>
      </c>
      <c r="EZ586" s="1772"/>
      <c r="FA586" s="1772">
        <v>0</v>
      </c>
      <c r="FB586" s="1772"/>
      <c r="FC586" s="1772"/>
      <c r="FD586" s="1772"/>
      <c r="FE586" s="1772"/>
      <c r="FF586" s="1772">
        <v>0</v>
      </c>
      <c r="FG586" s="1772">
        <v>0</v>
      </c>
      <c r="FH586" s="1772">
        <v>0</v>
      </c>
      <c r="FI586" s="1772">
        <v>0</v>
      </c>
    </row>
    <row r="587" spans="1:165">
      <c r="A587" s="1772">
        <v>585</v>
      </c>
      <c r="B587" s="1772" t="s">
        <v>2379</v>
      </c>
      <c r="C587" s="1772" t="s">
        <v>2366</v>
      </c>
      <c r="D587" s="1772" t="s">
        <v>534</v>
      </c>
      <c r="E587" s="1772" t="s">
        <v>922</v>
      </c>
      <c r="F587" s="1772" t="s">
        <v>2374</v>
      </c>
      <c r="G587" s="1772" t="s">
        <v>1240</v>
      </c>
      <c r="H587" s="1772" t="s">
        <v>1240</v>
      </c>
      <c r="I587" s="1772" t="s">
        <v>2328</v>
      </c>
      <c r="J587" s="1772" t="s">
        <v>2358</v>
      </c>
      <c r="K587" s="1773">
        <v>44774</v>
      </c>
      <c r="L587" s="1772">
        <v>0</v>
      </c>
      <c r="M587" s="1772">
        <v>0</v>
      </c>
      <c r="N587" s="1772">
        <v>5.2229999999999999</v>
      </c>
      <c r="O587" s="1772">
        <v>4.9096200000000003</v>
      </c>
      <c r="P587" s="1772">
        <v>5.2229999999999999</v>
      </c>
      <c r="Q587" s="1772">
        <v>4.9096200000000003</v>
      </c>
      <c r="R587" s="1772"/>
      <c r="S587" s="1772">
        <v>69.64</v>
      </c>
      <c r="T587" s="1772">
        <v>144.41999999999999</v>
      </c>
      <c r="U587" s="1772"/>
      <c r="V587" s="1772">
        <v>1118.0353799999998</v>
      </c>
      <c r="W587" s="1772">
        <v>1118.0353799999998</v>
      </c>
      <c r="X587" s="1772">
        <v>1100.17272</v>
      </c>
      <c r="Y587" s="1772">
        <v>0</v>
      </c>
      <c r="Z587" s="1772">
        <v>279.00664638674061</v>
      </c>
      <c r="AA587" s="1772">
        <v>0</v>
      </c>
      <c r="AB587" s="1772">
        <v>0</v>
      </c>
      <c r="AC587" s="1772">
        <v>0</v>
      </c>
      <c r="AD587" s="1772">
        <v>0</v>
      </c>
      <c r="AE587" s="1772">
        <v>0</v>
      </c>
      <c r="AF587" s="1772">
        <v>754.3151848220283</v>
      </c>
      <c r="AG587" s="1772">
        <v>0</v>
      </c>
      <c r="AH587" s="1772">
        <v>0</v>
      </c>
      <c r="AI587" s="1772">
        <v>0</v>
      </c>
      <c r="AJ587" s="1772">
        <v>0</v>
      </c>
      <c r="AK587" s="1772">
        <v>0</v>
      </c>
      <c r="AL587" s="1772">
        <v>49.528432775481789</v>
      </c>
      <c r="AM587" s="1772"/>
      <c r="AN587" s="1772">
        <v>2.5994098176200917</v>
      </c>
      <c r="AO587" s="1772">
        <v>0</v>
      </c>
      <c r="AP587" s="1772">
        <v>0</v>
      </c>
      <c r="AQ587" s="1772">
        <v>0</v>
      </c>
      <c r="AR587" s="1772">
        <v>0</v>
      </c>
      <c r="AS587" s="1772">
        <v>0</v>
      </c>
      <c r="AT587" s="1772">
        <v>0</v>
      </c>
      <c r="AU587" s="1772">
        <v>0</v>
      </c>
      <c r="AV587" s="1772">
        <v>0</v>
      </c>
      <c r="AW587" s="1772">
        <v>0</v>
      </c>
      <c r="AX587" s="1772">
        <v>0</v>
      </c>
      <c r="AY587" s="1772">
        <v>0</v>
      </c>
      <c r="AZ587" s="1772">
        <v>0</v>
      </c>
      <c r="BA587" s="1772"/>
      <c r="BB587" s="1772">
        <v>0</v>
      </c>
      <c r="BC587" s="1772">
        <v>0</v>
      </c>
      <c r="BD587" s="1772">
        <v>0</v>
      </c>
      <c r="BE587" s="1772">
        <v>0</v>
      </c>
      <c r="BF587" s="1772">
        <v>0</v>
      </c>
      <c r="BG587" s="1772">
        <v>32.584220310823575</v>
      </c>
      <c r="BH587" s="1772">
        <v>0</v>
      </c>
      <c r="BI587" s="1772">
        <v>0</v>
      </c>
      <c r="BJ587" s="1772">
        <v>0</v>
      </c>
      <c r="BK587" s="1772">
        <v>0</v>
      </c>
      <c r="BL587" s="1772">
        <v>0</v>
      </c>
      <c r="BM587" s="1772"/>
      <c r="BN587" s="1772"/>
      <c r="BO587" s="1772"/>
      <c r="BP587" s="1772"/>
      <c r="BQ587" s="1772">
        <v>66.010363199999901</v>
      </c>
      <c r="BR587" s="1772"/>
      <c r="BS587" s="1772"/>
      <c r="BT587" s="1772"/>
      <c r="BU587" s="1772"/>
      <c r="BV587" s="1772">
        <v>786.89940513285183</v>
      </c>
      <c r="BW587" s="1772"/>
      <c r="BX587" s="1772"/>
      <c r="BY587" s="1772"/>
      <c r="BZ587" s="1772"/>
      <c r="CA587" s="1772"/>
      <c r="CB587" s="1772"/>
      <c r="CC587" s="1772"/>
      <c r="CD587" s="1772"/>
      <c r="CE587" s="1772"/>
      <c r="CF587" s="1772"/>
      <c r="CG587" s="1772"/>
      <c r="CH587" s="1772"/>
      <c r="CI587" s="1772">
        <v>1034.2424000000001</v>
      </c>
      <c r="CJ587" s="1772">
        <v>-16.740857199999937</v>
      </c>
      <c r="CK587" s="1772"/>
      <c r="CL587" s="1772"/>
      <c r="CM587" s="1772"/>
      <c r="CN587" s="1772"/>
      <c r="CO587" s="1772">
        <v>-48.364979999999989</v>
      </c>
      <c r="CP587" s="1772">
        <v>30.502320000000019</v>
      </c>
      <c r="CQ587" s="1772">
        <v>31</v>
      </c>
      <c r="CR587" s="1772">
        <v>-17.876182792234658</v>
      </c>
      <c r="CS587" s="1772">
        <v>0</v>
      </c>
      <c r="CT587" s="1772">
        <v>0</v>
      </c>
      <c r="CU587" s="1772">
        <v>0</v>
      </c>
      <c r="CV587" s="1772">
        <v>0</v>
      </c>
      <c r="CW587" s="1772">
        <v>0</v>
      </c>
      <c r="CX587" s="1772">
        <v>0</v>
      </c>
      <c r="CY587" s="1772">
        <v>0</v>
      </c>
      <c r="CZ587" s="1772">
        <v>0</v>
      </c>
      <c r="DA587" s="1772">
        <v>0</v>
      </c>
      <c r="DB587" s="1772">
        <v>0</v>
      </c>
      <c r="DC587" s="1772">
        <v>30.501235696529989</v>
      </c>
      <c r="DD587" s="1772">
        <v>0</v>
      </c>
      <c r="DE587" s="1772">
        <v>0</v>
      </c>
      <c r="DF587" s="1772">
        <v>0</v>
      </c>
      <c r="DG587" s="1772">
        <v>1.3175645985735116</v>
      </c>
      <c r="DH587" s="1772">
        <v>0</v>
      </c>
      <c r="DI587" s="1772">
        <v>-42.864102193138621</v>
      </c>
      <c r="DJ587" s="1772"/>
      <c r="DK587" s="1772">
        <v>0</v>
      </c>
      <c r="DL587" s="1772">
        <v>0</v>
      </c>
      <c r="DM587" s="1772">
        <v>0</v>
      </c>
      <c r="DN587" s="1772">
        <v>0</v>
      </c>
      <c r="DO587" s="1772">
        <v>-6.5171770180317807</v>
      </c>
      <c r="DP587" s="1772">
        <v>-0.313703876167855</v>
      </c>
      <c r="DQ587" s="1772">
        <v>0</v>
      </c>
      <c r="DR587" s="1772">
        <v>0</v>
      </c>
      <c r="DS587" s="1772"/>
      <c r="DT587" s="1772"/>
      <c r="DU587" s="1772"/>
      <c r="DV587" s="1772">
        <v>0</v>
      </c>
      <c r="DW587" s="1772">
        <v>0</v>
      </c>
      <c r="DX587" s="1772">
        <v>0</v>
      </c>
      <c r="DY587" s="1772">
        <v>-48.364980000000003</v>
      </c>
      <c r="DZ587" s="1772">
        <v>30.502320000000054</v>
      </c>
      <c r="EA587" s="1772">
        <v>0</v>
      </c>
      <c r="EB587" s="1772">
        <v>0</v>
      </c>
      <c r="EC587" s="1772">
        <v>0</v>
      </c>
      <c r="ED587" s="1772">
        <v>0</v>
      </c>
      <c r="EE587" s="1772">
        <v>0</v>
      </c>
      <c r="EF587" s="1772">
        <v>0</v>
      </c>
      <c r="EG587" s="1772">
        <v>0</v>
      </c>
      <c r="EH587" s="1772">
        <v>0</v>
      </c>
      <c r="EI587" s="1772">
        <v>0</v>
      </c>
      <c r="EJ587" s="1772">
        <v>0</v>
      </c>
      <c r="EK587" s="1772">
        <v>0</v>
      </c>
      <c r="EL587" s="1772">
        <v>0</v>
      </c>
      <c r="EM587" s="1772">
        <v>0</v>
      </c>
      <c r="EN587" s="1772">
        <v>0</v>
      </c>
      <c r="EO587" s="1772">
        <v>0</v>
      </c>
      <c r="EP587" s="1772">
        <v>0</v>
      </c>
      <c r="EQ587" s="1772">
        <v>0</v>
      </c>
      <c r="ER587" s="1772">
        <v>0</v>
      </c>
      <c r="ES587" s="1772">
        <v>0</v>
      </c>
      <c r="ET587" s="1772">
        <v>0</v>
      </c>
      <c r="EU587" s="1772">
        <v>0</v>
      </c>
      <c r="EV587" s="1772">
        <v>225</v>
      </c>
      <c r="EW587" s="1772">
        <v>0</v>
      </c>
      <c r="EX587" s="1772">
        <v>0</v>
      </c>
      <c r="EY587" s="1772">
        <v>0</v>
      </c>
      <c r="EZ587" s="1772"/>
      <c r="FA587" s="1772">
        <v>0</v>
      </c>
      <c r="FB587" s="1772"/>
      <c r="FC587" s="1772"/>
      <c r="FD587" s="1772"/>
      <c r="FE587" s="1772"/>
      <c r="FF587" s="1772">
        <v>0</v>
      </c>
      <c r="FG587" s="1772">
        <v>0</v>
      </c>
      <c r="FH587" s="1772">
        <v>0</v>
      </c>
      <c r="FI587" s="1772">
        <v>0</v>
      </c>
    </row>
    <row r="588" spans="1:165">
      <c r="A588" s="1772">
        <v>586</v>
      </c>
      <c r="B588" s="1772" t="s">
        <v>2379</v>
      </c>
      <c r="C588" s="1772" t="s">
        <v>2366</v>
      </c>
      <c r="D588" s="1772" t="s">
        <v>534</v>
      </c>
      <c r="E588" s="1772" t="s">
        <v>922</v>
      </c>
      <c r="F588" s="1772" t="s">
        <v>2374</v>
      </c>
      <c r="G588" s="1772" t="s">
        <v>1240</v>
      </c>
      <c r="H588" s="1772" t="s">
        <v>1240</v>
      </c>
      <c r="I588" s="1772" t="s">
        <v>1240</v>
      </c>
      <c r="J588" s="1772" t="s">
        <v>2358</v>
      </c>
      <c r="K588" s="1773">
        <v>44774</v>
      </c>
      <c r="L588" s="1772">
        <v>78</v>
      </c>
      <c r="M588" s="1772">
        <v>73.319999999999993</v>
      </c>
      <c r="N588" s="1772">
        <v>0</v>
      </c>
      <c r="O588" s="1772">
        <v>0</v>
      </c>
      <c r="P588" s="1772">
        <v>0</v>
      </c>
      <c r="Q588" s="1772">
        <v>0</v>
      </c>
      <c r="R588" s="1772">
        <v>34.950000000000003</v>
      </c>
      <c r="S588" s="1772"/>
      <c r="T588" s="1772"/>
      <c r="U588" s="1772">
        <v>2726.1000000000004</v>
      </c>
      <c r="V588" s="1772"/>
      <c r="W588" s="1772">
        <v>2726.1000000000004</v>
      </c>
      <c r="X588" s="1772">
        <v>2689.4399999999996</v>
      </c>
      <c r="Y588" s="1772">
        <v>0</v>
      </c>
      <c r="Z588" s="1772">
        <v>0</v>
      </c>
      <c r="AA588" s="1772">
        <v>0</v>
      </c>
      <c r="AB588" s="1772">
        <v>0</v>
      </c>
      <c r="AC588" s="1772">
        <v>0</v>
      </c>
      <c r="AD588" s="1772">
        <v>988.24280189208594</v>
      </c>
      <c r="AE588" s="1772">
        <v>1738.2150234222775</v>
      </c>
      <c r="AF588" s="1772"/>
      <c r="AG588" s="1772"/>
      <c r="AH588" s="1772"/>
      <c r="AI588" s="1772">
        <v>0</v>
      </c>
      <c r="AJ588" s="1772">
        <v>0</v>
      </c>
      <c r="AK588" s="1772">
        <v>0</v>
      </c>
      <c r="AL588" s="1772">
        <v>0</v>
      </c>
      <c r="AM588" s="1772"/>
      <c r="AN588" s="1772">
        <v>0</v>
      </c>
      <c r="AO588" s="1772">
        <v>0</v>
      </c>
      <c r="AP588" s="1772">
        <v>0</v>
      </c>
      <c r="AQ588" s="1772">
        <v>0</v>
      </c>
      <c r="AR588" s="1772">
        <v>0</v>
      </c>
      <c r="AS588" s="1772"/>
      <c r="AT588" s="1772"/>
      <c r="AU588" s="1772">
        <v>0</v>
      </c>
      <c r="AV588" s="1772">
        <v>0</v>
      </c>
      <c r="AW588" s="1772">
        <v>0</v>
      </c>
      <c r="AX588" s="1772"/>
      <c r="AY588" s="1772"/>
      <c r="AZ588" s="1772">
        <v>0</v>
      </c>
      <c r="BA588" s="1772"/>
      <c r="BB588" s="1772">
        <v>0</v>
      </c>
      <c r="BC588" s="1772">
        <v>0</v>
      </c>
      <c r="BD588" s="1772">
        <v>0</v>
      </c>
      <c r="BE588" s="1772">
        <v>0</v>
      </c>
      <c r="BF588" s="1772"/>
      <c r="BG588" s="1772">
        <v>0</v>
      </c>
      <c r="BH588" s="1772">
        <v>0</v>
      </c>
      <c r="BI588" s="1772">
        <v>33.369999999999997</v>
      </c>
      <c r="BJ588" s="1772">
        <v>154.04</v>
      </c>
      <c r="BK588" s="1772">
        <v>676.27</v>
      </c>
      <c r="BL588" s="1772">
        <v>1</v>
      </c>
      <c r="BM588" s="1772"/>
      <c r="BN588" s="1772"/>
      <c r="BO588" s="1772"/>
      <c r="BP588" s="1772"/>
      <c r="BQ588" s="1772">
        <v>161.36640000000023</v>
      </c>
      <c r="BR588" s="1772"/>
      <c r="BS588" s="1772"/>
      <c r="BT588" s="1772"/>
      <c r="BU588" s="1772"/>
      <c r="BV588" s="1772">
        <v>0</v>
      </c>
      <c r="BW588" s="1772"/>
      <c r="BX588" s="1772"/>
      <c r="BY588" s="1772"/>
      <c r="BZ588" s="1772"/>
      <c r="CA588" s="1772"/>
      <c r="CB588" s="1772"/>
      <c r="CC588" s="1772"/>
      <c r="CD588" s="1772"/>
      <c r="CE588" s="1772"/>
      <c r="CF588" s="1772"/>
      <c r="CG588" s="1772"/>
      <c r="CH588" s="1772"/>
      <c r="CI588" s="1772">
        <v>2528.0735999999997</v>
      </c>
      <c r="CJ588" s="1772">
        <v>-34.490400000001046</v>
      </c>
      <c r="CK588" s="1772"/>
      <c r="CL588" s="1772"/>
      <c r="CM588" s="1772"/>
      <c r="CN588" s="1772"/>
      <c r="CO588" s="1772">
        <v>-36.660000000000466</v>
      </c>
      <c r="CP588" s="1772">
        <v>0</v>
      </c>
      <c r="CQ588" s="1772">
        <v>31</v>
      </c>
      <c r="CR588" s="1772">
        <v>41.359296985944638</v>
      </c>
      <c r="CS588" s="1772">
        <v>0</v>
      </c>
      <c r="CT588" s="1772">
        <v>0</v>
      </c>
      <c r="CU588" s="1772">
        <v>0</v>
      </c>
      <c r="CV588" s="1772">
        <v>0</v>
      </c>
      <c r="CW588" s="1772"/>
      <c r="CX588" s="1772"/>
      <c r="CY588" s="1772"/>
      <c r="CZ588" s="1772">
        <v>41.359296985944638</v>
      </c>
      <c r="DA588" s="1772">
        <v>0</v>
      </c>
      <c r="DB588" s="1772">
        <v>0</v>
      </c>
      <c r="DC588" s="1772"/>
      <c r="DD588" s="1772"/>
      <c r="DE588" s="1772">
        <v>0</v>
      </c>
      <c r="DF588" s="1772">
        <v>0</v>
      </c>
      <c r="DG588" s="1772">
        <v>0</v>
      </c>
      <c r="DH588" s="1772">
        <v>0</v>
      </c>
      <c r="DI588" s="1772">
        <v>0</v>
      </c>
      <c r="DJ588" s="1772"/>
      <c r="DK588" s="1772">
        <v>0</v>
      </c>
      <c r="DL588" s="1772">
        <v>0</v>
      </c>
      <c r="DM588" s="1772"/>
      <c r="DN588" s="1772">
        <v>0</v>
      </c>
      <c r="DO588" s="1772">
        <v>0</v>
      </c>
      <c r="DP588" s="1772">
        <v>0</v>
      </c>
      <c r="DQ588" s="1772">
        <v>0</v>
      </c>
      <c r="DR588" s="1772">
        <v>0</v>
      </c>
      <c r="DS588" s="1772"/>
      <c r="DT588" s="1772"/>
      <c r="DU588" s="1772">
        <v>1738.2150234222775</v>
      </c>
      <c r="DV588" s="1772"/>
      <c r="DW588" s="1772">
        <v>0</v>
      </c>
      <c r="DX588" s="1772">
        <v>0</v>
      </c>
      <c r="DY588" s="1772">
        <v>-36.660000000000764</v>
      </c>
      <c r="DZ588" s="1772"/>
      <c r="EA588" s="1772">
        <v>0</v>
      </c>
      <c r="EB588" s="1772"/>
      <c r="EC588" s="1772">
        <v>-78.284390684721075</v>
      </c>
      <c r="ED588" s="1772"/>
      <c r="EE588" s="1772">
        <v>0</v>
      </c>
      <c r="EF588" s="1772">
        <v>0</v>
      </c>
      <c r="EG588" s="1772"/>
      <c r="EH588" s="1772">
        <v>0</v>
      </c>
      <c r="EI588" s="1772">
        <v>0</v>
      </c>
      <c r="EJ588" s="1772">
        <v>0</v>
      </c>
      <c r="EK588" s="1772">
        <v>0</v>
      </c>
      <c r="EL588" s="1772">
        <v>0</v>
      </c>
      <c r="EM588" s="1772"/>
      <c r="EN588" s="1772"/>
      <c r="EO588" s="1772">
        <v>0</v>
      </c>
      <c r="EP588" s="1772">
        <v>0</v>
      </c>
      <c r="EQ588" s="1772"/>
      <c r="ER588" s="1772">
        <v>0</v>
      </c>
      <c r="ES588" s="1772"/>
      <c r="ET588" s="1772">
        <v>0</v>
      </c>
      <c r="EU588" s="1772"/>
      <c r="EV588" s="1772">
        <v>225</v>
      </c>
      <c r="EW588" s="1772"/>
      <c r="EX588" s="1772"/>
      <c r="EY588" s="1772"/>
      <c r="EZ588" s="1772"/>
      <c r="FA588" s="1772">
        <v>0</v>
      </c>
      <c r="FB588" s="1772"/>
      <c r="FC588" s="1772"/>
      <c r="FD588" s="1772"/>
      <c r="FE588" s="1772"/>
      <c r="FF588" s="1772">
        <v>0</v>
      </c>
      <c r="FG588" s="1772">
        <v>0</v>
      </c>
      <c r="FH588" s="1772">
        <v>0</v>
      </c>
      <c r="FI588" s="1772">
        <v>0</v>
      </c>
    </row>
    <row r="589" spans="1:165">
      <c r="A589" s="1772">
        <v>587</v>
      </c>
      <c r="B589" s="1772" t="s">
        <v>2379</v>
      </c>
      <c r="C589" s="1772" t="s">
        <v>2357</v>
      </c>
      <c r="D589" s="1772" t="s">
        <v>1826</v>
      </c>
      <c r="E589" s="1772" t="s">
        <v>2375</v>
      </c>
      <c r="F589" s="1772" t="s">
        <v>1240</v>
      </c>
      <c r="G589" s="1772" t="s">
        <v>1240</v>
      </c>
      <c r="H589" s="1772" t="s">
        <v>1240</v>
      </c>
      <c r="I589" s="1772" t="s">
        <v>1240</v>
      </c>
      <c r="J589" s="1772" t="s">
        <v>2358</v>
      </c>
      <c r="K589" s="1773">
        <v>44774</v>
      </c>
      <c r="L589" s="1772">
        <v>0</v>
      </c>
      <c r="M589" s="1772">
        <v>0</v>
      </c>
      <c r="N589" s="1772">
        <v>5.3940000000000001</v>
      </c>
      <c r="O589" s="1772">
        <v>5.3940000000000001</v>
      </c>
      <c r="P589" s="1772">
        <v>5.3940000000000001</v>
      </c>
      <c r="Q589" s="1772">
        <v>5.3940000000000001</v>
      </c>
      <c r="R589" s="1772"/>
      <c r="S589" s="1772">
        <v>522.37</v>
      </c>
      <c r="T589" s="1772">
        <v>144.41999999999999</v>
      </c>
      <c r="U589" s="1772"/>
      <c r="V589" s="1772">
        <v>3596.6652600000002</v>
      </c>
      <c r="W589" s="1772">
        <v>3596.6652600000002</v>
      </c>
      <c r="X589" s="1772">
        <v>3515.4855600000001</v>
      </c>
      <c r="Y589" s="1772">
        <v>0</v>
      </c>
      <c r="Z589" s="1772">
        <v>331.19686149680103</v>
      </c>
      <c r="AA589" s="1772">
        <v>0</v>
      </c>
      <c r="AB589" s="1772">
        <v>0</v>
      </c>
      <c r="AC589" s="1772">
        <v>0</v>
      </c>
      <c r="AD589" s="1772">
        <v>549.99194676681088</v>
      </c>
      <c r="AE589" s="1772">
        <v>1790.3075360589964</v>
      </c>
      <c r="AF589" s="1772">
        <v>779.01131666284141</v>
      </c>
      <c r="AG589" s="1772">
        <v>0</v>
      </c>
      <c r="AH589" s="1772">
        <v>0</v>
      </c>
      <c r="AI589" s="1772">
        <v>0</v>
      </c>
      <c r="AJ589" s="1772">
        <v>0</v>
      </c>
      <c r="AK589" s="1772">
        <v>0</v>
      </c>
      <c r="AL589" s="1772">
        <v>51.149983992140299</v>
      </c>
      <c r="AM589" s="1772"/>
      <c r="AN589" s="1772">
        <v>7.8474888959899891</v>
      </c>
      <c r="AO589" s="1772">
        <v>0</v>
      </c>
      <c r="AP589" s="1772">
        <v>0</v>
      </c>
      <c r="AQ589" s="1772">
        <v>0</v>
      </c>
      <c r="AR589" s="1772">
        <v>0</v>
      </c>
      <c r="AS589" s="1772">
        <v>0</v>
      </c>
      <c r="AT589" s="1772">
        <v>0</v>
      </c>
      <c r="AU589" s="1772">
        <v>0</v>
      </c>
      <c r="AV589" s="1772">
        <v>0</v>
      </c>
      <c r="AW589" s="1772">
        <v>0</v>
      </c>
      <c r="AX589" s="1772">
        <v>0</v>
      </c>
      <c r="AY589" s="1772">
        <v>0</v>
      </c>
      <c r="AZ589" s="1772">
        <v>0</v>
      </c>
      <c r="BA589" s="1772"/>
      <c r="BB589" s="1772">
        <v>0</v>
      </c>
      <c r="BC589" s="1772">
        <v>0</v>
      </c>
      <c r="BD589" s="1772">
        <v>0</v>
      </c>
      <c r="BE589" s="1772">
        <v>0</v>
      </c>
      <c r="BF589" s="1772">
        <v>0</v>
      </c>
      <c r="BG589" s="1772">
        <v>87.158001308250704</v>
      </c>
      <c r="BH589" s="1772">
        <v>0</v>
      </c>
      <c r="BI589" s="1772">
        <v>0</v>
      </c>
      <c r="BJ589" s="1772">
        <v>0</v>
      </c>
      <c r="BK589" s="1772">
        <v>0</v>
      </c>
      <c r="BL589" s="1772">
        <v>4</v>
      </c>
      <c r="BM589" s="1772"/>
      <c r="BN589" s="1772"/>
      <c r="BO589" s="1772"/>
      <c r="BP589" s="1772"/>
      <c r="BQ589" s="1772"/>
      <c r="BR589" s="1772"/>
      <c r="BS589" s="1772"/>
      <c r="BT589" s="1772"/>
      <c r="BU589" s="1772"/>
      <c r="BV589" s="1772">
        <v>866.16931797109214</v>
      </c>
      <c r="BW589" s="1772"/>
      <c r="BX589" s="1772"/>
      <c r="BY589" s="1772"/>
      <c r="BZ589" s="1772"/>
      <c r="CA589" s="1772"/>
      <c r="CB589" s="1772"/>
      <c r="CC589" s="1772"/>
      <c r="CD589" s="1772"/>
      <c r="CE589" s="1772"/>
      <c r="CF589" s="1772"/>
      <c r="CG589" s="1772"/>
      <c r="CH589" s="1772"/>
      <c r="CI589" s="1772">
        <v>3512.8785999999996</v>
      </c>
      <c r="CJ589" s="1772">
        <v>-83.81666000000132</v>
      </c>
      <c r="CK589" s="1772"/>
      <c r="CL589" s="1772"/>
      <c r="CM589" s="1772"/>
      <c r="CN589" s="1772"/>
      <c r="CO589" s="1772">
        <v>-112.68065999999993</v>
      </c>
      <c r="CP589" s="1772">
        <v>31.500960000000021</v>
      </c>
      <c r="CQ589" s="1772">
        <v>31</v>
      </c>
      <c r="CR589" s="1772">
        <v>-0.5177094069983923</v>
      </c>
      <c r="CS589" s="1772">
        <v>0</v>
      </c>
      <c r="CT589" s="1772">
        <v>0</v>
      </c>
      <c r="CU589" s="1772">
        <v>0</v>
      </c>
      <c r="CV589" s="1772">
        <v>0</v>
      </c>
      <c r="CW589" s="1772">
        <v>0</v>
      </c>
      <c r="CX589" s="1772">
        <v>0</v>
      </c>
      <c r="CY589" s="1772">
        <v>0</v>
      </c>
      <c r="CZ589" s="1772">
        <v>23.017906351211082</v>
      </c>
      <c r="DA589" s="1772">
        <v>0</v>
      </c>
      <c r="DB589" s="1772">
        <v>0</v>
      </c>
      <c r="DC589" s="1772">
        <v>31.499840196646119</v>
      </c>
      <c r="DD589" s="1772">
        <v>0</v>
      </c>
      <c r="DE589" s="1772">
        <v>0</v>
      </c>
      <c r="DF589" s="1772">
        <v>0</v>
      </c>
      <c r="DG589" s="1772">
        <v>3.5242916942847273</v>
      </c>
      <c r="DH589" s="1772">
        <v>0</v>
      </c>
      <c r="DI589" s="1772">
        <v>-50.88214313564248</v>
      </c>
      <c r="DJ589" s="1772"/>
      <c r="DK589" s="1772">
        <v>0</v>
      </c>
      <c r="DL589" s="1772">
        <v>0</v>
      </c>
      <c r="DM589" s="1772">
        <v>0</v>
      </c>
      <c r="DN589" s="1772">
        <v>0</v>
      </c>
      <c r="DO589" s="1772">
        <v>-6.7305481208622311</v>
      </c>
      <c r="DP589" s="1772">
        <v>-0.94705639263535346</v>
      </c>
      <c r="DQ589" s="1772">
        <v>0</v>
      </c>
      <c r="DR589" s="1772">
        <v>0</v>
      </c>
      <c r="DS589" s="1772"/>
      <c r="DT589" s="1772"/>
      <c r="DU589" s="1772"/>
      <c r="DV589" s="1772">
        <v>1790.3075360589964</v>
      </c>
      <c r="DW589" s="1772">
        <v>0</v>
      </c>
      <c r="DX589" s="1772">
        <v>0</v>
      </c>
      <c r="DY589" s="1772">
        <v>-112.68065999999999</v>
      </c>
      <c r="DZ589" s="1772">
        <v>31.500960000000077</v>
      </c>
      <c r="EA589" s="1772">
        <v>0</v>
      </c>
      <c r="EB589" s="1772">
        <v>0</v>
      </c>
      <c r="EC589" s="1772">
        <v>-80.630493184156421</v>
      </c>
      <c r="ED589" s="1772">
        <v>0</v>
      </c>
      <c r="EE589" s="1772">
        <v>0</v>
      </c>
      <c r="EF589" s="1772">
        <v>0</v>
      </c>
      <c r="EG589" s="1772">
        <v>0</v>
      </c>
      <c r="EH589" s="1772">
        <v>0</v>
      </c>
      <c r="EI589" s="1772">
        <v>0</v>
      </c>
      <c r="EJ589" s="1772">
        <v>0</v>
      </c>
      <c r="EK589" s="1772">
        <v>0</v>
      </c>
      <c r="EL589" s="1772">
        <v>0</v>
      </c>
      <c r="EM589" s="1772">
        <v>0</v>
      </c>
      <c r="EN589" s="1772">
        <v>0</v>
      </c>
      <c r="EO589" s="1772">
        <v>0</v>
      </c>
      <c r="EP589" s="1772">
        <v>0</v>
      </c>
      <c r="EQ589" s="1772">
        <v>0</v>
      </c>
      <c r="ER589" s="1772">
        <v>0</v>
      </c>
      <c r="ES589" s="1772">
        <v>0</v>
      </c>
      <c r="ET589" s="1772">
        <v>0</v>
      </c>
      <c r="EU589" s="1772">
        <v>0</v>
      </c>
      <c r="EV589" s="1772">
        <v>225</v>
      </c>
      <c r="EW589" s="1772">
        <v>0</v>
      </c>
      <c r="EX589" s="1772">
        <v>0</v>
      </c>
      <c r="EY589" s="1772">
        <v>0</v>
      </c>
      <c r="EZ589" s="1772"/>
      <c r="FA589" s="1772">
        <v>0</v>
      </c>
      <c r="FB589" s="1772"/>
      <c r="FC589" s="1772"/>
      <c r="FD589" s="1772"/>
      <c r="FE589" s="1772"/>
      <c r="FF589" s="1772">
        <v>0</v>
      </c>
      <c r="FG589" s="1772">
        <v>0</v>
      </c>
      <c r="FH589" s="1772">
        <v>0</v>
      </c>
      <c r="FI589" s="1772">
        <v>0</v>
      </c>
    </row>
    <row r="590" spans="1:165">
      <c r="A590" s="1772">
        <v>588</v>
      </c>
      <c r="B590" s="1772" t="s">
        <v>2379</v>
      </c>
      <c r="C590" s="1772" t="s">
        <v>2357</v>
      </c>
      <c r="D590" s="1772" t="s">
        <v>2369</v>
      </c>
      <c r="E590" s="1772" t="s">
        <v>895</v>
      </c>
      <c r="F590" s="1772" t="s">
        <v>2376</v>
      </c>
      <c r="G590" s="1772" t="s">
        <v>2377</v>
      </c>
      <c r="H590" s="1772" t="s">
        <v>1240</v>
      </c>
      <c r="I590" s="1772" t="s">
        <v>1240</v>
      </c>
      <c r="J590" s="1772" t="s">
        <v>2358</v>
      </c>
      <c r="K590" s="1773">
        <v>44774</v>
      </c>
      <c r="L590" s="1772">
        <v>0</v>
      </c>
      <c r="M590" s="1772">
        <v>0</v>
      </c>
      <c r="N590" s="1772">
        <v>0</v>
      </c>
      <c r="O590" s="1772">
        <v>0</v>
      </c>
      <c r="P590" s="1772">
        <v>0</v>
      </c>
      <c r="Q590" s="1772">
        <v>0</v>
      </c>
      <c r="R590" s="1772"/>
      <c r="S590" s="1772"/>
      <c r="T590" s="1772"/>
      <c r="U590" s="1772"/>
      <c r="V590" s="1772"/>
      <c r="W590" s="1772"/>
      <c r="X590" s="1772"/>
      <c r="Y590" s="1772"/>
      <c r="Z590" s="1772"/>
      <c r="AA590" s="1772">
        <v>0</v>
      </c>
      <c r="AB590" s="1772"/>
      <c r="AC590" s="1772"/>
      <c r="AD590" s="1772"/>
      <c r="AE590" s="1772"/>
      <c r="AF590" s="1772"/>
      <c r="AG590" s="1772"/>
      <c r="AH590" s="1772"/>
      <c r="AI590" s="1772"/>
      <c r="AJ590" s="1772"/>
      <c r="AK590" s="1772"/>
      <c r="AL590" s="1772"/>
      <c r="AM590" s="1772"/>
      <c r="AN590" s="1772"/>
      <c r="AO590" s="1772"/>
      <c r="AP590" s="1772"/>
      <c r="AQ590" s="1772"/>
      <c r="AR590" s="1772"/>
      <c r="AS590" s="1772"/>
      <c r="AT590" s="1772"/>
      <c r="AU590" s="1772"/>
      <c r="AV590" s="1772"/>
      <c r="AW590" s="1772"/>
      <c r="AX590" s="1772"/>
      <c r="AY590" s="1772"/>
      <c r="AZ590" s="1772">
        <v>0</v>
      </c>
      <c r="BA590" s="1772"/>
      <c r="BB590" s="1772"/>
      <c r="BC590" s="1772"/>
      <c r="BD590" s="1772"/>
      <c r="BE590" s="1772"/>
      <c r="BF590" s="1772"/>
      <c r="BG590" s="1772"/>
      <c r="BH590" s="1772"/>
      <c r="BI590" s="1772">
        <v>0</v>
      </c>
      <c r="BJ590" s="1772">
        <v>0</v>
      </c>
      <c r="BK590" s="1772">
        <v>220.4</v>
      </c>
      <c r="BL590" s="1772">
        <v>2</v>
      </c>
      <c r="BM590" s="1772"/>
      <c r="BN590" s="1772"/>
      <c r="BO590" s="1772"/>
      <c r="BP590" s="1772"/>
      <c r="BQ590" s="1772"/>
      <c r="BR590" s="1772"/>
      <c r="BS590" s="1772"/>
      <c r="BT590" s="1772"/>
      <c r="BU590" s="1772"/>
      <c r="BV590" s="1772"/>
      <c r="BW590" s="1772"/>
      <c r="BX590" s="1772"/>
      <c r="BY590" s="1772"/>
      <c r="BZ590" s="1772"/>
      <c r="CA590" s="1772"/>
      <c r="CB590" s="1772"/>
      <c r="CC590" s="1772"/>
      <c r="CD590" s="1772"/>
      <c r="CE590" s="1772"/>
      <c r="CF590" s="1772"/>
      <c r="CG590" s="1772"/>
      <c r="CH590" s="1772"/>
      <c r="CI590" s="1772"/>
      <c r="CJ590" s="1772">
        <v>-0.03</v>
      </c>
      <c r="CK590" s="1772"/>
      <c r="CL590" s="1772"/>
      <c r="CM590" s="1772"/>
      <c r="CN590" s="1772"/>
      <c r="CO590" s="1772">
        <v>0</v>
      </c>
      <c r="CP590" s="1772">
        <v>0</v>
      </c>
      <c r="CQ590" s="1772">
        <v>31</v>
      </c>
      <c r="CR590" s="1772"/>
      <c r="CS590" s="1772"/>
      <c r="CT590" s="1772"/>
      <c r="CU590" s="1772"/>
      <c r="CV590" s="1772"/>
      <c r="CW590" s="1772"/>
      <c r="CX590" s="1772"/>
      <c r="CY590" s="1772"/>
      <c r="CZ590" s="1772"/>
      <c r="DA590" s="1772"/>
      <c r="DB590" s="1772"/>
      <c r="DC590" s="1772"/>
      <c r="DD590" s="1772"/>
      <c r="DE590" s="1772"/>
      <c r="DF590" s="1772"/>
      <c r="DG590" s="1772"/>
      <c r="DH590" s="1772"/>
      <c r="DI590" s="1772"/>
      <c r="DJ590" s="1772"/>
      <c r="DK590" s="1772">
        <v>0</v>
      </c>
      <c r="DL590" s="1772"/>
      <c r="DM590" s="1772"/>
      <c r="DN590" s="1772"/>
      <c r="DO590" s="1772"/>
      <c r="DP590" s="1772"/>
      <c r="DQ590" s="1772"/>
      <c r="DR590" s="1772"/>
      <c r="DS590" s="1772"/>
      <c r="DT590" s="1772"/>
      <c r="DU590" s="1772"/>
      <c r="DV590" s="1772"/>
      <c r="DW590" s="1772"/>
      <c r="DX590" s="1772"/>
      <c r="DY590" s="1772"/>
      <c r="DZ590" s="1772"/>
      <c r="EA590" s="1772"/>
      <c r="EB590" s="1772"/>
      <c r="EC590" s="1772"/>
      <c r="ED590" s="1772"/>
      <c r="EE590" s="1772"/>
      <c r="EF590" s="1772"/>
      <c r="EG590" s="1772"/>
      <c r="EH590" s="1772"/>
      <c r="EI590" s="1772"/>
      <c r="EJ590" s="1772"/>
      <c r="EK590" s="1772"/>
      <c r="EL590" s="1772"/>
      <c r="EM590" s="1772"/>
      <c r="EN590" s="1772"/>
      <c r="EO590" s="1772"/>
      <c r="EP590" s="1772"/>
      <c r="EQ590" s="1772"/>
      <c r="ER590" s="1772"/>
      <c r="ES590" s="1772"/>
      <c r="ET590" s="1772"/>
      <c r="EU590" s="1772"/>
      <c r="EV590" s="1772">
        <v>225</v>
      </c>
      <c r="EW590" s="1772"/>
      <c r="EX590" s="1772"/>
      <c r="EY590" s="1772"/>
      <c r="EZ590" s="1772"/>
      <c r="FA590" s="1772">
        <v>0</v>
      </c>
      <c r="FB590" s="1772"/>
      <c r="FC590" s="1772"/>
      <c r="FD590" s="1772"/>
      <c r="FE590" s="1772"/>
      <c r="FF590" s="1772">
        <v>0</v>
      </c>
      <c r="FG590" s="1772">
        <v>0</v>
      </c>
      <c r="FH590" s="1772">
        <v>0</v>
      </c>
      <c r="FI590" s="1772">
        <v>0</v>
      </c>
    </row>
    <row r="591" spans="1:165">
      <c r="A591" s="1772">
        <v>589</v>
      </c>
      <c r="B591" s="1772" t="s">
        <v>2379</v>
      </c>
      <c r="C591" s="1772" t="s">
        <v>2357</v>
      </c>
      <c r="D591" s="1772" t="s">
        <v>2369</v>
      </c>
      <c r="E591" s="1772" t="s">
        <v>895</v>
      </c>
      <c r="F591" s="1772" t="s">
        <v>2376</v>
      </c>
      <c r="G591" s="1772" t="s">
        <v>2377</v>
      </c>
      <c r="H591" s="1772" t="s">
        <v>1240</v>
      </c>
      <c r="I591" s="1772" t="s">
        <v>1240</v>
      </c>
      <c r="J591" s="1772" t="s">
        <v>2358</v>
      </c>
      <c r="K591" s="1773">
        <v>44774</v>
      </c>
      <c r="L591" s="1772">
        <v>0</v>
      </c>
      <c r="M591" s="1772">
        <v>0</v>
      </c>
      <c r="N591" s="1772">
        <v>1.83</v>
      </c>
      <c r="O591" s="1772">
        <v>1.83</v>
      </c>
      <c r="P591" s="1772">
        <v>1.83</v>
      </c>
      <c r="Q591" s="1772">
        <v>1.83</v>
      </c>
      <c r="R591" s="1772"/>
      <c r="S591" s="1772">
        <v>522.37</v>
      </c>
      <c r="T591" s="1772">
        <v>144.41999999999999</v>
      </c>
      <c r="U591" s="1772"/>
      <c r="V591" s="1772">
        <v>1220.2257</v>
      </c>
      <c r="W591" s="1772">
        <v>1220.2257</v>
      </c>
      <c r="X591" s="1772">
        <v>1192.6842000000001</v>
      </c>
      <c r="Y591" s="1772">
        <v>0</v>
      </c>
      <c r="Z591" s="1772">
        <v>112.36378504618945</v>
      </c>
      <c r="AA591" s="1772">
        <v>0</v>
      </c>
      <c r="AB591" s="1772">
        <v>0</v>
      </c>
      <c r="AC591" s="1772">
        <v>0</v>
      </c>
      <c r="AD591" s="1772">
        <v>186.59348583301147</v>
      </c>
      <c r="AE591" s="1772">
        <v>607.39020967518786</v>
      </c>
      <c r="AF591" s="1772">
        <v>264.29193724378939</v>
      </c>
      <c r="AG591" s="1772">
        <v>0</v>
      </c>
      <c r="AH591" s="1772">
        <v>0</v>
      </c>
      <c r="AI591" s="1772">
        <v>0</v>
      </c>
      <c r="AJ591" s="1772">
        <v>0</v>
      </c>
      <c r="AK591" s="1772">
        <v>0</v>
      </c>
      <c r="AL591" s="1772">
        <v>17.353442844941924</v>
      </c>
      <c r="AM591" s="1772"/>
      <c r="AN591" s="1772">
        <v>2.6623849980833665</v>
      </c>
      <c r="AO591" s="1772">
        <v>0</v>
      </c>
      <c r="AP591" s="1772">
        <v>0</v>
      </c>
      <c r="AQ591" s="1772">
        <v>0</v>
      </c>
      <c r="AR591" s="1772">
        <v>0</v>
      </c>
      <c r="AS591" s="1772">
        <v>0</v>
      </c>
      <c r="AT591" s="1772">
        <v>0</v>
      </c>
      <c r="AU591" s="1772">
        <v>0</v>
      </c>
      <c r="AV591" s="1772">
        <v>0</v>
      </c>
      <c r="AW591" s="1772">
        <v>0</v>
      </c>
      <c r="AX591" s="1772">
        <v>0</v>
      </c>
      <c r="AY591" s="1772">
        <v>0</v>
      </c>
      <c r="AZ591" s="1772">
        <v>0</v>
      </c>
      <c r="BA591" s="1772"/>
      <c r="BB591" s="1772">
        <v>0</v>
      </c>
      <c r="BC591" s="1772">
        <v>0</v>
      </c>
      <c r="BD591" s="1772">
        <v>0</v>
      </c>
      <c r="BE591" s="1772">
        <v>0</v>
      </c>
      <c r="BF591" s="1772">
        <v>0</v>
      </c>
      <c r="BG591" s="1772">
        <v>29.569733480552241</v>
      </c>
      <c r="BH591" s="1772">
        <v>0</v>
      </c>
      <c r="BI591" s="1772">
        <v>0</v>
      </c>
      <c r="BJ591" s="1772">
        <v>0</v>
      </c>
      <c r="BK591" s="1772">
        <v>0</v>
      </c>
      <c r="BL591" s="1772">
        <v>0</v>
      </c>
      <c r="BM591" s="1772"/>
      <c r="BN591" s="1772"/>
      <c r="BO591" s="1772"/>
      <c r="BP591" s="1772"/>
      <c r="BQ591" s="1772"/>
      <c r="BR591" s="1772">
        <v>143.10600000000005</v>
      </c>
      <c r="BS591" s="1772"/>
      <c r="BT591" s="1772"/>
      <c r="BU591" s="1772"/>
      <c r="BV591" s="1772">
        <v>293.86167072434165</v>
      </c>
      <c r="BW591" s="1772"/>
      <c r="BX591" s="1772"/>
      <c r="BY591" s="1772"/>
      <c r="BZ591" s="1772"/>
      <c r="CA591" s="1772"/>
      <c r="CB591" s="1772"/>
      <c r="CC591" s="1772"/>
      <c r="CD591" s="1772"/>
      <c r="CE591" s="1772"/>
      <c r="CF591" s="1772"/>
      <c r="CG591" s="1772"/>
      <c r="CH591" s="1772"/>
      <c r="CI591" s="1772">
        <v>1049.5781999999999</v>
      </c>
      <c r="CJ591" s="1772">
        <v>-24.240900000000011</v>
      </c>
      <c r="CK591" s="1772"/>
      <c r="CL591" s="1772"/>
      <c r="CM591" s="1772"/>
      <c r="CN591" s="1772"/>
      <c r="CO591" s="1772">
        <v>-38.228699999999975</v>
      </c>
      <c r="CP591" s="1772">
        <v>10.687200000000006</v>
      </c>
      <c r="CQ591" s="1772">
        <v>31</v>
      </c>
      <c r="CR591" s="1772">
        <v>-0.17564112250772723</v>
      </c>
      <c r="CS591" s="1772">
        <v>0</v>
      </c>
      <c r="CT591" s="1772">
        <v>0</v>
      </c>
      <c r="CU591" s="1772">
        <v>0</v>
      </c>
      <c r="CV591" s="1772">
        <v>0</v>
      </c>
      <c r="CW591" s="1772">
        <v>0</v>
      </c>
      <c r="CX591" s="1772">
        <v>0</v>
      </c>
      <c r="CY591" s="1772">
        <v>0</v>
      </c>
      <c r="CZ591" s="1772">
        <v>7.8091895852273581</v>
      </c>
      <c r="DA591" s="1772">
        <v>0</v>
      </c>
      <c r="DB591" s="1772">
        <v>0</v>
      </c>
      <c r="DC591" s="1772">
        <v>10.686820088962236</v>
      </c>
      <c r="DD591" s="1772">
        <v>0</v>
      </c>
      <c r="DE591" s="1772">
        <v>0</v>
      </c>
      <c r="DF591" s="1772">
        <v>0</v>
      </c>
      <c r="DG591" s="1772">
        <v>1.1956718206416497</v>
      </c>
      <c r="DH591" s="1772">
        <v>0</v>
      </c>
      <c r="DI591" s="1772">
        <v>-17.262573588844219</v>
      </c>
      <c r="DJ591" s="1772"/>
      <c r="DK591" s="1772">
        <v>0</v>
      </c>
      <c r="DL591" s="1772">
        <v>0</v>
      </c>
      <c r="DM591" s="1772">
        <v>0</v>
      </c>
      <c r="DN591" s="1772">
        <v>0</v>
      </c>
      <c r="DO591" s="1772">
        <v>-2.2834451355539258</v>
      </c>
      <c r="DP591" s="1772">
        <v>-0.32130389294080342</v>
      </c>
      <c r="DQ591" s="1772">
        <v>0</v>
      </c>
      <c r="DR591" s="1772">
        <v>0</v>
      </c>
      <c r="DS591" s="1772"/>
      <c r="DT591" s="1772"/>
      <c r="DU591" s="1772"/>
      <c r="DV591" s="1772">
        <v>607.39020967518786</v>
      </c>
      <c r="DW591" s="1772">
        <v>0</v>
      </c>
      <c r="DX591" s="1772">
        <v>0</v>
      </c>
      <c r="DY591" s="1772">
        <v>-38.228700000000003</v>
      </c>
      <c r="DZ591" s="1772">
        <v>10.687200000000018</v>
      </c>
      <c r="EA591" s="1772">
        <v>0</v>
      </c>
      <c r="EB591" s="1772">
        <v>0</v>
      </c>
      <c r="EC591" s="1772">
        <v>-27.35517288227777</v>
      </c>
      <c r="ED591" s="1772">
        <v>0</v>
      </c>
      <c r="EE591" s="1772">
        <v>0</v>
      </c>
      <c r="EF591" s="1772">
        <v>0</v>
      </c>
      <c r="EG591" s="1772">
        <v>0</v>
      </c>
      <c r="EH591" s="1772">
        <v>0</v>
      </c>
      <c r="EI591" s="1772">
        <v>0</v>
      </c>
      <c r="EJ591" s="1772">
        <v>0</v>
      </c>
      <c r="EK591" s="1772">
        <v>0</v>
      </c>
      <c r="EL591" s="1772">
        <v>0</v>
      </c>
      <c r="EM591" s="1772">
        <v>0</v>
      </c>
      <c r="EN591" s="1772">
        <v>0</v>
      </c>
      <c r="EO591" s="1772">
        <v>0</v>
      </c>
      <c r="EP591" s="1772">
        <v>0</v>
      </c>
      <c r="EQ591" s="1772">
        <v>0</v>
      </c>
      <c r="ER591" s="1772">
        <v>0</v>
      </c>
      <c r="ES591" s="1772">
        <v>0</v>
      </c>
      <c r="ET591" s="1772">
        <v>0</v>
      </c>
      <c r="EU591" s="1772">
        <v>0</v>
      </c>
      <c r="EV591" s="1772">
        <v>225</v>
      </c>
      <c r="EW591" s="1772">
        <v>0</v>
      </c>
      <c r="EX591" s="1772">
        <v>0</v>
      </c>
      <c r="EY591" s="1772">
        <v>0</v>
      </c>
      <c r="EZ591" s="1772"/>
      <c r="FA591" s="1772">
        <v>0</v>
      </c>
      <c r="FB591" s="1772"/>
      <c r="FC591" s="1772"/>
      <c r="FD591" s="1772"/>
      <c r="FE591" s="1772"/>
      <c r="FF591" s="1772">
        <v>0</v>
      </c>
      <c r="FG591" s="1772">
        <v>0</v>
      </c>
      <c r="FH591" s="1772">
        <v>0</v>
      </c>
      <c r="FI591" s="1772">
        <v>0</v>
      </c>
    </row>
    <row r="592" spans="1:165">
      <c r="A592" s="1772">
        <v>590</v>
      </c>
      <c r="B592" s="1772" t="s">
        <v>2379</v>
      </c>
      <c r="C592" s="1772" t="s">
        <v>2357</v>
      </c>
      <c r="D592" s="1772" t="s">
        <v>2369</v>
      </c>
      <c r="E592" s="1772" t="s">
        <v>895</v>
      </c>
      <c r="F592" s="1772" t="s">
        <v>2376</v>
      </c>
      <c r="G592" s="1772" t="s">
        <v>2378</v>
      </c>
      <c r="H592" s="1772" t="s">
        <v>1240</v>
      </c>
      <c r="I592" s="1772" t="s">
        <v>1240</v>
      </c>
      <c r="J592" s="1772" t="s">
        <v>2358</v>
      </c>
      <c r="K592" s="1773">
        <v>44774</v>
      </c>
      <c r="L592" s="1772">
        <v>0</v>
      </c>
      <c r="M592" s="1772">
        <v>0</v>
      </c>
      <c r="N592" s="1772">
        <v>0.22</v>
      </c>
      <c r="O592" s="1772">
        <v>8.7999999999999995E-2</v>
      </c>
      <c r="P592" s="1772">
        <v>0.22</v>
      </c>
      <c r="Q592" s="1772">
        <v>8.7999999999999995E-2</v>
      </c>
      <c r="R592" s="1772"/>
      <c r="S592" s="1772">
        <v>522.37</v>
      </c>
      <c r="T592" s="1772">
        <v>144.41999999999999</v>
      </c>
      <c r="U592" s="1772"/>
      <c r="V592" s="1772">
        <v>146.69380000000001</v>
      </c>
      <c r="W592" s="1772">
        <v>146.69380000000001</v>
      </c>
      <c r="X592" s="1772">
        <v>143.3828</v>
      </c>
      <c r="Y592" s="1772">
        <v>0</v>
      </c>
      <c r="Z592" s="1772">
        <v>13.508214595716764</v>
      </c>
      <c r="AA592" s="1772">
        <v>0</v>
      </c>
      <c r="AB592" s="1772">
        <v>0</v>
      </c>
      <c r="AC592" s="1772">
        <v>0</v>
      </c>
      <c r="AD592" s="1772">
        <v>22.432003761345641</v>
      </c>
      <c r="AE592" s="1772">
        <v>73.019588048383241</v>
      </c>
      <c r="AF592" s="1772">
        <v>31.772801198706919</v>
      </c>
      <c r="AG592" s="1772">
        <v>0</v>
      </c>
      <c r="AH592" s="1772">
        <v>0</v>
      </c>
      <c r="AI592" s="1772">
        <v>0</v>
      </c>
      <c r="AJ592" s="1772">
        <v>0</v>
      </c>
      <c r="AK592" s="1772">
        <v>0</v>
      </c>
      <c r="AL592" s="1772">
        <v>2.0862062436542206</v>
      </c>
      <c r="AM592" s="1772"/>
      <c r="AN592" s="1772">
        <v>0.32006814184608778</v>
      </c>
      <c r="AO592" s="1772">
        <v>0</v>
      </c>
      <c r="AP592" s="1772">
        <v>0</v>
      </c>
      <c r="AQ592" s="1772">
        <v>0</v>
      </c>
      <c r="AR592" s="1772">
        <v>0</v>
      </c>
      <c r="AS592" s="1772">
        <v>0</v>
      </c>
      <c r="AT592" s="1772">
        <v>0</v>
      </c>
      <c r="AU592" s="1772">
        <v>0</v>
      </c>
      <c r="AV592" s="1772">
        <v>0</v>
      </c>
      <c r="AW592" s="1772">
        <v>0</v>
      </c>
      <c r="AX592" s="1772">
        <v>0</v>
      </c>
      <c r="AY592" s="1772">
        <v>0</v>
      </c>
      <c r="AZ592" s="1772">
        <v>0</v>
      </c>
      <c r="BA592" s="1772"/>
      <c r="BB592" s="1772">
        <v>0</v>
      </c>
      <c r="BC592" s="1772">
        <v>0</v>
      </c>
      <c r="BD592" s="1772">
        <v>0</v>
      </c>
      <c r="BE592" s="1772">
        <v>0</v>
      </c>
      <c r="BF592" s="1772">
        <v>0</v>
      </c>
      <c r="BG592" s="1772">
        <v>3.5548313473887938</v>
      </c>
      <c r="BH592" s="1772">
        <v>0</v>
      </c>
      <c r="BI592" s="1772">
        <v>0</v>
      </c>
      <c r="BJ592" s="1772">
        <v>0</v>
      </c>
      <c r="BK592" s="1772">
        <v>0</v>
      </c>
      <c r="BL592" s="1772">
        <v>0</v>
      </c>
      <c r="BM592" s="1772"/>
      <c r="BN592" s="1772"/>
      <c r="BO592" s="1772"/>
      <c r="BP592" s="1772"/>
      <c r="BQ592" s="1772"/>
      <c r="BR592" s="1772"/>
      <c r="BS592" s="1772">
        <v>92.911280000000005</v>
      </c>
      <c r="BT592" s="1772"/>
      <c r="BU592" s="1772"/>
      <c r="BV592" s="1772">
        <v>35.327632546095714</v>
      </c>
      <c r="BW592" s="1772"/>
      <c r="BX592" s="1772"/>
      <c r="BY592" s="1772"/>
      <c r="BZ592" s="1772"/>
      <c r="CA592" s="1772"/>
      <c r="CB592" s="1772"/>
      <c r="CC592" s="1772"/>
      <c r="CD592" s="1772"/>
      <c r="CE592" s="1772"/>
      <c r="CF592" s="1772"/>
      <c r="CG592" s="1772"/>
      <c r="CH592" s="1772"/>
      <c r="CI592" s="1772">
        <v>51.618600000000001</v>
      </c>
      <c r="CJ592" s="1772">
        <v>-4.7159999999990987E-2</v>
      </c>
      <c r="CK592" s="1772"/>
      <c r="CL592" s="1772"/>
      <c r="CM592" s="1772"/>
      <c r="CN592" s="1772"/>
      <c r="CO592" s="1772">
        <v>-4.595799999999997</v>
      </c>
      <c r="CP592" s="1772">
        <v>1.2848000000000008</v>
      </c>
      <c r="CQ592" s="1772">
        <v>31</v>
      </c>
      <c r="CR592" s="1772">
        <v>-2.1115326203116069E-2</v>
      </c>
      <c r="CS592" s="1772">
        <v>0</v>
      </c>
      <c r="CT592" s="1772">
        <v>0</v>
      </c>
      <c r="CU592" s="1772">
        <v>0</v>
      </c>
      <c r="CV592" s="1772">
        <v>0</v>
      </c>
      <c r="CW592" s="1772">
        <v>0</v>
      </c>
      <c r="CX592" s="1772">
        <v>0</v>
      </c>
      <c r="CY592" s="1772">
        <v>0</v>
      </c>
      <c r="CZ592" s="1772">
        <v>0.93880967691258022</v>
      </c>
      <c r="DA592" s="1772">
        <v>0</v>
      </c>
      <c r="DB592" s="1772">
        <v>0</v>
      </c>
      <c r="DC592" s="1772">
        <v>1.2847543276348041</v>
      </c>
      <c r="DD592" s="1772">
        <v>0</v>
      </c>
      <c r="DE592" s="1772">
        <v>0</v>
      </c>
      <c r="DF592" s="1772">
        <v>0</v>
      </c>
      <c r="DG592" s="1772">
        <v>0.14374196750883206</v>
      </c>
      <c r="DH592" s="1772">
        <v>0</v>
      </c>
      <c r="DI592" s="1772">
        <v>-2.0752820707900153</v>
      </c>
      <c r="DJ592" s="1772"/>
      <c r="DK592" s="1772">
        <v>0</v>
      </c>
      <c r="DL592" s="1772">
        <v>0</v>
      </c>
      <c r="DM592" s="1772">
        <v>0</v>
      </c>
      <c r="DN592" s="1772">
        <v>0</v>
      </c>
      <c r="DO592" s="1772">
        <v>-0.2745125299573028</v>
      </c>
      <c r="DP592" s="1772">
        <v>-3.86266975120092E-2</v>
      </c>
      <c r="DQ592" s="1772">
        <v>0</v>
      </c>
      <c r="DR592" s="1772">
        <v>0</v>
      </c>
      <c r="DS592" s="1772"/>
      <c r="DT592" s="1772"/>
      <c r="DU592" s="1772"/>
      <c r="DV592" s="1772">
        <v>73.019588048383241</v>
      </c>
      <c r="DW592" s="1772">
        <v>0</v>
      </c>
      <c r="DX592" s="1772">
        <v>0</v>
      </c>
      <c r="DY592" s="1772">
        <v>-4.595799999999997</v>
      </c>
      <c r="DZ592" s="1772">
        <v>1.2848000000000042</v>
      </c>
      <c r="EA592" s="1772">
        <v>0</v>
      </c>
      <c r="EB592" s="1772">
        <v>0</v>
      </c>
      <c r="EC592" s="1772">
        <v>-3.288600018634483</v>
      </c>
      <c r="ED592" s="1772">
        <v>0</v>
      </c>
      <c r="EE592" s="1772">
        <v>0</v>
      </c>
      <c r="EF592" s="1772">
        <v>0</v>
      </c>
      <c r="EG592" s="1772">
        <v>0</v>
      </c>
      <c r="EH592" s="1772">
        <v>0</v>
      </c>
      <c r="EI592" s="1772">
        <v>0</v>
      </c>
      <c r="EJ592" s="1772">
        <v>0</v>
      </c>
      <c r="EK592" s="1772">
        <v>0</v>
      </c>
      <c r="EL592" s="1772">
        <v>0</v>
      </c>
      <c r="EM592" s="1772">
        <v>0</v>
      </c>
      <c r="EN592" s="1772">
        <v>0</v>
      </c>
      <c r="EO592" s="1772">
        <v>0</v>
      </c>
      <c r="EP592" s="1772">
        <v>0</v>
      </c>
      <c r="EQ592" s="1772">
        <v>0</v>
      </c>
      <c r="ER592" s="1772">
        <v>0</v>
      </c>
      <c r="ES592" s="1772">
        <v>0</v>
      </c>
      <c r="ET592" s="1772">
        <v>0</v>
      </c>
      <c r="EU592" s="1772">
        <v>0</v>
      </c>
      <c r="EV592" s="1772">
        <v>225</v>
      </c>
      <c r="EW592" s="1772">
        <v>0</v>
      </c>
      <c r="EX592" s="1772">
        <v>0</v>
      </c>
      <c r="EY592" s="1772">
        <v>0</v>
      </c>
      <c r="EZ592" s="1772"/>
      <c r="FA592" s="1772">
        <v>0</v>
      </c>
      <c r="FB592" s="1772"/>
      <c r="FC592" s="1772"/>
      <c r="FD592" s="1772"/>
      <c r="FE592" s="1772"/>
      <c r="FF592" s="1772">
        <v>0</v>
      </c>
      <c r="FG592" s="1772">
        <v>0</v>
      </c>
      <c r="FH592" s="1772">
        <v>0</v>
      </c>
      <c r="FI592" s="1772">
        <v>0</v>
      </c>
    </row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C22" zoomScale="95" zoomScaleNormal="95" workbookViewId="0">
      <selection activeCell="E38" sqref="E3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" style="124" bestFit="1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1" t="s">
        <v>1081</v>
      </c>
      <c r="C1" s="1020"/>
      <c r="D1" s="932"/>
      <c r="E1" s="932"/>
      <c r="F1" s="1130" t="s">
        <v>874</v>
      </c>
      <c r="G1" s="1131">
        <f ca="1">LnkTXTIRTEco</f>
        <v>0.1195</v>
      </c>
    </row>
    <row r="2" spans="2:19" ht="23.25" customHeight="1">
      <c r="B2" s="136" t="str">
        <f>CAPA!C9</f>
        <v>Cermoful</v>
      </c>
      <c r="C2" s="70"/>
      <c r="D2" s="70"/>
      <c r="E2" s="70"/>
      <c r="F2" s="120" t="s">
        <v>878</v>
      </c>
      <c r="G2" s="121">
        <f ca="1">LnkTXTIRTTotal</f>
        <v>7.6999999999999999E-2</v>
      </c>
    </row>
    <row r="3" spans="2:19" ht="16.5">
      <c r="B3" s="71" t="s">
        <v>685</v>
      </c>
      <c r="K3" s="71" t="s">
        <v>1082</v>
      </c>
      <c r="P3" s="9" t="s">
        <v>1083</v>
      </c>
    </row>
    <row r="4" spans="2:19">
      <c r="B4" s="1178" t="s">
        <v>779</v>
      </c>
      <c r="C4" s="1178" t="s">
        <v>696</v>
      </c>
      <c r="D4" s="1178" t="s">
        <v>697</v>
      </c>
      <c r="G4" s="68"/>
      <c r="H4" s="124"/>
      <c r="K4" s="1178" t="s">
        <v>896</v>
      </c>
      <c r="L4" s="1178" t="s">
        <v>696</v>
      </c>
      <c r="M4" s="1178" t="s">
        <v>899</v>
      </c>
      <c r="P4" s="68" t="s">
        <v>1084</v>
      </c>
    </row>
    <row r="5" spans="2:19">
      <c r="B5" s="1179" t="s">
        <v>1085</v>
      </c>
      <c r="C5" s="1180">
        <f ca="1">C6+C9</f>
        <v>154952.88397905102</v>
      </c>
      <c r="D5" s="1180">
        <f ca="1">SUM(D6,D9)</f>
        <v>153598.07499999998</v>
      </c>
      <c r="G5" s="68"/>
      <c r="K5" s="68" t="s">
        <v>782</v>
      </c>
      <c r="L5" s="92">
        <f ca="1">M5</f>
        <v>144897.01799999998</v>
      </c>
      <c r="M5" s="139">
        <f ca="1">FornecimentoE</f>
        <v>144897.01799999998</v>
      </c>
      <c r="P5" s="68" t="s">
        <v>1086</v>
      </c>
    </row>
    <row r="6" spans="2:19">
      <c r="B6" s="1181" t="s">
        <v>1087</v>
      </c>
      <c r="C6" s="1182">
        <f ca="1">LnkTXTEV</f>
        <v>144897.01799999998</v>
      </c>
      <c r="D6" s="1182">
        <f ca="1">SUM(D7:D8)</f>
        <v>144897.01799999998</v>
      </c>
      <c r="F6" s="1452">
        <f ca="1">C24/LnkTXTEV-1</f>
        <v>6.0049938363810895E-2</v>
      </c>
      <c r="G6" s="68"/>
      <c r="K6" s="68" t="s">
        <v>791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1088</v>
      </c>
    </row>
    <row r="7" spans="2:19">
      <c r="B7" s="143" t="s">
        <v>782</v>
      </c>
      <c r="C7" s="144">
        <f ca="1">LnkTXTF</f>
        <v>144897.01799999998</v>
      </c>
      <c r="D7" s="144">
        <f ca="1">M5</f>
        <v>144897.01799999998</v>
      </c>
      <c r="G7" s="68"/>
      <c r="K7" s="68" t="s">
        <v>1089</v>
      </c>
      <c r="L7" s="92">
        <f t="shared" ca="1" si="0"/>
        <v>0</v>
      </c>
      <c r="M7" s="139">
        <f ca="1">LivreE</f>
        <v>0</v>
      </c>
      <c r="P7" s="68" t="s">
        <v>1090</v>
      </c>
    </row>
    <row r="8" spans="2:19">
      <c r="B8" s="143" t="s">
        <v>791</v>
      </c>
      <c r="C8" s="144">
        <f ca="1">D8</f>
        <v>0</v>
      </c>
      <c r="D8" s="144">
        <f ca="1">M6</f>
        <v>0</v>
      </c>
      <c r="G8" s="68"/>
      <c r="K8" s="68" t="s">
        <v>879</v>
      </c>
      <c r="L8" s="92">
        <f t="shared" ca="1" si="0"/>
        <v>0</v>
      </c>
      <c r="M8" s="139">
        <f ca="1">LivreE_A1</f>
        <v>0</v>
      </c>
      <c r="P8" s="68" t="s">
        <v>1091</v>
      </c>
    </row>
    <row r="9" spans="2:19">
      <c r="B9" s="1181" t="s">
        <v>1092</v>
      </c>
      <c r="C9" s="1182">
        <f ca="1">SUM(C10:C13)</f>
        <v>10055.86597905103</v>
      </c>
      <c r="D9" s="1182">
        <f ca="1">SUM(D10:D13)</f>
        <v>8701.0570000000098</v>
      </c>
      <c r="G9" s="68"/>
      <c r="K9" s="785" t="s">
        <v>1093</v>
      </c>
      <c r="L9" s="1557">
        <f t="shared" ca="1" si="0"/>
        <v>54512.429999999993</v>
      </c>
      <c r="M9" s="1183">
        <f ca="1">FornecimentoE_BT</f>
        <v>54512.429999999993</v>
      </c>
      <c r="P9" s="68" t="s">
        <v>1094</v>
      </c>
    </row>
    <row r="10" spans="2:19">
      <c r="B10" s="1190" t="s">
        <v>1110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1116</v>
      </c>
      <c r="C11" s="144">
        <f ca="1">L17</f>
        <v>10055.86597905103</v>
      </c>
      <c r="D11" s="144">
        <f ca="1">N17</f>
        <v>8701.0570000000098</v>
      </c>
      <c r="G11" s="68"/>
      <c r="K11" s="71" t="s">
        <v>1096</v>
      </c>
      <c r="L11" s="71"/>
      <c r="M11" s="125"/>
      <c r="P11" s="68" t="s">
        <v>1097</v>
      </c>
      <c r="Q11" s="492">
        <f ca="1">M20/(D6+M20)</f>
        <v>5.664821645713991E-2</v>
      </c>
      <c r="R11" s="69">
        <f ca="1">Q11*($M$24+LnkTXTGPM)</f>
        <v>0</v>
      </c>
    </row>
    <row r="12" spans="2:19">
      <c r="B12" s="143" t="s">
        <v>1095</v>
      </c>
      <c r="C12" s="144">
        <f ca="1">L18</f>
        <v>0</v>
      </c>
      <c r="D12" s="144">
        <f ca="1">N18</f>
        <v>0</v>
      </c>
      <c r="E12" s="72"/>
      <c r="G12" s="72"/>
      <c r="K12" s="145" t="s">
        <v>779</v>
      </c>
      <c r="L12" s="145" t="s">
        <v>696</v>
      </c>
      <c r="M12" s="1184" t="s">
        <v>1099</v>
      </c>
      <c r="N12" s="1185" t="s">
        <v>29</v>
      </c>
      <c r="P12" s="68" t="s">
        <v>1100</v>
      </c>
      <c r="Q12" s="393">
        <v>0.1389</v>
      </c>
      <c r="R12" s="69"/>
      <c r="S12" s="140"/>
    </row>
    <row r="13" spans="2:19">
      <c r="B13" s="143" t="s">
        <v>1098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1102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1103</v>
      </c>
      <c r="Q13" s="492">
        <f ca="1">IF(Q11&lt;Q12,Q11,(IF(Q11=0,0,Q11*0.75+Q12*0.25)))</f>
        <v>5.664821645713991E-2</v>
      </c>
      <c r="R13" s="69">
        <f ca="1">($M$5+$M$6-$M$8)*Q13/(1-Q13)</f>
        <v>8701.0570000000098</v>
      </c>
    </row>
    <row r="14" spans="2:19">
      <c r="B14" s="1186" t="s">
        <v>1101</v>
      </c>
      <c r="C14" s="1187">
        <f>VLOOKUP("custo Médio",DRA_CM_Perdas[#All],3,FALSE)</f>
        <v>141.96354499218299</v>
      </c>
      <c r="D14" s="1187">
        <f ca="1">IFERROR(E24,0)</f>
        <v>144.71298117076225</v>
      </c>
      <c r="E14" s="127"/>
      <c r="F14" s="127"/>
      <c r="G14" s="127"/>
      <c r="K14" s="68" t="s">
        <v>1105</v>
      </c>
      <c r="L14" s="393">
        <f>VLOOKUP("PERDAS TÉCNICAS",DRA_CM_Perdas[#All],3,FALSE)</f>
        <v>6.4896281507161493E-2</v>
      </c>
      <c r="M14" s="393">
        <f>IF(CAPA!H29=0,CAPA!K34,CAPA!H29)</f>
        <v>6.9900000000000004E-2</v>
      </c>
      <c r="N14" s="393">
        <f ca="1">IFERROR(N17/((M5+M6-M8+N16)+N17),0)</f>
        <v>5.664821645713991E-2</v>
      </c>
      <c r="P14" s="68" t="s">
        <v>1106</v>
      </c>
      <c r="Q14" s="492">
        <f ca="1">(M17+M16)/(M16+M17+M5+M6)</f>
        <v>6.989999999999999E-2</v>
      </c>
      <c r="R14" s="69">
        <f ca="1">IF(CAPA!H33="",(M5+M6-M8)/(1-M14)*M14,CAPA!H33)+IF(CAPA!H34="",M13*M9,CAPA!H34)</f>
        <v>10889.475925384366</v>
      </c>
    </row>
    <row r="15" spans="2:19">
      <c r="B15" s="1188" t="s">
        <v>1104</v>
      </c>
      <c r="C15" s="1189">
        <f ca="1">C14*C5</f>
        <v>21997660.716428522</v>
      </c>
      <c r="D15" s="1189">
        <f ca="1">D14*D5</f>
        <v>22227635.335340325</v>
      </c>
      <c r="E15" s="79"/>
      <c r="F15" s="72"/>
      <c r="G15" s="126"/>
      <c r="K15" s="785" t="s">
        <v>1107</v>
      </c>
      <c r="L15" s="1743">
        <f>VLOOKUP("PERDAS NA RB (sobre as perdas na D)",DRA_CM_Perdas[#All],3,FALSE)</f>
        <v>0</v>
      </c>
      <c r="M15" s="1453">
        <f>IF(CAPA!H31=0,0,CAPA!H31)</f>
        <v>0</v>
      </c>
      <c r="N15" s="1558">
        <f ca="1">IFERROR(M22/(M5+M6+M23+N17+N16),0)</f>
        <v>0</v>
      </c>
      <c r="P15" s="68" t="s">
        <v>1108</v>
      </c>
      <c r="Q15" s="79">
        <f ca="1">IF(Q14&lt;Q13,Q14,Q13)</f>
        <v>5.664821645713991E-2</v>
      </c>
      <c r="R15" s="69">
        <f ca="1">IF(R14&lt;R13,R14,R13)</f>
        <v>8701.0570000000098</v>
      </c>
      <c r="S15" s="79">
        <f ca="1">R15/(M5+R15)</f>
        <v>5.664821645713991E-2</v>
      </c>
    </row>
    <row r="16" spans="2:19">
      <c r="K16" s="1190" t="s">
        <v>1110</v>
      </c>
      <c r="L16" s="1190">
        <f ca="1">L13*L9</f>
        <v>0</v>
      </c>
      <c r="M16" s="1190">
        <f ca="1">IF(CAPA!H34="",M13*M9,CAPA!H34)</f>
        <v>0</v>
      </c>
      <c r="N16" s="465">
        <f ca="1">IF($M$21&lt;$M$20,M16,($M$20/$M$21)*M16)</f>
        <v>0</v>
      </c>
      <c r="P16" s="140" t="s">
        <v>1111</v>
      </c>
      <c r="Q16" s="79">
        <f ca="1">IF(Q15&gt;Q12,Q12,Q15)</f>
        <v>5.664821645713991E-2</v>
      </c>
      <c r="R16" s="69">
        <f ca="1">($M$5+$M$6-$M$8+R15)*Q16</f>
        <v>8701.0570000000098</v>
      </c>
    </row>
    <row r="17" spans="1:22">
      <c r="B17" s="128" t="s">
        <v>1109</v>
      </c>
      <c r="C17" s="129"/>
      <c r="D17" s="130"/>
      <c r="E17" s="130"/>
      <c r="F17" s="130"/>
      <c r="K17" s="139" t="s">
        <v>1116</v>
      </c>
      <c r="L17" s="139">
        <f ca="1">(L5+L6-L8+L16)/(1-L14)*L14</f>
        <v>10055.86597905103</v>
      </c>
      <c r="M17" s="139">
        <f ca="1">IF(CAPA!H33="",(M5+M6-M8+M16)/(1-M14)*M14,CAPA!H33)</f>
        <v>10889.475925384366</v>
      </c>
      <c r="N17" s="465">
        <f ca="1">IF($M$21&lt;$M$20,M17,($M$20/$M$21)*M17)+M23</f>
        <v>8701.0570000000098</v>
      </c>
      <c r="O17" s="140"/>
      <c r="P17" s="68" t="s">
        <v>1117</v>
      </c>
      <c r="Q17" s="393">
        <f ca="1">Q15-Q16</f>
        <v>0</v>
      </c>
      <c r="R17" s="69">
        <f ca="1">R15-R16</f>
        <v>0</v>
      </c>
    </row>
    <row r="18" spans="1:22">
      <c r="B18" s="1178" t="s">
        <v>1112</v>
      </c>
      <c r="C18" s="1178" t="s">
        <v>1113</v>
      </c>
      <c r="D18" s="1178"/>
      <c r="E18" s="1178" t="s">
        <v>1114</v>
      </c>
      <c r="F18" s="1178" t="s">
        <v>1115</v>
      </c>
      <c r="G18" s="762"/>
      <c r="H18" s="764"/>
      <c r="I18" s="132"/>
      <c r="K18" s="139" t="s">
        <v>1095</v>
      </c>
      <c r="L18" s="465">
        <f ca="1">SUM(L16:L17)*L15</f>
        <v>0</v>
      </c>
      <c r="M18" s="465"/>
      <c r="N18" s="1479">
        <f ca="1">(N16+N17)*N15</f>
        <v>0</v>
      </c>
      <c r="P18" s="68" t="s">
        <v>1118</v>
      </c>
      <c r="Q18" s="79">
        <f ca="1">R17/M9</f>
        <v>0</v>
      </c>
    </row>
    <row r="19" spans="1:22">
      <c r="B19" s="78" t="s">
        <v>216</v>
      </c>
      <c r="C19" s="761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3"/>
      <c r="H19" s="764"/>
      <c r="K19" s="1183" t="s">
        <v>1098</v>
      </c>
      <c r="L19" s="1454">
        <f ca="1">(L5+L6)*L15</f>
        <v>0</v>
      </c>
      <c r="M19" s="1454"/>
      <c r="N19" s="1480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2416.7616097665855</v>
      </c>
      <c r="D20" s="88"/>
      <c r="E20" s="88">
        <v>0</v>
      </c>
      <c r="F20" s="77">
        <v>0</v>
      </c>
      <c r="G20" s="763"/>
      <c r="H20" s="764"/>
      <c r="J20" s="132"/>
      <c r="K20" s="139" t="s">
        <v>1119</v>
      </c>
      <c r="L20" s="139"/>
      <c r="M20" s="139">
        <f>'Perdas de Energia'!I18</f>
        <v>8701.0570000000098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3"/>
      <c r="H21" s="764"/>
      <c r="K21" s="1183" t="s">
        <v>1120</v>
      </c>
      <c r="L21" s="1183"/>
      <c r="M21" s="1183">
        <f ca="1">M16+M17</f>
        <v>10889.475925384366</v>
      </c>
      <c r="N21" s="1454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3"/>
      <c r="H22" s="764"/>
      <c r="K22" s="68" t="s">
        <v>2053</v>
      </c>
      <c r="M22" s="72">
        <f>SUMIFS(TabPerdaDIT[Valor],TabPerdaDIT[Dados de perda],"Perdas RB")</f>
        <v>0</v>
      </c>
    </row>
    <row r="23" spans="1:22">
      <c r="B23" s="78" t="s">
        <v>1121</v>
      </c>
      <c r="C23" s="251">
        <f ca="1">IF(J60=0,E35,(J48+J60))*N30</f>
        <v>151181.31339023341</v>
      </c>
      <c r="D23" s="88"/>
      <c r="E23" s="88">
        <f ca="1">IF(K60=0,H35,(N48+N60)/(M48+M60))</f>
        <v>147.026341</v>
      </c>
      <c r="F23" s="77">
        <f ca="1">E23*C23</f>
        <v>22227635.335340325</v>
      </c>
      <c r="G23" s="763"/>
      <c r="H23" s="764"/>
      <c r="K23" s="68" t="s">
        <v>2130</v>
      </c>
      <c r="M23" s="72">
        <f>SUMIFS(TabPerdaDIT[Valor],TabPerdaDIT[Dados de perda],"Perdas DITs")</f>
        <v>0</v>
      </c>
    </row>
    <row r="24" spans="1:22" ht="27.75" customHeight="1">
      <c r="B24" s="1191" t="s">
        <v>1122</v>
      </c>
      <c r="C24" s="1192">
        <f ca="1">SUM(C19:C23)</f>
        <v>153598.07499999998</v>
      </c>
      <c r="D24" s="1193"/>
      <c r="E24" s="1193">
        <f ca="1">IF(SUM(C19:C23)=0,0,SUM(F19:F23)/SUM(C19:C23))</f>
        <v>144.71298117076225</v>
      </c>
      <c r="F24" s="1194">
        <f ca="1">SUM(F19:F23)</f>
        <v>22227635.335340325</v>
      </c>
      <c r="G24" s="763"/>
      <c r="H24" s="808"/>
      <c r="J24" s="72"/>
      <c r="K24" s="1579"/>
      <c r="L24" s="1579"/>
      <c r="M24" s="1195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0"/>
    </row>
    <row r="26" spans="1:22">
      <c r="A26" s="74"/>
      <c r="B26" s="838" t="s">
        <v>2052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6" t="s">
        <v>27</v>
      </c>
      <c r="C27" s="1196" t="s">
        <v>876</v>
      </c>
      <c r="D27" s="1196" t="s">
        <v>1123</v>
      </c>
      <c r="E27" s="1196" t="s">
        <v>899</v>
      </c>
      <c r="F27" s="1196" t="s">
        <v>1124</v>
      </c>
      <c r="G27" s="1197" t="s">
        <v>1125</v>
      </c>
      <c r="H27" s="1197" t="s">
        <v>1126</v>
      </c>
      <c r="I27" s="1197" t="s">
        <v>1127</v>
      </c>
      <c r="K27" s="128"/>
      <c r="L27" s="1581"/>
      <c r="M27" s="100"/>
      <c r="N27" s="100"/>
    </row>
    <row r="28" spans="1:22">
      <c r="A28" s="74">
        <v>5697</v>
      </c>
      <c r="B28" s="512" t="s">
        <v>2203</v>
      </c>
      <c r="C28" s="512" t="s">
        <v>176</v>
      </c>
      <c r="D28" s="512">
        <f>IF(B28="","",SUMIFS(Faturas!V:V,Faturas!U:U,"Consumo*",Faturas!S:S,Energia!C28,Faturas!R:R,Energia!B28))</f>
        <v>74344588</v>
      </c>
      <c r="E28" s="512">
        <f t="shared" ref="E28:E34" si="1">IF(B28="","",D28/1000)</f>
        <v>74344.588000000003</v>
      </c>
      <c r="F28" s="1770">
        <v>0.48409999999999997</v>
      </c>
      <c r="G28" s="513">
        <f>IFERROR(VLOOKUP(CONCATENATE(A28,A78),BD!$H$43:$S$59,12,FALSE),"")</f>
        <v>284.99</v>
      </c>
      <c r="H28" s="513">
        <f t="shared" ref="H28:H34" si="2">IF(B28="","",IFERROR(G28*(1-F28),0))</f>
        <v>147.026341</v>
      </c>
      <c r="I28" s="511">
        <f>SUMIFS(DescontoEnergia[Desconto],DescontoEnergia[idSupridora],Energia!A28,DescontoEnergia[Nível],Energia!C28)</f>
        <v>0.53969999999999996</v>
      </c>
      <c r="K28" s="71" t="s">
        <v>1128</v>
      </c>
      <c r="P28" s="68" t="s">
        <v>899</v>
      </c>
      <c r="Q28" s="68" t="s">
        <v>1124</v>
      </c>
      <c r="R28" s="68" t="s">
        <v>1125</v>
      </c>
      <c r="S28" s="68" t="s">
        <v>1126</v>
      </c>
      <c r="T28" s="68" t="s">
        <v>1127</v>
      </c>
    </row>
    <row r="29" spans="1:22" ht="16.5">
      <c r="A29" s="74">
        <v>5697</v>
      </c>
      <c r="B29" s="512" t="s">
        <v>2203</v>
      </c>
      <c r="C29" s="512" t="s">
        <v>2038</v>
      </c>
      <c r="D29" s="512">
        <f>IF(B29="","",SUMIFS(Faturas!V:V,Faturas!U:U,"Consumo*",Faturas!S:S,Energia!C29,Faturas!R:R,Energia!B29))</f>
        <v>76879615</v>
      </c>
      <c r="E29" s="512">
        <f t="shared" si="1"/>
        <v>76879.615000000005</v>
      </c>
      <c r="F29" s="1770">
        <v>0.48409999999999997</v>
      </c>
      <c r="G29" s="513">
        <f>IFERROR(VLOOKUP(CONCATENATE(A29,A79),BD!$H$43:$S$59,12,FALSE),"")</f>
        <v>284.99</v>
      </c>
      <c r="H29" s="513">
        <f t="shared" si="2"/>
        <v>147.026341</v>
      </c>
      <c r="I29" s="511">
        <f>SUMIFS(DescontoEnergia[Desconto],DescontoEnergia[idSupridora],Energia!A29,DescontoEnergia[Nível],Energia!C29)</f>
        <v>0.53969999999999996</v>
      </c>
      <c r="K29" s="1198" t="s">
        <v>22</v>
      </c>
      <c r="L29" s="1199" t="s">
        <v>1129</v>
      </c>
      <c r="M29" s="1199" t="s">
        <v>1130</v>
      </c>
      <c r="N29" s="1200" t="s">
        <v>1131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ref="F30:F32" si="3">I30</f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1132</v>
      </c>
      <c r="L30" s="140">
        <f>IF(J60=0,E35,(J48+J60))+C63+C64+C65+C70</f>
        <v>151224.20300000001</v>
      </c>
      <c r="M30" s="92">
        <f ca="1">LnkTXTER-LnkTXTProinfa</f>
        <v>151181.31339023341</v>
      </c>
      <c r="N30" s="210">
        <f ca="1">M30/L30</f>
        <v>0.99971638395894469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3"/>
      <c r="L32" s="1803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9" t="s">
        <v>2163</v>
      </c>
      <c r="L34" s="1560"/>
      <c r="M34" s="747"/>
      <c r="N34" s="100"/>
      <c r="O34" s="128"/>
      <c r="V34" s="140" t="e">
        <f ca="1">V32+V33</f>
        <v>#VALUE!</v>
      </c>
    </row>
    <row r="35" spans="1:22" ht="14.25" customHeight="1">
      <c r="A35" s="74"/>
      <c r="B35" s="729"/>
      <c r="C35" s="730"/>
      <c r="D35" s="731">
        <f>SUM(D28:D34)</f>
        <v>151224203</v>
      </c>
      <c r="E35" s="731">
        <f>SUM(E28:E34)</f>
        <v>151224.20300000001</v>
      </c>
      <c r="F35" s="728"/>
      <c r="G35" s="724">
        <f>IFERROR(SUMPRODUCT(G28:G34,E28:E34)/SUM(E28:E34),0)</f>
        <v>284.99000000000007</v>
      </c>
      <c r="H35" s="725">
        <f>IFERROR(SUMPRODUCT(H28:H34,E28:E34)/SUM(E28:E34),0)</f>
        <v>147.026341</v>
      </c>
      <c r="I35" s="724"/>
      <c r="K35" s="1561" t="s">
        <v>2164</v>
      </c>
      <c r="L35" s="1562">
        <f ca="1">(L16+L17+L18+L19)/LnkTXTEV</f>
        <v>6.9400089234762805E-2</v>
      </c>
      <c r="M35" s="747"/>
      <c r="N35" s="748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8" t="s">
        <v>2049</v>
      </c>
      <c r="C37" s="68"/>
      <c r="F37" s="140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8" t="s">
        <v>2050</v>
      </c>
      <c r="C39" s="69"/>
      <c r="G39" s="135"/>
      <c r="O39" s="128"/>
    </row>
    <row r="40" spans="1:22" ht="24" customHeight="1">
      <c r="A40" s="74"/>
      <c r="B40" s="1201" t="s">
        <v>779</v>
      </c>
      <c r="C40" s="1202" t="s">
        <v>1133</v>
      </c>
      <c r="D40" s="1203"/>
      <c r="E40" s="1202" t="s">
        <v>62</v>
      </c>
      <c r="F40" s="1202" t="s">
        <v>61</v>
      </c>
      <c r="G40" s="1202" t="s">
        <v>1134</v>
      </c>
      <c r="H40" s="1202" t="s">
        <v>1135</v>
      </c>
      <c r="I40" s="1202" t="s">
        <v>1136</v>
      </c>
      <c r="J40" s="1202" t="s">
        <v>899</v>
      </c>
      <c r="K40" s="1202" t="s">
        <v>1137</v>
      </c>
      <c r="L40" s="1202" t="s">
        <v>1138</v>
      </c>
      <c r="M40" s="1202" t="s">
        <v>1139</v>
      </c>
      <c r="N40" s="1202" t="s">
        <v>1140</v>
      </c>
      <c r="O40" s="128"/>
    </row>
    <row r="41" spans="1:22" ht="24" customHeight="1">
      <c r="A41" s="74"/>
      <c r="B41" s="790"/>
      <c r="C41" s="790"/>
      <c r="D41" s="790"/>
      <c r="E41" s="1749"/>
      <c r="F41" s="1750"/>
      <c r="G41" s="1751"/>
      <c r="H41" s="1752"/>
      <c r="I41" s="1749"/>
      <c r="J41" s="1745"/>
      <c r="K41" s="1747">
        <f>H35</f>
        <v>147.026341</v>
      </c>
      <c r="L41" s="791">
        <f>IFERROR(J41*K41,0)</f>
        <v>0</v>
      </c>
      <c r="M41" s="800">
        <f t="shared" ref="M41:M47" ca="1" si="7">IFERROR(J41*$N$30,0)</f>
        <v>0</v>
      </c>
      <c r="N41" s="791">
        <f ca="1">IFERROR(K41*M41,0)</f>
        <v>0</v>
      </c>
      <c r="O41" s="128"/>
    </row>
    <row r="42" spans="1:22" ht="24" customHeight="1">
      <c r="A42" s="74"/>
      <c r="B42" s="790"/>
      <c r="C42" s="790"/>
      <c r="D42" s="790"/>
      <c r="E42" s="1749"/>
      <c r="F42" s="1750"/>
      <c r="G42" s="1751"/>
      <c r="H42" s="1752"/>
      <c r="I42" s="1753"/>
      <c r="J42" s="1745"/>
      <c r="K42" s="1747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49" t="str">
        <f>IF(B43="","",D43/1000)</f>
        <v/>
      </c>
      <c r="F43" s="1750" t="str">
        <f>IF(B43="","",I43)</f>
        <v/>
      </c>
      <c r="G43" s="1751" t="s">
        <v>114</v>
      </c>
      <c r="H43" s="1752">
        <v>0</v>
      </c>
      <c r="I43" s="1749">
        <v>0</v>
      </c>
      <c r="J43" s="1745"/>
      <c r="K43" s="1747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49" t="str">
        <f>IF(B44="","",D44/1000)</f>
        <v/>
      </c>
      <c r="F44" s="1750" t="str">
        <f>IF(B44="","",I44)</f>
        <v/>
      </c>
      <c r="G44" s="1751" t="s">
        <v>114</v>
      </c>
      <c r="H44" s="1752">
        <v>0</v>
      </c>
      <c r="I44" s="1749">
        <v>0</v>
      </c>
      <c r="J44" s="1745"/>
      <c r="K44" s="1747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49" t="str">
        <f>IF(B45="","",D45/1000)</f>
        <v/>
      </c>
      <c r="F45" s="1750" t="str">
        <f>IF(B45="","",I45)</f>
        <v/>
      </c>
      <c r="G45" s="1751" t="s">
        <v>114</v>
      </c>
      <c r="H45" s="1752">
        <v>0</v>
      </c>
      <c r="I45" s="1749">
        <v>0</v>
      </c>
      <c r="J45" s="1745"/>
      <c r="K45" s="1747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49" t="str">
        <f>IF(B46="","",D46/1000)</f>
        <v/>
      </c>
      <c r="F46" s="1750" t="str">
        <f>IF(B46="","",I46)</f>
        <v/>
      </c>
      <c r="G46" s="1751" t="s">
        <v>114</v>
      </c>
      <c r="H46" s="1752">
        <v>0</v>
      </c>
      <c r="I46" s="1749">
        <v>0</v>
      </c>
      <c r="J46" s="1745"/>
      <c r="K46" s="1747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49" t="str">
        <f>IF(B47="","",D47/1000)</f>
        <v/>
      </c>
      <c r="F47" s="1750" t="str">
        <f>IF(B47="","",I47)</f>
        <v/>
      </c>
      <c r="G47" s="1751" t="s">
        <v>114</v>
      </c>
      <c r="H47" s="1752">
        <v>0</v>
      </c>
      <c r="I47" s="1749">
        <v>0</v>
      </c>
      <c r="J47" s="1745"/>
      <c r="K47" s="1747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4" t="s">
        <v>770</v>
      </c>
      <c r="C48" s="1205"/>
      <c r="D48" s="1205"/>
      <c r="E48" s="1204"/>
      <c r="F48" s="1204"/>
      <c r="G48" s="1206"/>
      <c r="H48" s="1204"/>
      <c r="I48" s="1204"/>
      <c r="J48" s="1207">
        <f>SUM(J41:J47)</f>
        <v>0</v>
      </c>
      <c r="K48" s="1208">
        <f ca="1">IFERROR(SUMPRODUCT(K41:K47,M41:M47)/SUM(M41:M47),0)</f>
        <v>0</v>
      </c>
      <c r="L48" s="1204"/>
      <c r="M48" s="1209">
        <f ca="1">SUM(M41:M47)</f>
        <v>0</v>
      </c>
      <c r="N48" s="1209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8" t="s">
        <v>2051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1" t="s">
        <v>779</v>
      </c>
      <c r="C52" s="1202" t="s">
        <v>1133</v>
      </c>
      <c r="D52" s="1203"/>
      <c r="E52" s="1202" t="s">
        <v>62</v>
      </c>
      <c r="F52" s="1202" t="s">
        <v>61</v>
      </c>
      <c r="G52" s="1202" t="s">
        <v>1134</v>
      </c>
      <c r="H52" s="1763" t="s">
        <v>1135</v>
      </c>
      <c r="I52" s="1202" t="s">
        <v>1136</v>
      </c>
      <c r="J52" s="1202" t="s">
        <v>899</v>
      </c>
      <c r="K52" s="1202" t="s">
        <v>1137</v>
      </c>
      <c r="L52" s="1202" t="s">
        <v>1138</v>
      </c>
      <c r="M52" s="1202" t="s">
        <v>1139</v>
      </c>
      <c r="N52" s="1202" t="s">
        <v>1140</v>
      </c>
      <c r="O52" s="128"/>
      <c r="V52" s="140" t="e">
        <f ca="1">V34-V51</f>
        <v>#VALUE!</v>
      </c>
    </row>
    <row r="53" spans="1:22" ht="18" customHeight="1">
      <c r="A53" s="74"/>
      <c r="B53" s="790"/>
      <c r="C53" s="790"/>
      <c r="D53" s="790"/>
      <c r="E53" s="1749"/>
      <c r="F53" s="1750"/>
      <c r="G53" s="1751"/>
      <c r="H53" s="1752"/>
      <c r="I53" s="1746"/>
      <c r="J53" s="1745">
        <f>H53*I53*24</f>
        <v>0</v>
      </c>
      <c r="K53" s="1747">
        <f>IFERROR(E53*(VLOOKUP(EDATE(G53,-1),Índices!B5:D499,3,FALSE)/VLOOKUP(EDATE(F53,-1),Índices!B5:D499,3,FALSE)),0)</f>
        <v>0</v>
      </c>
      <c r="L53" s="791">
        <f>IFERROR(J53*K53,0)</f>
        <v>0</v>
      </c>
      <c r="M53" s="800">
        <f t="shared" ref="M53:M59" ca="1" si="10">IFERROR(J53*$N$30,0)</f>
        <v>0</v>
      </c>
      <c r="N53" s="791">
        <f ca="1">IFERROR(K53*M53,0)</f>
        <v>0</v>
      </c>
      <c r="O53" s="134"/>
    </row>
    <row r="54" spans="1:22">
      <c r="B54" s="790"/>
      <c r="C54" s="790"/>
      <c r="D54" s="790"/>
      <c r="E54" s="1749"/>
      <c r="F54" s="1750"/>
      <c r="G54" s="1751"/>
      <c r="H54" s="1752"/>
      <c r="I54" s="1748"/>
      <c r="J54" s="1745">
        <f t="shared" ref="J54:J58" si="11">H54*I54*24</f>
        <v>0</v>
      </c>
      <c r="K54" s="1747">
        <f>IFERROR(E54*(VLOOKUP(EDATE(G54,-1),Índices!B6:D500,3,FALSE)/VLOOKUP(EDATE(F54,-1),Índices!B6:D500,3,FALSE)),0)</f>
        <v>0</v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49" t="str">
        <f>IF(B55="","",D55/1000)</f>
        <v/>
      </c>
      <c r="F55" s="1750" t="str">
        <f>IF(B55="","",I55)</f>
        <v/>
      </c>
      <c r="G55" s="1751" t="s">
        <v>114</v>
      </c>
      <c r="H55" s="1752">
        <v>0</v>
      </c>
      <c r="I55" s="1746">
        <v>0</v>
      </c>
      <c r="J55" s="1745">
        <f t="shared" si="11"/>
        <v>0</v>
      </c>
      <c r="K55" s="1747">
        <f>IFERROR(E55*(VLOOKUP(EDATE(G55,-1),Índices!B7:D501,3,FALSE)/VLOOKUP(EDATE(F55,-1),Índices!B7:D501,3,FALSE)),0)</f>
        <v>0</v>
      </c>
      <c r="L55" s="791">
        <f t="shared" ref="L55:L59" si="12">J55*K55</f>
        <v>0</v>
      </c>
      <c r="M55" s="800">
        <f t="shared" ca="1" si="10"/>
        <v>0</v>
      </c>
      <c r="N55" s="791">
        <f t="shared" ref="N55:N59" ca="1" si="13">K55*M55</f>
        <v>0</v>
      </c>
    </row>
    <row r="56" spans="1:22">
      <c r="B56" s="790"/>
      <c r="C56" s="790"/>
      <c r="D56" s="790" t="s">
        <v>114</v>
      </c>
      <c r="E56" s="1749" t="str">
        <f>IF(B56="","",D56/1000)</f>
        <v/>
      </c>
      <c r="F56" s="1750" t="str">
        <f>IF(B56="","",I56)</f>
        <v/>
      </c>
      <c r="G56" s="1751" t="s">
        <v>114</v>
      </c>
      <c r="H56" s="1752">
        <v>0</v>
      </c>
      <c r="I56" s="1746">
        <v>0</v>
      </c>
      <c r="J56" s="1745">
        <f t="shared" si="11"/>
        <v>0</v>
      </c>
      <c r="K56" s="1747">
        <f>IFERROR(E56*(VLOOKUP(EDATE(G56,-1),Índices!B8:D502,3,FALSE)/VLOOKUP(EDATE(F56,-1),Índices!B8:D502,3,FALSE)),0)</f>
        <v>0</v>
      </c>
      <c r="L56" s="791">
        <f t="shared" si="12"/>
        <v>0</v>
      </c>
      <c r="M56" s="800">
        <f t="shared" ca="1" si="10"/>
        <v>0</v>
      </c>
      <c r="N56" s="791">
        <f t="shared" ca="1" si="13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49" t="str">
        <f>IF(B57="","",D57/1000)</f>
        <v/>
      </c>
      <c r="F57" s="1750" t="str">
        <f>IF(B57="","",I57)</f>
        <v/>
      </c>
      <c r="G57" s="1751" t="s">
        <v>114</v>
      </c>
      <c r="H57" s="1752">
        <v>0</v>
      </c>
      <c r="I57" s="1746">
        <v>0</v>
      </c>
      <c r="J57" s="1745">
        <f t="shared" si="11"/>
        <v>0</v>
      </c>
      <c r="K57" s="1747">
        <f>IFERROR(E57*(VLOOKUP(EDATE(G57,-1),Índices!B9:D503,3,FALSE)/VLOOKUP(EDATE(F57,-1),Índices!B9:D503,3,FALSE)),0)</f>
        <v>0</v>
      </c>
      <c r="L57" s="791">
        <f t="shared" si="12"/>
        <v>0</v>
      </c>
      <c r="M57" s="800">
        <f t="shared" ca="1" si="10"/>
        <v>0</v>
      </c>
      <c r="N57" s="791">
        <f t="shared" ca="1" si="13"/>
        <v>0</v>
      </c>
    </row>
    <row r="58" spans="1:22">
      <c r="B58" s="790"/>
      <c r="C58" s="790"/>
      <c r="D58" s="790" t="s">
        <v>114</v>
      </c>
      <c r="E58" s="1749" t="str">
        <f>IF(B58="","",D58/1000)</f>
        <v/>
      </c>
      <c r="F58" s="1750" t="str">
        <f>IF(B58="","",I58)</f>
        <v/>
      </c>
      <c r="G58" s="1751" t="s">
        <v>114</v>
      </c>
      <c r="H58" s="1752">
        <v>0</v>
      </c>
      <c r="I58" s="1746">
        <v>0</v>
      </c>
      <c r="J58" s="1745">
        <f t="shared" si="11"/>
        <v>0</v>
      </c>
      <c r="K58" s="1747">
        <f>IFERROR(E58*(VLOOKUP(EDATE(G58,-1),Índices!B10:D504,3,FALSE)/VLOOKUP(EDATE(F58,-1),Índices!B10:D504,3,FALSE)),0)</f>
        <v>0</v>
      </c>
      <c r="L58" s="791">
        <f t="shared" si="12"/>
        <v>0</v>
      </c>
      <c r="M58" s="800">
        <f t="shared" ca="1" si="10"/>
        <v>0</v>
      </c>
      <c r="N58" s="791">
        <f t="shared" ca="1" si="13"/>
        <v>0</v>
      </c>
    </row>
    <row r="59" spans="1:22">
      <c r="B59" s="790"/>
      <c r="C59" s="790"/>
      <c r="D59" s="790" t="s">
        <v>114</v>
      </c>
      <c r="E59" s="1749" t="str">
        <f>IF(B59="","",D59/1000)</f>
        <v/>
      </c>
      <c r="F59" s="1750" t="str">
        <f>IF(B59="","",I59)</f>
        <v/>
      </c>
      <c r="G59" s="1751" t="s">
        <v>114</v>
      </c>
      <c r="H59" s="1752">
        <v>0</v>
      </c>
      <c r="I59" s="1746">
        <v>0</v>
      </c>
      <c r="J59" s="1745">
        <f>H59*I59*24</f>
        <v>0</v>
      </c>
      <c r="K59" s="1747">
        <f>IFERROR(E59*(VLOOKUP(EDATE(G59,-1),Índices!B11:D505,3,FALSE)/VLOOKUP(EDATE(F59,-1),Índices!B11:D505,3,FALSE)),0)</f>
        <v>0</v>
      </c>
      <c r="L59" s="791">
        <f t="shared" si="12"/>
        <v>0</v>
      </c>
      <c r="M59" s="800">
        <f t="shared" ca="1" si="10"/>
        <v>0</v>
      </c>
      <c r="N59" s="791">
        <f t="shared" ca="1" si="13"/>
        <v>0</v>
      </c>
    </row>
    <row r="60" spans="1:22">
      <c r="B60" s="1204" t="s">
        <v>770</v>
      </c>
      <c r="C60" s="1205"/>
      <c r="D60" s="1205"/>
      <c r="E60" s="1204"/>
      <c r="F60" s="1204"/>
      <c r="G60" s="1206"/>
      <c r="H60" s="1204"/>
      <c r="I60" s="1204"/>
      <c r="J60" s="1207">
        <f>SUM(J53:J59)</f>
        <v>0</v>
      </c>
      <c r="K60" s="1208">
        <f ca="1">IFERROR(SUMPRODUCT(K53:K59,M53:M59)/SUM(M53:M59),0)</f>
        <v>0</v>
      </c>
      <c r="L60" s="1204"/>
      <c r="M60" s="1209">
        <f ca="1">SUM(M53:M59)</f>
        <v>0</v>
      </c>
      <c r="N60" s="1209">
        <f ca="1">SUM(N53:N59)</f>
        <v>0</v>
      </c>
    </row>
    <row r="61" spans="1:22">
      <c r="C61" s="412"/>
      <c r="D61" s="412"/>
      <c r="E61" s="412"/>
      <c r="K61" s="68" t="s">
        <v>2054</v>
      </c>
    </row>
    <row r="62" spans="1:22" ht="15.75">
      <c r="B62" s="1210" t="s">
        <v>1141</v>
      </c>
      <c r="C62" s="1211" t="s">
        <v>1142</v>
      </c>
      <c r="D62" s="1212"/>
      <c r="E62" s="1213" t="s">
        <v>1143</v>
      </c>
      <c r="F62" s="1213" t="s">
        <v>1144</v>
      </c>
      <c r="H62" s="1214" t="s">
        <v>1145</v>
      </c>
      <c r="I62" s="1215" t="s">
        <v>42</v>
      </c>
      <c r="J62" s="1216" t="s">
        <v>43</v>
      </c>
      <c r="K62" s="1217" t="s">
        <v>1115</v>
      </c>
    </row>
    <row r="63" spans="1:22" ht="15.75">
      <c r="B63" s="78" t="s">
        <v>1146</v>
      </c>
      <c r="C63" s="251">
        <f>IF(ISERROR(VLOOKUP("Angra",AngraCota[],5,FALSE)),0,VLOOKUP("Angra",AngraCota[],5,FALSE))</f>
        <v>0</v>
      </c>
      <c r="D63" s="1744">
        <f t="shared" ref="D63:D65" si="14">E63</f>
        <v>0</v>
      </c>
      <c r="E63" s="217">
        <f>IFERROR(VLOOKUP("Angra",AngraCota[],4,FALSE),0)</f>
        <v>0</v>
      </c>
      <c r="F63" s="107">
        <f>C63*E63</f>
        <v>0</v>
      </c>
      <c r="H63" s="1218" t="s">
        <v>1147</v>
      </c>
      <c r="I63" s="1219" cm="1">
        <f t="array" ref="I63">GSFRH[GSF previsto]</f>
        <v>0.87029999999999996</v>
      </c>
      <c r="J63" s="1220" cm="1">
        <f t="array" ref="J63">GSFRH[PLD]</f>
        <v>195.04</v>
      </c>
      <c r="K63" s="1221">
        <f>(J63*(1-I63)*(C64+C65))</f>
        <v>0</v>
      </c>
    </row>
    <row r="64" spans="1:22" ht="15.75">
      <c r="B64" s="78" t="s">
        <v>1147</v>
      </c>
      <c r="C64" s="251">
        <f>BD!AE22</f>
        <v>0</v>
      </c>
      <c r="D64" s="1744">
        <f t="shared" si="14"/>
        <v>0</v>
      </c>
      <c r="E64" s="217">
        <f>BD!AG22</f>
        <v>0</v>
      </c>
      <c r="F64" s="107">
        <f>C64*E64</f>
        <v>0</v>
      </c>
      <c r="H64" s="801" t="s">
        <v>1148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1147</v>
      </c>
      <c r="C65" s="251">
        <f>BD!AE23</f>
        <v>0</v>
      </c>
      <c r="D65" s="1744">
        <f t="shared" si="14"/>
        <v>0</v>
      </c>
      <c r="E65" s="217">
        <f>BD!AG23</f>
        <v>0</v>
      </c>
      <c r="F65" s="107">
        <f>C65*E65</f>
        <v>0</v>
      </c>
      <c r="H65" s="805" t="s">
        <v>1149</v>
      </c>
      <c r="I65" s="802">
        <f>I64</f>
        <v>0.87029999999999996</v>
      </c>
      <c r="J65" s="803">
        <f>J64</f>
        <v>195.04</v>
      </c>
      <c r="K65" s="804">
        <f>(J65*(1-I65)*I68*K68*365*24)</f>
        <v>0</v>
      </c>
    </row>
    <row r="66" spans="1:11" ht="15.75">
      <c r="B66" s="792"/>
      <c r="C66" s="792">
        <f>SUM(C63:C65)</f>
        <v>0</v>
      </c>
      <c r="D66" s="792"/>
      <c r="E66" s="792"/>
      <c r="F66" s="792">
        <f>SUM(F63:F65)</f>
        <v>0</v>
      </c>
      <c r="H66" s="786" t="s">
        <v>1150</v>
      </c>
      <c r="I66" s="1222"/>
      <c r="J66" s="1223"/>
      <c r="K66" s="1224">
        <f>SUM(K63:K65)</f>
        <v>0</v>
      </c>
    </row>
    <row r="67" spans="1:11" ht="15.75">
      <c r="H67" s="1804" t="s">
        <v>45</v>
      </c>
      <c r="I67" s="1804"/>
      <c r="J67" s="1225"/>
      <c r="K67" s="1225" t="s">
        <v>44</v>
      </c>
    </row>
    <row r="68" spans="1:11" ht="15.75">
      <c r="H68" s="787" t="str">
        <f>CAPA!C9</f>
        <v>Cermoful</v>
      </c>
      <c r="I68" s="807" cm="1">
        <f t="array" ref="I68">GSFRH[Fator de rateio]</f>
        <v>0</v>
      </c>
      <c r="J68" s="899">
        <f>J63</f>
        <v>195.04</v>
      </c>
      <c r="K68" s="788" cm="1">
        <f t="array" ref="K68">GSFRH[MWm repactuado]</f>
        <v>14739.74</v>
      </c>
    </row>
    <row r="69" spans="1:11" ht="15">
      <c r="B69" s="1210" t="s">
        <v>1151</v>
      </c>
      <c r="C69" s="1211" t="s">
        <v>1142</v>
      </c>
      <c r="D69" s="1212"/>
      <c r="E69" s="1213" t="s">
        <v>1143</v>
      </c>
      <c r="F69" s="1213" t="s">
        <v>1144</v>
      </c>
    </row>
    <row r="70" spans="1:11">
      <c r="B70" s="78" t="s">
        <v>1152</v>
      </c>
      <c r="C70" s="251">
        <f>D89</f>
        <v>0</v>
      </c>
      <c r="D70" s="806">
        <f t="shared" ref="D70" si="15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5" spans="1:11">
      <c r="C75" s="123" t="s">
        <v>1151</v>
      </c>
    </row>
    <row r="76" spans="1:11">
      <c r="C76" s="1722" t="s">
        <v>2201</v>
      </c>
      <c r="D76" s="1722" t="s">
        <v>2308</v>
      </c>
    </row>
    <row r="77" spans="1:11">
      <c r="A77" s="68" t="s">
        <v>1153</v>
      </c>
      <c r="C77" s="1740">
        <f>SAS_RA0_DataInicio</f>
        <v>44440</v>
      </c>
      <c r="D77" s="850">
        <f>IFERROR(VLOOKUP(C77,GeracaoPropria[],2,FALSE)/1000,0)</f>
        <v>0</v>
      </c>
    </row>
    <row r="78" spans="1:11">
      <c r="A78" s="68" t="str">
        <f>TRIM(LEFT(C28,3))</f>
        <v>A3</v>
      </c>
      <c r="C78" s="1740">
        <f>EDATE(C77,1)</f>
        <v>44470</v>
      </c>
      <c r="D78" s="850">
        <f>IFERROR(VLOOKUP(C78,GeracaoPropria[],2,FALSE)/1000,0)</f>
        <v>0</v>
      </c>
    </row>
    <row r="79" spans="1:11">
      <c r="A79" s="68" t="str">
        <f t="shared" ref="A79:A84" si="16">TRIM(LEFT(C29,3))</f>
        <v>A4</v>
      </c>
      <c r="C79" s="1740">
        <f t="shared" ref="C79:C87" si="17">EDATE(C78,1)</f>
        <v>44501</v>
      </c>
      <c r="D79" s="850">
        <f>IFERROR(VLOOKUP(C79,GeracaoPropria[],2,FALSE)/1000,0)</f>
        <v>0</v>
      </c>
    </row>
    <row r="80" spans="1:11">
      <c r="A80" s="68" t="str">
        <f t="shared" si="16"/>
        <v/>
      </c>
      <c r="C80" s="1740">
        <f t="shared" si="17"/>
        <v>44531</v>
      </c>
      <c r="D80" s="850">
        <f>IFERROR(VLOOKUP(C80,GeracaoPropria[],2,FALSE)/1000,0)</f>
        <v>0</v>
      </c>
    </row>
    <row r="81" spans="1:4">
      <c r="A81" s="68" t="str">
        <f t="shared" si="16"/>
        <v/>
      </c>
      <c r="C81" s="1740">
        <f t="shared" si="17"/>
        <v>44562</v>
      </c>
      <c r="D81" s="850">
        <f>IFERROR(VLOOKUP(C81,GeracaoPropria[],2,FALSE)/1000,0)</f>
        <v>0</v>
      </c>
    </row>
    <row r="82" spans="1:4">
      <c r="A82" s="68" t="str">
        <f t="shared" si="16"/>
        <v/>
      </c>
      <c r="C82" s="1740">
        <f t="shared" si="17"/>
        <v>44593</v>
      </c>
      <c r="D82" s="850">
        <f>IFERROR(VLOOKUP(C82,GeracaoPropria[],2,FALSE)/1000,0)</f>
        <v>0</v>
      </c>
    </row>
    <row r="83" spans="1:4">
      <c r="A83" s="68" t="str">
        <f t="shared" si="16"/>
        <v/>
      </c>
      <c r="C83" s="1740">
        <f t="shared" si="17"/>
        <v>44621</v>
      </c>
      <c r="D83" s="850">
        <f>IFERROR(VLOOKUP(C83,GeracaoPropria[],2,FALSE)/1000,0)</f>
        <v>0</v>
      </c>
    </row>
    <row r="84" spans="1:4">
      <c r="A84" s="68" t="str">
        <f t="shared" si="16"/>
        <v/>
      </c>
      <c r="C84" s="1740">
        <f t="shared" si="17"/>
        <v>44652</v>
      </c>
      <c r="D84" s="850">
        <f>IFERROR(VLOOKUP(C84,GeracaoPropria[],2,FALSE)/1000,0)</f>
        <v>0</v>
      </c>
    </row>
    <row r="85" spans="1:4">
      <c r="C85" s="1740">
        <f t="shared" si="17"/>
        <v>44682</v>
      </c>
      <c r="D85" s="850">
        <f>IFERROR(VLOOKUP(C85,GeracaoPropria[],2,FALSE)/1000,0)</f>
        <v>0</v>
      </c>
    </row>
    <row r="86" spans="1:4">
      <c r="C86" s="1740">
        <f>EDATE(C85,1)</f>
        <v>44713</v>
      </c>
      <c r="D86" s="850">
        <f>IFERROR(VLOOKUP(C86,GeracaoPropria[],2,FALSE)/1000,D85)</f>
        <v>0</v>
      </c>
    </row>
    <row r="87" spans="1:4">
      <c r="C87" s="1740">
        <f t="shared" si="17"/>
        <v>44743</v>
      </c>
      <c r="D87" s="850">
        <f>IFERROR(VLOOKUP(C87,GeracaoPropria[],2,FALSE)/1000,D86)</f>
        <v>0</v>
      </c>
    </row>
    <row r="88" spans="1:4">
      <c r="C88" s="1740">
        <f>EDATE(C87,1)</f>
        <v>44774</v>
      </c>
      <c r="D88" s="850">
        <f>IFERROR(VLOOKUP(C88,GeracaoPropria[],2,FALSE)/1000,D87)</f>
        <v>0</v>
      </c>
    </row>
    <row r="89" spans="1:4">
      <c r="C89" s="1723" t="s">
        <v>770</v>
      </c>
      <c r="D89" s="1116">
        <f t="shared" ref="D89" si="18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J6" sqref="J6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5" t="s">
        <v>2284</v>
      </c>
      <c r="C1" s="1726"/>
      <c r="D1" s="1727"/>
      <c r="E1" s="1727"/>
      <c r="F1" s="1728" t="s">
        <v>874</v>
      </c>
      <c r="G1" s="1729">
        <f ca="1">LnkTXTIRTEco</f>
        <v>0.1195</v>
      </c>
    </row>
    <row r="2" spans="2:10">
      <c r="B2" s="1730" t="str">
        <f>CAPA!C9</f>
        <v>Cermoful</v>
      </c>
      <c r="C2" s="1731"/>
      <c r="D2" s="1731"/>
      <c r="E2" s="1731"/>
      <c r="F2" s="1732" t="s">
        <v>878</v>
      </c>
      <c r="G2" s="1733">
        <f ca="1">LnkTXTIRTTotal</f>
        <v>7.6999999999999999E-2</v>
      </c>
    </row>
    <row r="4" spans="2:10">
      <c r="B4" s="9"/>
    </row>
    <row r="5" spans="2:10" ht="25.5">
      <c r="B5" s="1722" t="s">
        <v>2201</v>
      </c>
      <c r="C5" s="1722" t="s">
        <v>2182</v>
      </c>
      <c r="D5" s="1722" t="s">
        <v>2183</v>
      </c>
      <c r="E5" s="1722" t="s">
        <v>2184</v>
      </c>
      <c r="F5" s="1722" t="s">
        <v>791</v>
      </c>
      <c r="G5" s="1722" t="s">
        <v>109</v>
      </c>
      <c r="H5" s="1722" t="s">
        <v>2202</v>
      </c>
      <c r="I5" s="1722" t="s">
        <v>743</v>
      </c>
      <c r="J5" s="1722" t="s">
        <v>1282</v>
      </c>
    </row>
    <row r="6" spans="2:10">
      <c r="B6" s="1740">
        <f>SAS_RA0_DataInicio</f>
        <v>44440</v>
      </c>
      <c r="C6" s="850">
        <f>IFERROR(VLOOKUP(B6,PerdasDitFinal[#All],2,FALSE),0)</f>
        <v>0</v>
      </c>
      <c r="D6" s="850">
        <f>IFERROR(VLOOKUP(B6,PerdasDitFinal[#All],3,FALSE),0)</f>
        <v>0</v>
      </c>
      <c r="E6" s="850">
        <f>IFERROR(VLOOKUP(B6,PerdasDitFinal[#All],4,FALSE),0)</f>
        <v>0</v>
      </c>
      <c r="F6" s="850">
        <f>IF(C6=0,(SUMIF(FaturasT!I:I,'Perdas de Energia'!B6,FaturasT!N:N)+SUMIF(FaturasT!I:I,'Perdas de Energia'!B6,FaturasT!O:ON))/1000,0)</f>
        <v>12371.464</v>
      </c>
      <c r="G6" s="850">
        <f>IF(C6=0,(SUMIF(FaturasT!I:I,'Perdas de Energia'!B6,FaturasT!P:P)/1000),0)</f>
        <v>206.73400000000001</v>
      </c>
      <c r="H6" s="850">
        <f>SUMIF(dados_MercadoBase[AnoMes],'Perdas de Energia'!B6,dados_MercadoBase[TE_E])</f>
        <v>11916.311</v>
      </c>
      <c r="I6" s="1741">
        <f>C6-D6-E6+F6-H6+G6</f>
        <v>661.88700000000028</v>
      </c>
      <c r="J6" s="1742">
        <f>I6/(C6-D6-E6+F6+G6)</f>
        <v>5.2621766647336948E-2</v>
      </c>
    </row>
    <row r="7" spans="2:10">
      <c r="B7" s="1740">
        <f>EDATE(B6,1)</f>
        <v>44470</v>
      </c>
      <c r="C7" s="850">
        <f>IFERROR(VLOOKUP(B7,PerdasDitFinal[#All],2,FALSE),0)</f>
        <v>0</v>
      </c>
      <c r="D7" s="850">
        <f>IFERROR(VLOOKUP(B7,PerdasDitFinal[#All],3,FALSE),0)</f>
        <v>0</v>
      </c>
      <c r="E7" s="850">
        <f>IFERROR(VLOOKUP(B7,PerdasDitFinal[#All],4,FALSE),0)</f>
        <v>0</v>
      </c>
      <c r="F7" s="850">
        <f>IF(C7=0,(SUMIF(FaturasT!I:I,'Perdas de Energia'!B7,FaturasT!N:N)+SUMIF(FaturasT!I:I,'Perdas de Energia'!B7,FaturasT!O:ON))/1000,0)</f>
        <v>12605.401</v>
      </c>
      <c r="G7" s="850">
        <f>IF(C7=0,(SUMIF(FaturasT!I:I,'Perdas de Energia'!B7,FaturasT!P:P)/1000),0)</f>
        <v>220.12299999999999</v>
      </c>
      <c r="H7" s="850">
        <f>SUMIF(dados_MercadoBase[AnoMes],'Perdas de Energia'!B7,dados_MercadoBase[TE_E])</f>
        <v>11986.967999999999</v>
      </c>
      <c r="I7" s="1741">
        <f t="shared" ref="I7:I16" si="0">C7-D7-E7+F7-H7+G7</f>
        <v>838.55600000000095</v>
      </c>
      <c r="J7" s="1742">
        <f t="shared" ref="J7:J17" si="1">I7/(C7-D7-E7+F7+G7)</f>
        <v>6.53818120803486E-2</v>
      </c>
    </row>
    <row r="8" spans="2:10">
      <c r="B8" s="1740">
        <f t="shared" ref="B8:B16" si="2">EDATE(B7,1)</f>
        <v>44501</v>
      </c>
      <c r="C8" s="850">
        <f>IFERROR(VLOOKUP(B8,PerdasDitFinal[#All],2,FALSE),0)</f>
        <v>0</v>
      </c>
      <c r="D8" s="850">
        <f>IFERROR(VLOOKUP(B8,PerdasDitFinal[#All],3,FALSE),0)</f>
        <v>0</v>
      </c>
      <c r="E8" s="850">
        <f>IFERROR(VLOOKUP(B8,PerdasDitFinal[#All],4,FALSE),0)</f>
        <v>0</v>
      </c>
      <c r="F8" s="850">
        <f>IF(C8=0,(SUMIF(FaturasT!I:I,'Perdas de Energia'!B8,FaturasT!N:N)+SUMIF(FaturasT!I:I,'Perdas de Energia'!B8,FaturasT!O:ON))/1000,0)</f>
        <v>12432.620999999999</v>
      </c>
      <c r="G8" s="850">
        <f>IF(C8=0,(SUMIF(FaturasT!I:I,'Perdas de Energia'!B8,FaturasT!P:P)/1000),0)</f>
        <v>219.76599999999999</v>
      </c>
      <c r="H8" s="850">
        <f>SUMIF(dados_MercadoBase[AnoMes],'Perdas de Energia'!B8,dados_MercadoBase[TE_E])</f>
        <v>12071.763000000001</v>
      </c>
      <c r="I8" s="1741">
        <f t="shared" si="0"/>
        <v>580.62399999999832</v>
      </c>
      <c r="J8" s="1742">
        <f t="shared" si="1"/>
        <v>4.5890471102409243E-2</v>
      </c>
    </row>
    <row r="9" spans="2:10">
      <c r="B9" s="1740">
        <f t="shared" si="2"/>
        <v>44531</v>
      </c>
      <c r="C9" s="850">
        <f>IFERROR(VLOOKUP(B9,PerdasDitFinal[#All],2,FALSE),0)</f>
        <v>0</v>
      </c>
      <c r="D9" s="850">
        <f>IFERROR(VLOOKUP(B9,PerdasDitFinal[#All],3,FALSE),0)</f>
        <v>0</v>
      </c>
      <c r="E9" s="850">
        <f>IFERROR(VLOOKUP(B9,PerdasDitFinal[#All],4,FALSE),0)</f>
        <v>0</v>
      </c>
      <c r="F9" s="850">
        <f>IF(C9=0,(SUMIF(FaturasT!I:I,'Perdas de Energia'!B9,FaturasT!N:N)+SUMIF(FaturasT!I:I,'Perdas de Energia'!B9,FaturasT!O:ON))/1000,0)</f>
        <v>11870.09</v>
      </c>
      <c r="G9" s="850">
        <f>IF(C9=0,(SUMIF(FaturasT!I:I,'Perdas de Energia'!B9,FaturasT!P:P)/1000),0)</f>
        <v>200.39400000000001</v>
      </c>
      <c r="H9" s="850">
        <f>SUMIF(dados_MercadoBase[AnoMes],'Perdas de Energia'!B9,dados_MercadoBase[TE_E])</f>
        <v>12043.063999999998</v>
      </c>
      <c r="I9" s="1741">
        <f t="shared" si="0"/>
        <v>27.420000000001664</v>
      </c>
      <c r="J9" s="1742">
        <f t="shared" si="1"/>
        <v>2.2716570437441999E-3</v>
      </c>
    </row>
    <row r="10" spans="2:10">
      <c r="B10" s="1740">
        <f t="shared" si="2"/>
        <v>44562</v>
      </c>
      <c r="C10" s="850">
        <f>IFERROR(VLOOKUP(B10,PerdasDitFinal[#All],2,FALSE),0)</f>
        <v>0</v>
      </c>
      <c r="D10" s="850">
        <f>IFERROR(VLOOKUP(B10,PerdasDitFinal[#All],3,FALSE),0)</f>
        <v>0</v>
      </c>
      <c r="E10" s="850">
        <f>IFERROR(VLOOKUP(B10,PerdasDitFinal[#All],4,FALSE),0)</f>
        <v>0</v>
      </c>
      <c r="F10" s="850">
        <f>IF(C10=0,(SUMIF(FaturasT!I:I,'Perdas de Energia'!B10,FaturasT!N:N)+SUMIF(FaturasT!I:I,'Perdas de Energia'!B10,FaturasT!O:ON))/1000,0)</f>
        <v>12957.325000000001</v>
      </c>
      <c r="G10" s="850">
        <f>IF(C10=0,(SUMIF(FaturasT!I:I,'Perdas de Energia'!B10,FaturasT!P:P)/1000),0)</f>
        <v>188.61500000000001</v>
      </c>
      <c r="H10" s="850">
        <f>SUMIF(dados_MercadoBase[AnoMes],'Perdas de Energia'!B10,dados_MercadoBase[TE_E])</f>
        <v>11988.221999999998</v>
      </c>
      <c r="I10" s="1741">
        <f t="shared" si="0"/>
        <v>1157.7180000000028</v>
      </c>
      <c r="J10" s="1742">
        <f t="shared" si="1"/>
        <v>8.8066581773536379E-2</v>
      </c>
    </row>
    <row r="11" spans="2:10">
      <c r="B11" s="1740">
        <f t="shared" si="2"/>
        <v>44593</v>
      </c>
      <c r="C11" s="850">
        <f>IFERROR(VLOOKUP(B11,PerdasDitFinal[#All],2,FALSE),0)</f>
        <v>0</v>
      </c>
      <c r="D11" s="850">
        <f>IFERROR(VLOOKUP(B11,PerdasDitFinal[#All],3,FALSE),0)</f>
        <v>0</v>
      </c>
      <c r="E11" s="850">
        <f>IFERROR(VLOOKUP(B11,PerdasDitFinal[#All],4,FALSE),0)</f>
        <v>0</v>
      </c>
      <c r="F11" s="850">
        <f>IF(C11=0,(SUMIF(FaturasT!I:I,'Perdas de Energia'!B11,FaturasT!N:N)+SUMIF(FaturasT!I:I,'Perdas de Energia'!B11,FaturasT!O:ON))/1000,0)</f>
        <v>12344.066999999999</v>
      </c>
      <c r="G11" s="850">
        <f>IF(C11=0,(SUMIF(FaturasT!I:I,'Perdas de Energia'!B11,FaturasT!P:P)/1000),0)</f>
        <v>168.929</v>
      </c>
      <c r="H11" s="850">
        <f>SUMIF(dados_MercadoBase[AnoMes],'Perdas de Energia'!B11,dados_MercadoBase[TE_E])</f>
        <v>12220.992999999999</v>
      </c>
      <c r="I11" s="1741">
        <f t="shared" si="0"/>
        <v>292.0030000000005</v>
      </c>
      <c r="J11" s="1742">
        <f t="shared" si="1"/>
        <v>2.3335978050340662E-2</v>
      </c>
    </row>
    <row r="12" spans="2:10">
      <c r="B12" s="1740">
        <f t="shared" si="2"/>
        <v>44621</v>
      </c>
      <c r="C12" s="850">
        <f>IFERROR(VLOOKUP(B12,PerdasDitFinal[#All],2,FALSE),0)</f>
        <v>0</v>
      </c>
      <c r="D12" s="850">
        <f>IFERROR(VLOOKUP(B12,PerdasDitFinal[#All],3,FALSE),0)</f>
        <v>0</v>
      </c>
      <c r="E12" s="850">
        <f>IFERROR(VLOOKUP(B12,PerdasDitFinal[#All],4,FALSE),0)</f>
        <v>0</v>
      </c>
      <c r="F12" s="850">
        <f>IF(C12=0,(SUMIF(FaturasT!I:I,'Perdas de Energia'!B12,FaturasT!N:N)+SUMIF(FaturasT!I:I,'Perdas de Energia'!B12,FaturasT!O:ON))/1000,0)</f>
        <v>13264.357</v>
      </c>
      <c r="G12" s="850">
        <f>IF(C12=0,(SUMIF(FaturasT!I:I,'Perdas de Energia'!B12,FaturasT!P:P)/1000),0)</f>
        <v>182.578</v>
      </c>
      <c r="H12" s="850">
        <f>SUMIF(dados_MercadoBase[AnoMes],'Perdas de Energia'!B12,dados_MercadoBase[TE_E])</f>
        <v>11874.943000000001</v>
      </c>
      <c r="I12" s="1741">
        <f t="shared" si="0"/>
        <v>1571.9919999999988</v>
      </c>
      <c r="J12" s="1742">
        <f t="shared" si="1"/>
        <v>0.11690336868587517</v>
      </c>
    </row>
    <row r="13" spans="2:10">
      <c r="B13" s="1740">
        <f t="shared" si="2"/>
        <v>44652</v>
      </c>
      <c r="C13" s="850">
        <f>IFERROR(VLOOKUP(B13,PerdasDitFinal[#All],2,FALSE),0)</f>
        <v>0</v>
      </c>
      <c r="D13" s="850">
        <f>IFERROR(VLOOKUP(B13,PerdasDitFinal[#All],3,FALSE),0)</f>
        <v>0</v>
      </c>
      <c r="E13" s="850">
        <f>IFERROR(VLOOKUP(B13,PerdasDitFinal[#All],4,FALSE),0)</f>
        <v>0</v>
      </c>
      <c r="F13" s="850">
        <f>IF(C13=0,(SUMIF(FaturasT!I:I,'Perdas de Energia'!B13,FaturasT!N:N)+SUMIF(FaturasT!I:I,'Perdas de Energia'!B13,FaturasT!O:ON))/1000,0)</f>
        <v>12334.337</v>
      </c>
      <c r="G13" s="850">
        <f>IF(C13=0,(SUMIF(FaturasT!I:I,'Perdas de Energia'!B13,FaturasT!P:P)/1000),0)</f>
        <v>175.672</v>
      </c>
      <c r="H13" s="850">
        <f>SUMIF(dados_MercadoBase[AnoMes],'Perdas de Energia'!B13,dados_MercadoBase[TE_E])</f>
        <v>12131.893000000004</v>
      </c>
      <c r="I13" s="1741">
        <f t="shared" si="0"/>
        <v>378.11599999999589</v>
      </c>
      <c r="J13" s="1742">
        <f t="shared" si="1"/>
        <v>3.0225078175403063E-2</v>
      </c>
    </row>
    <row r="14" spans="2:10">
      <c r="B14" s="1740">
        <f t="shared" si="2"/>
        <v>44682</v>
      </c>
      <c r="C14" s="850">
        <f>IFERROR(VLOOKUP(B14,PerdasDitFinal[#All],2,FALSE),0)</f>
        <v>0</v>
      </c>
      <c r="D14" s="850">
        <f>IFERROR(VLOOKUP(B14,PerdasDitFinal[#All],3,FALSE),D13)</f>
        <v>0</v>
      </c>
      <c r="E14" s="850">
        <f>IFERROR(VLOOKUP(B14,PerdasDitFinal[#All],4,FALSE),E13)</f>
        <v>0</v>
      </c>
      <c r="F14" s="850">
        <f>IF(C14=0,IF(IFERROR(VLOOKUP(B14,Consulta3[MesAno],1,FALSE),0)='Perdas de Energia'!B14,(SUMIF(FaturasT!I:I,'Perdas de Energia'!B14,FaturasT!N:N)+SUMIF(FaturasT!I:I,'Perdas de Energia'!B14,FaturasT!O:ON))/1000,F13),0)</f>
        <v>12895.004000000001</v>
      </c>
      <c r="G14" s="850">
        <f>IF(C14=0,IF(IFERROR(VLOOKUP(B14,FaturasT!I:I,1,FALSE),0)=B14,(SUMIF(Consulta3[MesAno],'Perdas de Energia'!B14,Consulta3[Proinfa (kWh)])/1000),G13),0)</f>
        <v>199.27199999999999</v>
      </c>
      <c r="H14" s="850">
        <f>SUMIF(dados_MercadoBase[AnoMes],'Perdas de Energia'!B14,dados_MercadoBase[TE_E])</f>
        <v>11730.691000000001</v>
      </c>
      <c r="I14" s="1741">
        <f t="shared" si="0"/>
        <v>1363.585</v>
      </c>
      <c r="J14" s="1742">
        <f t="shared" si="1"/>
        <v>0.10413595986521132</v>
      </c>
    </row>
    <row r="15" spans="2:10">
      <c r="B15" s="1740">
        <f>EDATE(B14,1)</f>
        <v>44713</v>
      </c>
      <c r="C15" s="850">
        <f>IFERROR(VLOOKUP(B15,PerdasDitFinal[#All],2,FALSE),C14)</f>
        <v>0</v>
      </c>
      <c r="D15" s="850">
        <f>IFERROR(VLOOKUP(B15,PerdasDitFinal[#All],3,FALSE),D14)</f>
        <v>0</v>
      </c>
      <c r="E15" s="850">
        <f>IFERROR(VLOOKUP(B15,PerdasDitFinal[#All],4,FALSE),E14)</f>
        <v>0</v>
      </c>
      <c r="F15" s="850">
        <f>IF(C15=0,IF(IFERROR(VLOOKUP(B15,Consulta3[MesAno],1,FALSE),0)='Perdas de Energia'!B15,(SUMIF(FaturasT!I:I,'Perdas de Energia'!B15,FaturasT!N:N)+SUMIF(FaturasT!I:I,'Perdas de Energia'!B15,FaturasT!O:ON))/1000,F14),0)</f>
        <v>12861.227000000001</v>
      </c>
      <c r="G15" s="850">
        <f>IF(C15=0,IF(IFERROR(VLOOKUP(B15,FaturasT!I:I,1,FALSE),0)=B15,(SUMIF(Consulta3[MesAno],'Perdas de Energia'!B15,Consulta3[Proinfa (kWh)])/1000),G14),0)</f>
        <v>199.13499999999999</v>
      </c>
      <c r="H15" s="850">
        <f>SUMIF(dados_MercadoBase[AnoMes],'Perdas de Energia'!B15,dados_MercadoBase[TE_E])</f>
        <v>12489.259999999998</v>
      </c>
      <c r="I15" s="1741">
        <f t="shared" si="0"/>
        <v>571.10200000000236</v>
      </c>
      <c r="J15" s="1742">
        <f t="shared" si="1"/>
        <v>4.3727884418517826E-2</v>
      </c>
    </row>
    <row r="16" spans="2:10">
      <c r="B16" s="1740">
        <f t="shared" si="2"/>
        <v>44743</v>
      </c>
      <c r="C16" s="850">
        <f>IFERROR(VLOOKUP(B16,PerdasDitFinal[#All],2,FALSE),C15)</f>
        <v>0</v>
      </c>
      <c r="D16" s="850">
        <f>IFERROR(VLOOKUP(B16,PerdasDitFinal[#All],3,FALSE),D15)</f>
        <v>0</v>
      </c>
      <c r="E16" s="850">
        <f>IFERROR(VLOOKUP(B16,PerdasDitFinal[#All],4,FALSE),E15)</f>
        <v>0</v>
      </c>
      <c r="F16" s="850">
        <f>IF(C16=0,IF(IFERROR(VLOOKUP(B16,Consulta3[MesAno],1,FALSE),0)='Perdas de Energia'!B16,(SUMIF(FaturasT!I:I,'Perdas de Energia'!B16,FaturasT!N:N)+SUMIF(FaturasT!I:I,'Perdas de Energia'!B16,FaturasT!O:ON))/1000,F15),0)</f>
        <v>12644.155000000001</v>
      </c>
      <c r="G16" s="850">
        <f>IF(C16=0,IF(IFERROR(VLOOKUP(B16,FaturasT!I:I,1,FALSE),0)=B16,(SUMIF(Consulta3[MesAno],'Perdas de Energia'!B16,Consulta3[Proinfa (kWh)])/1000),G15),0)</f>
        <v>206.327</v>
      </c>
      <c r="H16" s="850">
        <f>SUMIF(dados_MercadoBase[AnoMes],'Perdas de Energia'!B16,dados_MercadoBase[TE_E])</f>
        <v>12221.454999999996</v>
      </c>
      <c r="I16" s="1741">
        <f t="shared" si="0"/>
        <v>629.02700000000436</v>
      </c>
      <c r="J16" s="1742">
        <f t="shared" si="1"/>
        <v>4.8949681420510482E-2</v>
      </c>
    </row>
    <row r="17" spans="2:10">
      <c r="B17" s="1740">
        <f>EDATE(B16,1)</f>
        <v>44774</v>
      </c>
      <c r="C17" s="850">
        <f>IFERROR(VLOOKUP(B17,PerdasDitFinal[#All],2,FALSE),C16)</f>
        <v>0</v>
      </c>
      <c r="D17" s="850">
        <f>IFERROR(VLOOKUP(B17,PerdasDitFinal[#All],3,FALSE),D16)</f>
        <v>0</v>
      </c>
      <c r="E17" s="850">
        <f>IFERROR(VLOOKUP(B17,PerdasDitFinal[#All],4,FALSE),E16)</f>
        <v>0</v>
      </c>
      <c r="F17" s="850">
        <f>IF(C17=0,IF(IFERROR(VLOOKUP(B17,Consulta3[MesAno],1,FALSE),0)='Perdas de Energia'!B17,(SUMIF(FaturasT!I:I,'Perdas de Energia'!B17,FaturasT!N:N)+SUMIF(FaturasT!I:I,'Perdas de Energia'!B17,FaturasT!O:ON))/1000,F16),0)</f>
        <v>12644.155000000001</v>
      </c>
      <c r="G17" s="850">
        <f>IF(C17=0,IF(IFERROR(VLOOKUP(B17,FaturasT!I:I,1,FALSE),0)=B17,(SUMIF(Consulta3[MesAno],'Perdas de Energia'!B17,Consulta3[Proinfa (kWh)])/1000),G16),0)</f>
        <v>206.327</v>
      </c>
      <c r="H17" s="850">
        <f>SUMIF(dados_MercadoBase[AnoMes],'Perdas de Energia'!B17,dados_MercadoBase[TE_E])</f>
        <v>12221.454999999996</v>
      </c>
      <c r="I17" s="1741">
        <f>C17-D17-E17+F17-H17+G17</f>
        <v>629.02700000000436</v>
      </c>
      <c r="J17" s="1742">
        <f t="shared" si="1"/>
        <v>4.8949681420510482E-2</v>
      </c>
    </row>
    <row r="18" spans="2:10">
      <c r="B18" s="1723" t="s">
        <v>770</v>
      </c>
      <c r="C18" s="1116">
        <f t="shared" ref="C18:G18" si="3">SUM(C6:C17)</f>
        <v>0</v>
      </c>
      <c r="D18" s="1116">
        <f t="shared" si="3"/>
        <v>0</v>
      </c>
      <c r="E18" s="1116">
        <f t="shared" si="3"/>
        <v>0</v>
      </c>
      <c r="F18" s="1116">
        <f t="shared" si="3"/>
        <v>151224.20300000001</v>
      </c>
      <c r="G18" s="1116">
        <f t="shared" si="3"/>
        <v>2373.8720000000003</v>
      </c>
      <c r="H18" s="1116">
        <f>SUM(H6:H17)</f>
        <v>144897.01799999998</v>
      </c>
      <c r="I18" s="1116">
        <f>SUM(I6:I17)</f>
        <v>8701.0570000000098</v>
      </c>
      <c r="J18" s="1724">
        <f>I18/(C18-D18-E18+F18+G18)</f>
        <v>5.6648216457139904E-2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6" t="s">
        <v>636</v>
      </c>
      <c r="C1" s="1020">
        <f>Resultado!C1</f>
        <v>0</v>
      </c>
      <c r="D1" s="1227"/>
      <c r="E1" s="1228"/>
      <c r="F1" s="1229"/>
      <c r="G1" s="1130" t="s">
        <v>874</v>
      </c>
      <c r="H1" s="1230">
        <f ca="1">LnkTXTIRTEco</f>
        <v>0.1195</v>
      </c>
    </row>
    <row r="2" spans="2:27">
      <c r="B2" s="136" t="str">
        <f>CAPA!C9</f>
        <v>Cermoful</v>
      </c>
      <c r="C2" s="70"/>
      <c r="D2" s="70"/>
      <c r="G2" s="120" t="s">
        <v>878</v>
      </c>
      <c r="H2" s="146">
        <f ca="1">LnkTXTIRTTotal</f>
        <v>7.6999999999999999E-2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1" t="s">
        <v>1154</v>
      </c>
      <c r="C6" s="1231"/>
      <c r="D6" s="1231"/>
      <c r="E6" s="1231"/>
      <c r="F6" s="1231"/>
      <c r="G6" s="1231"/>
      <c r="H6" s="1231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2" t="s">
        <v>779</v>
      </c>
      <c r="C8" s="1232" t="s">
        <v>1155</v>
      </c>
      <c r="D8" s="1232" t="s">
        <v>1156</v>
      </c>
      <c r="E8" s="1232" t="s">
        <v>1157</v>
      </c>
      <c r="H8" s="150"/>
    </row>
    <row r="9" spans="2:27">
      <c r="B9" s="156" t="s">
        <v>894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3" t="s">
        <v>1158</v>
      </c>
      <c r="C10" s="1234">
        <f>SUMIFS($M$18:$M$63,$D$18:$D$63,"Fora Ponta")</f>
        <v>0</v>
      </c>
      <c r="D10" s="1234">
        <f>SUMIFS($J$18:$J$63,$D$18:$D$63,"Fora Ponta")</f>
        <v>0</v>
      </c>
      <c r="E10" s="1234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5" t="s">
        <v>1159</v>
      </c>
      <c r="G14" s="1236"/>
      <c r="H14" s="1236"/>
      <c r="I14" s="1236"/>
      <c r="J14" s="1236"/>
      <c r="K14" s="1236"/>
      <c r="L14" s="1236"/>
      <c r="M14" s="1236"/>
      <c r="N14" s="1236"/>
      <c r="O14" s="1236"/>
      <c r="P14" s="1236"/>
      <c r="Q14" s="1236"/>
      <c r="R14" s="1237"/>
    </row>
    <row r="15" spans="2:27">
      <c r="B15" s="1815" t="s">
        <v>1160</v>
      </c>
      <c r="C15" s="1816" t="s">
        <v>1161</v>
      </c>
      <c r="D15" s="1817" t="s">
        <v>78</v>
      </c>
      <c r="E15" s="1818" t="s">
        <v>1162</v>
      </c>
      <c r="F15" s="1818"/>
      <c r="G15" s="1818"/>
      <c r="H15" s="1819"/>
      <c r="I15" s="1820" t="s">
        <v>1163</v>
      </c>
      <c r="J15" s="1821"/>
      <c r="K15" s="1821"/>
      <c r="L15" s="1821"/>
      <c r="M15" s="1805" t="s">
        <v>1164</v>
      </c>
      <c r="N15" s="1806"/>
      <c r="O15" s="1806"/>
      <c r="P15" s="1806"/>
      <c r="Q15" s="1806"/>
      <c r="R15" s="1806"/>
      <c r="S15" s="1806"/>
      <c r="T15" s="1806"/>
      <c r="U15" s="1806"/>
      <c r="V15" s="1806"/>
      <c r="W15" s="1806"/>
      <c r="X15" s="1806"/>
      <c r="Y15" s="1806"/>
      <c r="Z15" s="65"/>
      <c r="AA15" s="382"/>
    </row>
    <row r="16" spans="2:27">
      <c r="B16" s="1815"/>
      <c r="C16" s="1816"/>
      <c r="D16" s="1817"/>
      <c r="E16" s="1809" t="s">
        <v>110</v>
      </c>
      <c r="F16" s="1810"/>
      <c r="G16" s="1810" t="s">
        <v>1165</v>
      </c>
      <c r="H16" s="1811"/>
      <c r="I16" s="1812" t="s">
        <v>110</v>
      </c>
      <c r="J16" s="1813"/>
      <c r="K16" s="1813" t="s">
        <v>1165</v>
      </c>
      <c r="L16" s="1814"/>
      <c r="M16" s="1807"/>
      <c r="N16" s="1808"/>
      <c r="O16" s="1808"/>
      <c r="P16" s="1808"/>
      <c r="Q16" s="1808"/>
      <c r="R16" s="1808"/>
      <c r="S16" s="1808"/>
      <c r="T16" s="1808"/>
      <c r="U16" s="1808"/>
      <c r="V16" s="1808"/>
      <c r="W16" s="1808"/>
      <c r="X16" s="1808"/>
      <c r="Y16" s="1808"/>
      <c r="Z16" s="65"/>
      <c r="AA16" s="382"/>
    </row>
    <row r="17" spans="2:27">
      <c r="B17" s="1815"/>
      <c r="C17" s="1816"/>
      <c r="D17" s="1817"/>
      <c r="E17" s="383" t="s">
        <v>696</v>
      </c>
      <c r="F17" s="384" t="s">
        <v>697</v>
      </c>
      <c r="G17" s="384" t="s">
        <v>696</v>
      </c>
      <c r="H17" s="385" t="s">
        <v>697</v>
      </c>
      <c r="I17" s="386" t="s">
        <v>696</v>
      </c>
      <c r="J17" s="387" t="s">
        <v>697</v>
      </c>
      <c r="K17" s="387" t="s">
        <v>696</v>
      </c>
      <c r="L17" s="387" t="s">
        <v>697</v>
      </c>
      <c r="M17" s="388" t="s">
        <v>770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783</v>
      </c>
    </row>
    <row r="18" spans="2:27" hidden="1">
      <c r="B18" s="1238">
        <f>RBBD!B3</f>
        <v>0</v>
      </c>
      <c r="C18" s="1238">
        <f>RBBD!C3</f>
        <v>0</v>
      </c>
      <c r="D18" s="1238">
        <f>RBBD!D3</f>
        <v>0</v>
      </c>
      <c r="E18" s="1238">
        <f>RBBD!E3</f>
        <v>0</v>
      </c>
      <c r="F18" s="1238">
        <f>RBBD!F3</f>
        <v>0</v>
      </c>
      <c r="G18" s="1238">
        <f>RBBD!G3</f>
        <v>0</v>
      </c>
      <c r="H18" s="1238">
        <f>RBBD!H3</f>
        <v>0</v>
      </c>
      <c r="I18" s="1238">
        <f>E18*$M18</f>
        <v>0</v>
      </c>
      <c r="J18" s="1238">
        <f>F18*$M18</f>
        <v>0</v>
      </c>
      <c r="K18" s="1238">
        <f>G18*$M18</f>
        <v>0</v>
      </c>
      <c r="L18" s="1238">
        <f>H18*$M18</f>
        <v>0</v>
      </c>
      <c r="M18" s="1238">
        <f>SUM(N18:Y18)</f>
        <v>0</v>
      </c>
      <c r="N18" s="1238">
        <f>RBBD!I3</f>
        <v>0</v>
      </c>
      <c r="O18" s="1238">
        <f>RBBD!J3</f>
        <v>0</v>
      </c>
      <c r="P18" s="1238">
        <f>RBBD!K3</f>
        <v>0</v>
      </c>
      <c r="Q18" s="1238">
        <f>RBBD!L3</f>
        <v>0</v>
      </c>
      <c r="R18" s="1238">
        <f>RBBD!M3</f>
        <v>0</v>
      </c>
      <c r="S18" s="1238">
        <f>RBBD!N3</f>
        <v>0</v>
      </c>
      <c r="T18" s="1238">
        <f>RBBD!O3</f>
        <v>0</v>
      </c>
      <c r="U18" s="1238">
        <f>RBBD!P3</f>
        <v>0</v>
      </c>
      <c r="V18" s="1238">
        <f>RBBD!Q3</f>
        <v>0</v>
      </c>
      <c r="W18" s="1238">
        <f>RBBD!R3</f>
        <v>0</v>
      </c>
      <c r="X18" s="1238">
        <f>RBBD!S3</f>
        <v>0</v>
      </c>
      <c r="Y18" s="1238">
        <f>RBBD!T3</f>
        <v>0</v>
      </c>
      <c r="Z18" s="65"/>
      <c r="AA18" s="324">
        <f t="shared" ref="AA18:AA23" si="1">IF(B18=0,0,1)</f>
        <v>0</v>
      </c>
    </row>
    <row r="19" spans="2:27" hidden="1">
      <c r="B19" s="1238">
        <f>RBBD!B4</f>
        <v>0</v>
      </c>
      <c r="C19" s="1238">
        <f>RBBD!C4</f>
        <v>0</v>
      </c>
      <c r="D19" s="1238">
        <f>RBBD!D4</f>
        <v>0</v>
      </c>
      <c r="E19" s="1238">
        <f>RBBD!E4</f>
        <v>0</v>
      </c>
      <c r="F19" s="1238">
        <f>RBBD!F4</f>
        <v>0</v>
      </c>
      <c r="G19" s="1238">
        <f>RBBD!G4</f>
        <v>0</v>
      </c>
      <c r="H19" s="1238">
        <f>RBBD!H4</f>
        <v>0</v>
      </c>
      <c r="I19" s="1238">
        <f t="shared" ref="I19:L60" si="2">E19*$M19</f>
        <v>0</v>
      </c>
      <c r="J19" s="1238">
        <f t="shared" si="2"/>
        <v>0</v>
      </c>
      <c r="K19" s="1238">
        <f t="shared" si="2"/>
        <v>0</v>
      </c>
      <c r="L19" s="1238">
        <f t="shared" si="2"/>
        <v>0</v>
      </c>
      <c r="M19" s="1238">
        <f t="shared" ref="M19:M60" si="3">SUM(N19:Y19)</f>
        <v>0</v>
      </c>
      <c r="N19" s="1238">
        <f>RBBD!I4</f>
        <v>0</v>
      </c>
      <c r="O19" s="1238">
        <f>RBBD!J4</f>
        <v>0</v>
      </c>
      <c r="P19" s="1238">
        <f>RBBD!K4</f>
        <v>0</v>
      </c>
      <c r="Q19" s="1238">
        <f>RBBD!L4</f>
        <v>0</v>
      </c>
      <c r="R19" s="1238">
        <f>RBBD!M4</f>
        <v>0</v>
      </c>
      <c r="S19" s="1238">
        <f>RBBD!N4</f>
        <v>0</v>
      </c>
      <c r="T19" s="1238">
        <f>RBBD!O4</f>
        <v>0</v>
      </c>
      <c r="U19" s="1238">
        <f>RBBD!P4</f>
        <v>0</v>
      </c>
      <c r="V19" s="1238">
        <f>RBBD!Q4</f>
        <v>0</v>
      </c>
      <c r="W19" s="1238">
        <f>RBBD!R4</f>
        <v>0</v>
      </c>
      <c r="X19" s="1238">
        <f>RBBD!S4</f>
        <v>0</v>
      </c>
      <c r="Y19" s="1238">
        <f>RBBD!T4</f>
        <v>0</v>
      </c>
      <c r="Z19" s="65"/>
      <c r="AA19" s="324">
        <f t="shared" si="1"/>
        <v>0</v>
      </c>
    </row>
    <row r="20" spans="2:27" hidden="1">
      <c r="B20" s="1238">
        <f>RBBD!B5</f>
        <v>0</v>
      </c>
      <c r="C20" s="1238">
        <f>RBBD!C5</f>
        <v>0</v>
      </c>
      <c r="D20" s="1238">
        <f>RBBD!D5</f>
        <v>0</v>
      </c>
      <c r="E20" s="1238">
        <f>RBBD!E5</f>
        <v>0</v>
      </c>
      <c r="F20" s="1238">
        <f>RBBD!F5</f>
        <v>0</v>
      </c>
      <c r="G20" s="1238">
        <f>RBBD!G5</f>
        <v>0</v>
      </c>
      <c r="H20" s="1238">
        <f>RBBD!H5</f>
        <v>0</v>
      </c>
      <c r="I20" s="1238">
        <f t="shared" si="2"/>
        <v>0</v>
      </c>
      <c r="J20" s="1238">
        <f t="shared" si="2"/>
        <v>0</v>
      </c>
      <c r="K20" s="1238">
        <f t="shared" si="2"/>
        <v>0</v>
      </c>
      <c r="L20" s="1238">
        <f t="shared" si="2"/>
        <v>0</v>
      </c>
      <c r="M20" s="1238">
        <f t="shared" si="3"/>
        <v>0</v>
      </c>
      <c r="N20" s="1238">
        <f>RBBD!I5</f>
        <v>0</v>
      </c>
      <c r="O20" s="1238">
        <f>RBBD!J5</f>
        <v>0</v>
      </c>
      <c r="P20" s="1238">
        <f>RBBD!K5</f>
        <v>0</v>
      </c>
      <c r="Q20" s="1238">
        <f>RBBD!L5</f>
        <v>0</v>
      </c>
      <c r="R20" s="1238">
        <f>RBBD!M5</f>
        <v>0</v>
      </c>
      <c r="S20" s="1238">
        <f>RBBD!N5</f>
        <v>0</v>
      </c>
      <c r="T20" s="1238">
        <f>RBBD!O5</f>
        <v>0</v>
      </c>
      <c r="U20" s="1238">
        <f>RBBD!P5</f>
        <v>0</v>
      </c>
      <c r="V20" s="1238">
        <f>RBBD!Q5</f>
        <v>0</v>
      </c>
      <c r="W20" s="1238">
        <f>RBBD!R5</f>
        <v>0</v>
      </c>
      <c r="X20" s="1238">
        <f>RBBD!S5</f>
        <v>0</v>
      </c>
      <c r="Y20" s="1238">
        <f>RBBD!T5</f>
        <v>0</v>
      </c>
      <c r="Z20" s="65"/>
      <c r="AA20" s="324">
        <f t="shared" si="1"/>
        <v>0</v>
      </c>
    </row>
    <row r="21" spans="2:27" hidden="1">
      <c r="B21" s="1238">
        <f>RBBD!B6</f>
        <v>0</v>
      </c>
      <c r="C21" s="1238">
        <f>RBBD!C6</f>
        <v>0</v>
      </c>
      <c r="D21" s="1238">
        <f>RBBD!D6</f>
        <v>0</v>
      </c>
      <c r="E21" s="1238">
        <f>RBBD!E6</f>
        <v>0</v>
      </c>
      <c r="F21" s="1238">
        <f>RBBD!F6</f>
        <v>0</v>
      </c>
      <c r="G21" s="1238">
        <f>RBBD!G6</f>
        <v>0</v>
      </c>
      <c r="H21" s="1238">
        <f>RBBD!H6</f>
        <v>0</v>
      </c>
      <c r="I21" s="1238">
        <f t="shared" si="2"/>
        <v>0</v>
      </c>
      <c r="J21" s="1238">
        <f t="shared" si="2"/>
        <v>0</v>
      </c>
      <c r="K21" s="1238">
        <f t="shared" si="2"/>
        <v>0</v>
      </c>
      <c r="L21" s="1238">
        <f t="shared" si="2"/>
        <v>0</v>
      </c>
      <c r="M21" s="1238">
        <f t="shared" si="3"/>
        <v>0</v>
      </c>
      <c r="N21" s="1238">
        <f>RBBD!I6</f>
        <v>0</v>
      </c>
      <c r="O21" s="1238">
        <f>RBBD!J6</f>
        <v>0</v>
      </c>
      <c r="P21" s="1238">
        <f>RBBD!K6</f>
        <v>0</v>
      </c>
      <c r="Q21" s="1238">
        <f>RBBD!L6</f>
        <v>0</v>
      </c>
      <c r="R21" s="1238">
        <f>RBBD!M6</f>
        <v>0</v>
      </c>
      <c r="S21" s="1238">
        <f>RBBD!N6</f>
        <v>0</v>
      </c>
      <c r="T21" s="1238">
        <f>RBBD!O6</f>
        <v>0</v>
      </c>
      <c r="U21" s="1238">
        <f>RBBD!P6</f>
        <v>0</v>
      </c>
      <c r="V21" s="1238">
        <f>RBBD!Q6</f>
        <v>0</v>
      </c>
      <c r="W21" s="1238">
        <f>RBBD!R6</f>
        <v>0</v>
      </c>
      <c r="X21" s="1238">
        <f>RBBD!S6</f>
        <v>0</v>
      </c>
      <c r="Y21" s="1238">
        <f>RBBD!T6</f>
        <v>0</v>
      </c>
      <c r="Z21" s="65"/>
      <c r="AA21" s="324">
        <f t="shared" si="1"/>
        <v>0</v>
      </c>
    </row>
    <row r="22" spans="2:27" hidden="1">
      <c r="B22" s="1238">
        <f>RBBD!B7</f>
        <v>0</v>
      </c>
      <c r="C22" s="1238">
        <f>RBBD!C7</f>
        <v>0</v>
      </c>
      <c r="D22" s="1238">
        <f>RBBD!D7</f>
        <v>0</v>
      </c>
      <c r="E22" s="1238">
        <f>RBBD!E7</f>
        <v>0</v>
      </c>
      <c r="F22" s="1238">
        <f>RBBD!F7</f>
        <v>0</v>
      </c>
      <c r="G22" s="1238">
        <f>RBBD!G7</f>
        <v>0</v>
      </c>
      <c r="H22" s="1238">
        <f>RBBD!H7</f>
        <v>0</v>
      </c>
      <c r="I22" s="1238">
        <f t="shared" si="2"/>
        <v>0</v>
      </c>
      <c r="J22" s="1238">
        <f t="shared" si="2"/>
        <v>0</v>
      </c>
      <c r="K22" s="1238">
        <f t="shared" si="2"/>
        <v>0</v>
      </c>
      <c r="L22" s="1238">
        <f t="shared" si="2"/>
        <v>0</v>
      </c>
      <c r="M22" s="1238">
        <f t="shared" si="3"/>
        <v>0</v>
      </c>
      <c r="N22" s="1238">
        <f>RBBD!I7</f>
        <v>0</v>
      </c>
      <c r="O22" s="1238">
        <f>RBBD!J7</f>
        <v>0</v>
      </c>
      <c r="P22" s="1238">
        <f>RBBD!K7</f>
        <v>0</v>
      </c>
      <c r="Q22" s="1238">
        <f>RBBD!L7</f>
        <v>0</v>
      </c>
      <c r="R22" s="1238">
        <f>RBBD!M7</f>
        <v>0</v>
      </c>
      <c r="S22" s="1238">
        <f>RBBD!N7</f>
        <v>0</v>
      </c>
      <c r="T22" s="1238">
        <f>RBBD!O7</f>
        <v>0</v>
      </c>
      <c r="U22" s="1238">
        <f>RBBD!P7</f>
        <v>0</v>
      </c>
      <c r="V22" s="1238">
        <f>RBBD!Q7</f>
        <v>0</v>
      </c>
      <c r="W22" s="1238">
        <f>RBBD!R7</f>
        <v>0</v>
      </c>
      <c r="X22" s="1238">
        <f>RBBD!S7</f>
        <v>0</v>
      </c>
      <c r="Y22" s="1238">
        <f>RBBD!T7</f>
        <v>0</v>
      </c>
      <c r="Z22" s="65"/>
      <c r="AA22" s="324">
        <f t="shared" si="1"/>
        <v>0</v>
      </c>
    </row>
    <row r="23" spans="2:27" hidden="1">
      <c r="B23" s="1238">
        <f>RBBD!B8</f>
        <v>0</v>
      </c>
      <c r="C23" s="1238">
        <f>RBBD!C8</f>
        <v>0</v>
      </c>
      <c r="D23" s="1238">
        <f>RBBD!D8</f>
        <v>0</v>
      </c>
      <c r="E23" s="1238">
        <f>RBBD!E8</f>
        <v>0</v>
      </c>
      <c r="F23" s="1238">
        <f>RBBD!F8</f>
        <v>0</v>
      </c>
      <c r="G23" s="1238">
        <f>RBBD!G8</f>
        <v>0</v>
      </c>
      <c r="H23" s="1238">
        <f>RBBD!H8</f>
        <v>0</v>
      </c>
      <c r="I23" s="1238">
        <f t="shared" si="2"/>
        <v>0</v>
      </c>
      <c r="J23" s="1238">
        <f t="shared" si="2"/>
        <v>0</v>
      </c>
      <c r="K23" s="1238">
        <f t="shared" si="2"/>
        <v>0</v>
      </c>
      <c r="L23" s="1238">
        <f t="shared" si="2"/>
        <v>0</v>
      </c>
      <c r="M23" s="1238">
        <f t="shared" si="3"/>
        <v>0</v>
      </c>
      <c r="N23" s="1238">
        <f>RBBD!I8</f>
        <v>0</v>
      </c>
      <c r="O23" s="1238">
        <f>RBBD!J8</f>
        <v>0</v>
      </c>
      <c r="P23" s="1238">
        <f>RBBD!K8</f>
        <v>0</v>
      </c>
      <c r="Q23" s="1238">
        <f>RBBD!L8</f>
        <v>0</v>
      </c>
      <c r="R23" s="1238">
        <f>RBBD!M8</f>
        <v>0</v>
      </c>
      <c r="S23" s="1238">
        <f>RBBD!N8</f>
        <v>0</v>
      </c>
      <c r="T23" s="1238">
        <f>RBBD!O8</f>
        <v>0</v>
      </c>
      <c r="U23" s="1238">
        <f>RBBD!P8</f>
        <v>0</v>
      </c>
      <c r="V23" s="1238">
        <f>RBBD!Q8</f>
        <v>0</v>
      </c>
      <c r="W23" s="1238">
        <f>RBBD!R8</f>
        <v>0</v>
      </c>
      <c r="X23" s="1238">
        <f>RBBD!S8</f>
        <v>0</v>
      </c>
      <c r="Y23" s="1238">
        <f>RBBD!T8</f>
        <v>0</v>
      </c>
      <c r="Z23" s="65"/>
      <c r="AA23" s="324">
        <f t="shared" si="1"/>
        <v>0</v>
      </c>
    </row>
    <row r="24" spans="2:27" hidden="1">
      <c r="B24" s="1238">
        <f>RBBD!B9</f>
        <v>0</v>
      </c>
      <c r="C24" s="1238">
        <f>RBBD!C9</f>
        <v>0</v>
      </c>
      <c r="D24" s="1238">
        <f>RBBD!D9</f>
        <v>0</v>
      </c>
      <c r="E24" s="1238">
        <f>RBBD!E9</f>
        <v>0</v>
      </c>
      <c r="F24" s="1238">
        <f>RBBD!F9</f>
        <v>0</v>
      </c>
      <c r="G24" s="1238">
        <f>RBBD!G9</f>
        <v>0</v>
      </c>
      <c r="H24" s="1238">
        <f>RBBD!H9</f>
        <v>0</v>
      </c>
      <c r="I24" s="1238">
        <f t="shared" si="2"/>
        <v>0</v>
      </c>
      <c r="J24" s="1238">
        <f t="shared" si="2"/>
        <v>0</v>
      </c>
      <c r="K24" s="1238">
        <f t="shared" si="2"/>
        <v>0</v>
      </c>
      <c r="L24" s="1238">
        <f t="shared" si="2"/>
        <v>0</v>
      </c>
      <c r="M24" s="1238">
        <f t="shared" si="3"/>
        <v>0</v>
      </c>
      <c r="N24" s="1238">
        <f>RBBD!I9</f>
        <v>0</v>
      </c>
      <c r="O24" s="1238">
        <f>RBBD!J9</f>
        <v>0</v>
      </c>
      <c r="P24" s="1238">
        <f>RBBD!K9</f>
        <v>0</v>
      </c>
      <c r="Q24" s="1238">
        <f>RBBD!L9</f>
        <v>0</v>
      </c>
      <c r="R24" s="1238">
        <f>RBBD!M9</f>
        <v>0</v>
      </c>
      <c r="S24" s="1238">
        <f>RBBD!N9</f>
        <v>0</v>
      </c>
      <c r="T24" s="1238">
        <f>RBBD!O9</f>
        <v>0</v>
      </c>
      <c r="U24" s="1238">
        <f>RBBD!P9</f>
        <v>0</v>
      </c>
      <c r="V24" s="1238">
        <f>RBBD!Q9</f>
        <v>0</v>
      </c>
      <c r="W24" s="1238">
        <f>RBBD!R9</f>
        <v>0</v>
      </c>
      <c r="X24" s="1238">
        <f>RBBD!S9</f>
        <v>0</v>
      </c>
      <c r="Y24" s="1238">
        <f>RBBD!T9</f>
        <v>0</v>
      </c>
      <c r="Z24" s="65"/>
      <c r="AA24" s="324">
        <f t="shared" ref="AA24:AA38" si="4">IF(B24=0,0,1)</f>
        <v>0</v>
      </c>
    </row>
    <row r="25" spans="2:27" hidden="1">
      <c r="B25" s="1238">
        <f>RBBD!B10</f>
        <v>0</v>
      </c>
      <c r="C25" s="1238">
        <f>RBBD!C10</f>
        <v>0</v>
      </c>
      <c r="D25" s="1238">
        <f>RBBD!D10</f>
        <v>0</v>
      </c>
      <c r="E25" s="1238">
        <f>RBBD!E10</f>
        <v>0</v>
      </c>
      <c r="F25" s="1238">
        <f>RBBD!F10</f>
        <v>0</v>
      </c>
      <c r="G25" s="1238">
        <f>RBBD!G10</f>
        <v>0</v>
      </c>
      <c r="H25" s="1238">
        <f>RBBD!H10</f>
        <v>0</v>
      </c>
      <c r="I25" s="1238">
        <f t="shared" si="2"/>
        <v>0</v>
      </c>
      <c r="J25" s="1238">
        <f t="shared" si="2"/>
        <v>0</v>
      </c>
      <c r="K25" s="1238">
        <f t="shared" si="2"/>
        <v>0</v>
      </c>
      <c r="L25" s="1238">
        <f t="shared" si="2"/>
        <v>0</v>
      </c>
      <c r="M25" s="1238">
        <f t="shared" si="3"/>
        <v>0</v>
      </c>
      <c r="N25" s="1238">
        <f>RBBD!I10</f>
        <v>0</v>
      </c>
      <c r="O25" s="1238">
        <f>RBBD!J10</f>
        <v>0</v>
      </c>
      <c r="P25" s="1238">
        <f>RBBD!K10</f>
        <v>0</v>
      </c>
      <c r="Q25" s="1238">
        <f>RBBD!L10</f>
        <v>0</v>
      </c>
      <c r="R25" s="1238">
        <f>RBBD!M10</f>
        <v>0</v>
      </c>
      <c r="S25" s="1238">
        <f>RBBD!N10</f>
        <v>0</v>
      </c>
      <c r="T25" s="1238">
        <f>RBBD!O10</f>
        <v>0</v>
      </c>
      <c r="U25" s="1238">
        <f>RBBD!P10</f>
        <v>0</v>
      </c>
      <c r="V25" s="1238">
        <f>RBBD!Q10</f>
        <v>0</v>
      </c>
      <c r="W25" s="1238">
        <f>RBBD!R10</f>
        <v>0</v>
      </c>
      <c r="X25" s="1238">
        <f>RBBD!S10</f>
        <v>0</v>
      </c>
      <c r="Y25" s="1238">
        <f>RBBD!T10</f>
        <v>0</v>
      </c>
      <c r="Z25" s="65"/>
      <c r="AA25" s="324">
        <f t="shared" si="4"/>
        <v>0</v>
      </c>
    </row>
    <row r="26" spans="2:27" hidden="1">
      <c r="B26" s="1238">
        <f>RBBD!B11</f>
        <v>0</v>
      </c>
      <c r="C26" s="1238">
        <f>RBBD!C11</f>
        <v>0</v>
      </c>
      <c r="D26" s="1238">
        <f>RBBD!D11</f>
        <v>0</v>
      </c>
      <c r="E26" s="1238">
        <f>RBBD!E11</f>
        <v>0</v>
      </c>
      <c r="F26" s="1238">
        <f>RBBD!F11</f>
        <v>0</v>
      </c>
      <c r="G26" s="1238">
        <f>RBBD!G11</f>
        <v>0</v>
      </c>
      <c r="H26" s="1238">
        <f>RBBD!H11</f>
        <v>0</v>
      </c>
      <c r="I26" s="1238">
        <f t="shared" si="2"/>
        <v>0</v>
      </c>
      <c r="J26" s="1238">
        <f t="shared" si="2"/>
        <v>0</v>
      </c>
      <c r="K26" s="1238">
        <f t="shared" si="2"/>
        <v>0</v>
      </c>
      <c r="L26" s="1238">
        <f t="shared" si="2"/>
        <v>0</v>
      </c>
      <c r="M26" s="1238">
        <f t="shared" si="3"/>
        <v>0</v>
      </c>
      <c r="N26" s="1238">
        <f>RBBD!I11</f>
        <v>0</v>
      </c>
      <c r="O26" s="1238">
        <f>RBBD!J11</f>
        <v>0</v>
      </c>
      <c r="P26" s="1238">
        <f>RBBD!K11</f>
        <v>0</v>
      </c>
      <c r="Q26" s="1238">
        <f>RBBD!L11</f>
        <v>0</v>
      </c>
      <c r="R26" s="1238">
        <f>RBBD!M11</f>
        <v>0</v>
      </c>
      <c r="S26" s="1238">
        <f>RBBD!N11</f>
        <v>0</v>
      </c>
      <c r="T26" s="1238">
        <f>RBBD!O11</f>
        <v>0</v>
      </c>
      <c r="U26" s="1238">
        <f>RBBD!P11</f>
        <v>0</v>
      </c>
      <c r="V26" s="1238">
        <f>RBBD!Q11</f>
        <v>0</v>
      </c>
      <c r="W26" s="1238">
        <f>RBBD!R11</f>
        <v>0</v>
      </c>
      <c r="X26" s="1238">
        <f>RBBD!S11</f>
        <v>0</v>
      </c>
      <c r="Y26" s="1238">
        <f>RBBD!T11</f>
        <v>0</v>
      </c>
      <c r="Z26" s="65"/>
      <c r="AA26" s="324">
        <f t="shared" si="4"/>
        <v>0</v>
      </c>
    </row>
    <row r="27" spans="2:27" hidden="1">
      <c r="B27" s="1238">
        <f>RBBD!B12</f>
        <v>0</v>
      </c>
      <c r="C27" s="1238">
        <f>RBBD!C12</f>
        <v>0</v>
      </c>
      <c r="D27" s="1238">
        <f>RBBD!D12</f>
        <v>0</v>
      </c>
      <c r="E27" s="1238">
        <f>RBBD!E12</f>
        <v>0</v>
      </c>
      <c r="F27" s="1238">
        <f>RBBD!F12</f>
        <v>0</v>
      </c>
      <c r="G27" s="1238">
        <f>RBBD!G12</f>
        <v>0</v>
      </c>
      <c r="H27" s="1238">
        <f>RBBD!H12</f>
        <v>0</v>
      </c>
      <c r="I27" s="1238">
        <f t="shared" si="2"/>
        <v>0</v>
      </c>
      <c r="J27" s="1238">
        <f t="shared" si="2"/>
        <v>0</v>
      </c>
      <c r="K27" s="1238">
        <f t="shared" si="2"/>
        <v>0</v>
      </c>
      <c r="L27" s="1238">
        <f t="shared" si="2"/>
        <v>0</v>
      </c>
      <c r="M27" s="1238">
        <f t="shared" si="3"/>
        <v>0</v>
      </c>
      <c r="N27" s="1238">
        <f>RBBD!I12</f>
        <v>0</v>
      </c>
      <c r="O27" s="1238">
        <f>RBBD!J12</f>
        <v>0</v>
      </c>
      <c r="P27" s="1238">
        <f>RBBD!K12</f>
        <v>0</v>
      </c>
      <c r="Q27" s="1238">
        <f>RBBD!L12</f>
        <v>0</v>
      </c>
      <c r="R27" s="1238">
        <f>RBBD!M12</f>
        <v>0</v>
      </c>
      <c r="S27" s="1238">
        <f>RBBD!N12</f>
        <v>0</v>
      </c>
      <c r="T27" s="1238">
        <f>RBBD!O12</f>
        <v>0</v>
      </c>
      <c r="U27" s="1238">
        <f>RBBD!P12</f>
        <v>0</v>
      </c>
      <c r="V27" s="1238">
        <f>RBBD!Q12</f>
        <v>0</v>
      </c>
      <c r="W27" s="1238">
        <f>RBBD!R12</f>
        <v>0</v>
      </c>
      <c r="X27" s="1238">
        <f>RBBD!S12</f>
        <v>0</v>
      </c>
      <c r="Y27" s="1238">
        <f>RBBD!T12</f>
        <v>0</v>
      </c>
      <c r="Z27" s="65"/>
      <c r="AA27" s="324">
        <f t="shared" si="4"/>
        <v>0</v>
      </c>
    </row>
    <row r="28" spans="2:27" hidden="1">
      <c r="B28" s="1238">
        <f>RBBD!B13</f>
        <v>0</v>
      </c>
      <c r="C28" s="1238">
        <f>RBBD!C13</f>
        <v>0</v>
      </c>
      <c r="D28" s="1238">
        <f>RBBD!D13</f>
        <v>0</v>
      </c>
      <c r="E28" s="1238">
        <f>RBBD!G13</f>
        <v>0</v>
      </c>
      <c r="F28" s="1238">
        <f>RBBD!H13</f>
        <v>0</v>
      </c>
      <c r="G28" s="1238">
        <f>RBBD!E13</f>
        <v>0</v>
      </c>
      <c r="H28" s="1238">
        <f>RBBD!F13</f>
        <v>0</v>
      </c>
      <c r="I28" s="1238">
        <f t="shared" si="2"/>
        <v>0</v>
      </c>
      <c r="J28" s="1238">
        <f t="shared" si="2"/>
        <v>0</v>
      </c>
      <c r="K28" s="1238">
        <f t="shared" si="2"/>
        <v>0</v>
      </c>
      <c r="L28" s="1238">
        <f t="shared" si="2"/>
        <v>0</v>
      </c>
      <c r="M28" s="1238">
        <f t="shared" si="3"/>
        <v>0</v>
      </c>
      <c r="N28" s="1238">
        <f>RBBD!I13</f>
        <v>0</v>
      </c>
      <c r="O28" s="1238">
        <f>RBBD!J13</f>
        <v>0</v>
      </c>
      <c r="P28" s="1238">
        <f>RBBD!K13</f>
        <v>0</v>
      </c>
      <c r="Q28" s="1238">
        <f>RBBD!L13</f>
        <v>0</v>
      </c>
      <c r="R28" s="1238">
        <f>RBBD!M13</f>
        <v>0</v>
      </c>
      <c r="S28" s="1238">
        <f>RBBD!N13</f>
        <v>0</v>
      </c>
      <c r="T28" s="1238">
        <f>RBBD!O13</f>
        <v>0</v>
      </c>
      <c r="U28" s="1238">
        <f>RBBD!P13</f>
        <v>0</v>
      </c>
      <c r="V28" s="1238">
        <f>RBBD!Q13</f>
        <v>0</v>
      </c>
      <c r="W28" s="1238">
        <f>RBBD!R13</f>
        <v>0</v>
      </c>
      <c r="X28" s="1238">
        <f>RBBD!S13</f>
        <v>0</v>
      </c>
      <c r="Y28" s="1238">
        <f>RBBD!T13</f>
        <v>0</v>
      </c>
      <c r="Z28" s="65"/>
      <c r="AA28" s="324">
        <f t="shared" si="4"/>
        <v>0</v>
      </c>
    </row>
    <row r="29" spans="2:27" hidden="1">
      <c r="B29" s="1238">
        <f>RBBD!B14</f>
        <v>0</v>
      </c>
      <c r="C29" s="1238">
        <f>RBBD!C14</f>
        <v>0</v>
      </c>
      <c r="D29" s="1238">
        <f>RBBD!D14</f>
        <v>0</v>
      </c>
      <c r="E29" s="1238">
        <f>RBBD!G14</f>
        <v>0</v>
      </c>
      <c r="F29" s="1238">
        <f>RBBD!H14</f>
        <v>0</v>
      </c>
      <c r="G29" s="1238">
        <f>RBBD!E14</f>
        <v>0</v>
      </c>
      <c r="H29" s="1238">
        <f>RBBD!F14</f>
        <v>0</v>
      </c>
      <c r="I29" s="1238">
        <f t="shared" si="2"/>
        <v>0</v>
      </c>
      <c r="J29" s="1238">
        <f t="shared" si="2"/>
        <v>0</v>
      </c>
      <c r="K29" s="1238">
        <f t="shared" si="2"/>
        <v>0</v>
      </c>
      <c r="L29" s="1238">
        <f t="shared" si="2"/>
        <v>0</v>
      </c>
      <c r="M29" s="1238">
        <f t="shared" si="3"/>
        <v>0</v>
      </c>
      <c r="N29" s="1238">
        <f>RBBD!I14</f>
        <v>0</v>
      </c>
      <c r="O29" s="1238">
        <f>RBBD!J14</f>
        <v>0</v>
      </c>
      <c r="P29" s="1238">
        <f>RBBD!K14</f>
        <v>0</v>
      </c>
      <c r="Q29" s="1238">
        <f>RBBD!L14</f>
        <v>0</v>
      </c>
      <c r="R29" s="1238">
        <f>RBBD!M14</f>
        <v>0</v>
      </c>
      <c r="S29" s="1238">
        <f>RBBD!N14</f>
        <v>0</v>
      </c>
      <c r="T29" s="1238">
        <f>RBBD!O14</f>
        <v>0</v>
      </c>
      <c r="U29" s="1238">
        <f>RBBD!P14</f>
        <v>0</v>
      </c>
      <c r="V29" s="1238">
        <f>RBBD!Q14</f>
        <v>0</v>
      </c>
      <c r="W29" s="1238">
        <f>RBBD!R14</f>
        <v>0</v>
      </c>
      <c r="X29" s="1238">
        <f>RBBD!S14</f>
        <v>0</v>
      </c>
      <c r="Y29" s="1238">
        <f>RBBD!T14</f>
        <v>0</v>
      </c>
      <c r="Z29" s="65"/>
      <c r="AA29" s="324">
        <f t="shared" si="4"/>
        <v>0</v>
      </c>
    </row>
    <row r="30" spans="2:27" hidden="1">
      <c r="B30" s="1238">
        <f>RBBD!B15</f>
        <v>0</v>
      </c>
      <c r="C30" s="1238">
        <f>RBBD!C15</f>
        <v>0</v>
      </c>
      <c r="D30" s="1238">
        <f>RBBD!D15</f>
        <v>0</v>
      </c>
      <c r="E30" s="1238">
        <f>RBBD!G15</f>
        <v>0</v>
      </c>
      <c r="F30" s="1238">
        <f>RBBD!H15</f>
        <v>0</v>
      </c>
      <c r="G30" s="1238">
        <f>RBBD!E15</f>
        <v>0</v>
      </c>
      <c r="H30" s="1238">
        <f>RBBD!F15</f>
        <v>0</v>
      </c>
      <c r="I30" s="1238">
        <f t="shared" si="2"/>
        <v>0</v>
      </c>
      <c r="J30" s="1238">
        <f t="shared" si="2"/>
        <v>0</v>
      </c>
      <c r="K30" s="1238">
        <f t="shared" si="2"/>
        <v>0</v>
      </c>
      <c r="L30" s="1238">
        <f t="shared" si="2"/>
        <v>0</v>
      </c>
      <c r="M30" s="1238">
        <f t="shared" si="3"/>
        <v>0</v>
      </c>
      <c r="N30" s="1238">
        <f>RBBD!I15</f>
        <v>0</v>
      </c>
      <c r="O30" s="1238">
        <f>RBBD!J15</f>
        <v>0</v>
      </c>
      <c r="P30" s="1238">
        <f>RBBD!K15</f>
        <v>0</v>
      </c>
      <c r="Q30" s="1238">
        <f>RBBD!L15</f>
        <v>0</v>
      </c>
      <c r="R30" s="1238">
        <f>RBBD!M15</f>
        <v>0</v>
      </c>
      <c r="S30" s="1238">
        <f>RBBD!N15</f>
        <v>0</v>
      </c>
      <c r="T30" s="1238">
        <f>RBBD!O15</f>
        <v>0</v>
      </c>
      <c r="U30" s="1238">
        <f>RBBD!P15</f>
        <v>0</v>
      </c>
      <c r="V30" s="1238">
        <f>RBBD!Q15</f>
        <v>0</v>
      </c>
      <c r="W30" s="1238">
        <f>RBBD!R15</f>
        <v>0</v>
      </c>
      <c r="X30" s="1238">
        <f>RBBD!S15</f>
        <v>0</v>
      </c>
      <c r="Y30" s="1238">
        <f>RBBD!T15</f>
        <v>0</v>
      </c>
      <c r="Z30" s="65"/>
      <c r="AA30" s="324">
        <f t="shared" si="4"/>
        <v>0</v>
      </c>
    </row>
    <row r="31" spans="2:27" hidden="1">
      <c r="B31" s="1238">
        <f>RBBD!B16</f>
        <v>0</v>
      </c>
      <c r="C31" s="1238">
        <f>RBBD!C16</f>
        <v>0</v>
      </c>
      <c r="D31" s="1238">
        <f>RBBD!D16</f>
        <v>0</v>
      </c>
      <c r="E31" s="1238">
        <f>RBBD!G16</f>
        <v>0</v>
      </c>
      <c r="F31" s="1238">
        <f>RBBD!H16</f>
        <v>0</v>
      </c>
      <c r="G31" s="1238">
        <f>RBBD!E16</f>
        <v>0</v>
      </c>
      <c r="H31" s="1238">
        <f>RBBD!F16</f>
        <v>0</v>
      </c>
      <c r="I31" s="1238">
        <f t="shared" si="2"/>
        <v>0</v>
      </c>
      <c r="J31" s="1238">
        <f t="shared" si="2"/>
        <v>0</v>
      </c>
      <c r="K31" s="1238">
        <f t="shared" si="2"/>
        <v>0</v>
      </c>
      <c r="L31" s="1238">
        <f t="shared" si="2"/>
        <v>0</v>
      </c>
      <c r="M31" s="1238">
        <f t="shared" si="3"/>
        <v>0</v>
      </c>
      <c r="N31" s="1238">
        <f>RBBD!I16</f>
        <v>0</v>
      </c>
      <c r="O31" s="1238">
        <f>RBBD!J16</f>
        <v>0</v>
      </c>
      <c r="P31" s="1238">
        <f>RBBD!K16</f>
        <v>0</v>
      </c>
      <c r="Q31" s="1238">
        <f>RBBD!L16</f>
        <v>0</v>
      </c>
      <c r="R31" s="1238">
        <f>RBBD!M16</f>
        <v>0</v>
      </c>
      <c r="S31" s="1238">
        <f>RBBD!N16</f>
        <v>0</v>
      </c>
      <c r="T31" s="1238">
        <f>RBBD!O16</f>
        <v>0</v>
      </c>
      <c r="U31" s="1238">
        <f>RBBD!P16</f>
        <v>0</v>
      </c>
      <c r="V31" s="1238">
        <f>RBBD!Q16</f>
        <v>0</v>
      </c>
      <c r="W31" s="1238">
        <f>RBBD!R16</f>
        <v>0</v>
      </c>
      <c r="X31" s="1238">
        <f>RBBD!S16</f>
        <v>0</v>
      </c>
      <c r="Y31" s="1238">
        <f>RBBD!T16</f>
        <v>0</v>
      </c>
      <c r="Z31" s="65"/>
      <c r="AA31" s="324">
        <f t="shared" si="4"/>
        <v>0</v>
      </c>
    </row>
    <row r="32" spans="2:27" hidden="1">
      <c r="B32" s="1238">
        <f>RBBD!B17</f>
        <v>0</v>
      </c>
      <c r="C32" s="1238">
        <f>RBBD!C17</f>
        <v>0</v>
      </c>
      <c r="D32" s="1238">
        <f>RBBD!D17</f>
        <v>0</v>
      </c>
      <c r="E32" s="1238">
        <f>RBBD!G17</f>
        <v>0</v>
      </c>
      <c r="F32" s="1238">
        <f>RBBD!H17</f>
        <v>0</v>
      </c>
      <c r="G32" s="1238">
        <f>RBBD!E17</f>
        <v>0</v>
      </c>
      <c r="H32" s="1238">
        <f>RBBD!F17</f>
        <v>0</v>
      </c>
      <c r="I32" s="1238">
        <f t="shared" si="2"/>
        <v>0</v>
      </c>
      <c r="J32" s="1238">
        <f t="shared" si="2"/>
        <v>0</v>
      </c>
      <c r="K32" s="1238">
        <f t="shared" si="2"/>
        <v>0</v>
      </c>
      <c r="L32" s="1238">
        <f t="shared" si="2"/>
        <v>0</v>
      </c>
      <c r="M32" s="1238">
        <f t="shared" si="3"/>
        <v>0</v>
      </c>
      <c r="N32" s="1238">
        <f>RBBD!I17</f>
        <v>0</v>
      </c>
      <c r="O32" s="1238">
        <f>RBBD!J17</f>
        <v>0</v>
      </c>
      <c r="P32" s="1238">
        <f>RBBD!K17</f>
        <v>0</v>
      </c>
      <c r="Q32" s="1238">
        <f>RBBD!L17</f>
        <v>0</v>
      </c>
      <c r="R32" s="1238">
        <f>RBBD!M17</f>
        <v>0</v>
      </c>
      <c r="S32" s="1238">
        <f>RBBD!N17</f>
        <v>0</v>
      </c>
      <c r="T32" s="1238">
        <f>RBBD!O17</f>
        <v>0</v>
      </c>
      <c r="U32" s="1238">
        <f>RBBD!P17</f>
        <v>0</v>
      </c>
      <c r="V32" s="1238">
        <f>RBBD!Q17</f>
        <v>0</v>
      </c>
      <c r="W32" s="1238">
        <f>RBBD!R17</f>
        <v>0</v>
      </c>
      <c r="X32" s="1238">
        <f>RBBD!S17</f>
        <v>0</v>
      </c>
      <c r="Y32" s="1238">
        <f>RBBD!T17</f>
        <v>0</v>
      </c>
      <c r="Z32" s="65"/>
      <c r="AA32" s="324">
        <f t="shared" si="4"/>
        <v>0</v>
      </c>
    </row>
    <row r="33" spans="2:27" hidden="1">
      <c r="B33" s="1238">
        <f>RBBD!B18</f>
        <v>0</v>
      </c>
      <c r="C33" s="1238">
        <f>RBBD!C18</f>
        <v>0</v>
      </c>
      <c r="D33" s="1238">
        <f>RBBD!D18</f>
        <v>0</v>
      </c>
      <c r="E33" s="1238">
        <f>RBBD!G18</f>
        <v>0</v>
      </c>
      <c r="F33" s="1238">
        <f>RBBD!H18</f>
        <v>0</v>
      </c>
      <c r="G33" s="1238">
        <f>RBBD!E18</f>
        <v>0</v>
      </c>
      <c r="H33" s="1238">
        <f>RBBD!F18</f>
        <v>0</v>
      </c>
      <c r="I33" s="1238">
        <f t="shared" si="2"/>
        <v>0</v>
      </c>
      <c r="J33" s="1238">
        <f t="shared" si="2"/>
        <v>0</v>
      </c>
      <c r="K33" s="1238">
        <f t="shared" si="2"/>
        <v>0</v>
      </c>
      <c r="L33" s="1238">
        <f t="shared" si="2"/>
        <v>0</v>
      </c>
      <c r="M33" s="1238">
        <f t="shared" si="3"/>
        <v>0</v>
      </c>
      <c r="N33" s="1238">
        <f>RBBD!I18</f>
        <v>0</v>
      </c>
      <c r="O33" s="1238">
        <f>RBBD!J18</f>
        <v>0</v>
      </c>
      <c r="P33" s="1238">
        <f>RBBD!K18</f>
        <v>0</v>
      </c>
      <c r="Q33" s="1238">
        <f>RBBD!L18</f>
        <v>0</v>
      </c>
      <c r="R33" s="1238">
        <f>RBBD!M18</f>
        <v>0</v>
      </c>
      <c r="S33" s="1238">
        <f>RBBD!N18</f>
        <v>0</v>
      </c>
      <c r="T33" s="1238">
        <f>RBBD!O18</f>
        <v>0</v>
      </c>
      <c r="U33" s="1238">
        <f>RBBD!P18</f>
        <v>0</v>
      </c>
      <c r="V33" s="1238">
        <f>RBBD!Q18</f>
        <v>0</v>
      </c>
      <c r="W33" s="1238">
        <f>RBBD!R18</f>
        <v>0</v>
      </c>
      <c r="X33" s="1238">
        <f>RBBD!S18</f>
        <v>0</v>
      </c>
      <c r="Y33" s="1238">
        <f>RBBD!T18</f>
        <v>0</v>
      </c>
      <c r="Z33" s="65"/>
      <c r="AA33" s="324">
        <f t="shared" si="4"/>
        <v>0</v>
      </c>
    </row>
    <row r="34" spans="2:27" hidden="1">
      <c r="B34" s="1238">
        <f>RBBD!B19</f>
        <v>0</v>
      </c>
      <c r="C34" s="1238">
        <f>RBBD!C19</f>
        <v>0</v>
      </c>
      <c r="D34" s="1238">
        <f>RBBD!D19</f>
        <v>0</v>
      </c>
      <c r="E34" s="1238">
        <f>RBBD!G19</f>
        <v>0</v>
      </c>
      <c r="F34" s="1238">
        <f>RBBD!H19</f>
        <v>0</v>
      </c>
      <c r="G34" s="1238">
        <f>RBBD!E19</f>
        <v>0</v>
      </c>
      <c r="H34" s="1238">
        <f>RBBD!F19</f>
        <v>0</v>
      </c>
      <c r="I34" s="1238">
        <f t="shared" si="2"/>
        <v>0</v>
      </c>
      <c r="J34" s="1238">
        <f t="shared" si="2"/>
        <v>0</v>
      </c>
      <c r="K34" s="1238">
        <f t="shared" si="2"/>
        <v>0</v>
      </c>
      <c r="L34" s="1238">
        <f t="shared" si="2"/>
        <v>0</v>
      </c>
      <c r="M34" s="1238">
        <f t="shared" si="3"/>
        <v>0</v>
      </c>
      <c r="N34" s="1238">
        <f>RBBD!I19</f>
        <v>0</v>
      </c>
      <c r="O34" s="1238">
        <f>RBBD!J19</f>
        <v>0</v>
      </c>
      <c r="P34" s="1238">
        <f>RBBD!K19</f>
        <v>0</v>
      </c>
      <c r="Q34" s="1238">
        <f>RBBD!L19</f>
        <v>0</v>
      </c>
      <c r="R34" s="1238">
        <f>RBBD!M19</f>
        <v>0</v>
      </c>
      <c r="S34" s="1238">
        <f>RBBD!N19</f>
        <v>0</v>
      </c>
      <c r="T34" s="1238">
        <f>RBBD!O19</f>
        <v>0</v>
      </c>
      <c r="U34" s="1238">
        <f>RBBD!P19</f>
        <v>0</v>
      </c>
      <c r="V34" s="1238">
        <f>RBBD!Q19</f>
        <v>0</v>
      </c>
      <c r="W34" s="1238">
        <f>RBBD!R19</f>
        <v>0</v>
      </c>
      <c r="X34" s="1238">
        <f>RBBD!S19</f>
        <v>0</v>
      </c>
      <c r="Y34" s="1238">
        <f>RBBD!T19</f>
        <v>0</v>
      </c>
      <c r="Z34" s="65"/>
      <c r="AA34" s="324">
        <f t="shared" si="4"/>
        <v>0</v>
      </c>
    </row>
    <row r="35" spans="2:27" hidden="1">
      <c r="B35" s="1238">
        <f>RBBD!B20</f>
        <v>0</v>
      </c>
      <c r="C35" s="1238">
        <f>RBBD!C20</f>
        <v>0</v>
      </c>
      <c r="D35" s="1238">
        <f>RBBD!D20</f>
        <v>0</v>
      </c>
      <c r="E35" s="1238">
        <f>RBBD!G20</f>
        <v>0</v>
      </c>
      <c r="F35" s="1238">
        <f>RBBD!H20</f>
        <v>0</v>
      </c>
      <c r="G35" s="1238">
        <f>RBBD!E20</f>
        <v>0</v>
      </c>
      <c r="H35" s="1238">
        <f>RBBD!F20</f>
        <v>0</v>
      </c>
      <c r="I35" s="1238">
        <f t="shared" si="2"/>
        <v>0</v>
      </c>
      <c r="J35" s="1238">
        <f t="shared" si="2"/>
        <v>0</v>
      </c>
      <c r="K35" s="1238">
        <f t="shared" si="2"/>
        <v>0</v>
      </c>
      <c r="L35" s="1238">
        <f t="shared" si="2"/>
        <v>0</v>
      </c>
      <c r="M35" s="1238">
        <f t="shared" si="3"/>
        <v>0</v>
      </c>
      <c r="N35" s="1238">
        <f>RBBD!I20</f>
        <v>0</v>
      </c>
      <c r="O35" s="1238">
        <f>RBBD!J20</f>
        <v>0</v>
      </c>
      <c r="P35" s="1238">
        <f>RBBD!K20</f>
        <v>0</v>
      </c>
      <c r="Q35" s="1238">
        <f>RBBD!L20</f>
        <v>0</v>
      </c>
      <c r="R35" s="1238">
        <f>RBBD!M20</f>
        <v>0</v>
      </c>
      <c r="S35" s="1238">
        <f>RBBD!N20</f>
        <v>0</v>
      </c>
      <c r="T35" s="1238">
        <f>RBBD!O20</f>
        <v>0</v>
      </c>
      <c r="U35" s="1238">
        <f>RBBD!P20</f>
        <v>0</v>
      </c>
      <c r="V35" s="1238">
        <f>RBBD!Q20</f>
        <v>0</v>
      </c>
      <c r="W35" s="1238">
        <f>RBBD!R20</f>
        <v>0</v>
      </c>
      <c r="X35" s="1238">
        <f>RBBD!S20</f>
        <v>0</v>
      </c>
      <c r="Y35" s="1238">
        <f>RBBD!T20</f>
        <v>0</v>
      </c>
      <c r="Z35" s="65"/>
      <c r="AA35" s="324">
        <f t="shared" si="4"/>
        <v>0</v>
      </c>
    </row>
    <row r="36" spans="2:27" hidden="1">
      <c r="B36" s="1238">
        <f>RBBD!B21</f>
        <v>0</v>
      </c>
      <c r="C36" s="1238">
        <f>RBBD!C21</f>
        <v>0</v>
      </c>
      <c r="D36" s="1238">
        <f>RBBD!D21</f>
        <v>0</v>
      </c>
      <c r="E36" s="1238">
        <f>RBBD!G21</f>
        <v>0</v>
      </c>
      <c r="F36" s="1238">
        <f>RBBD!H21</f>
        <v>0</v>
      </c>
      <c r="G36" s="1238">
        <f>RBBD!E21</f>
        <v>0</v>
      </c>
      <c r="H36" s="1238">
        <f>RBBD!F21</f>
        <v>0</v>
      </c>
      <c r="I36" s="1238">
        <f t="shared" si="2"/>
        <v>0</v>
      </c>
      <c r="J36" s="1238">
        <f t="shared" si="2"/>
        <v>0</v>
      </c>
      <c r="K36" s="1238">
        <f t="shared" si="2"/>
        <v>0</v>
      </c>
      <c r="L36" s="1238">
        <f t="shared" si="2"/>
        <v>0</v>
      </c>
      <c r="M36" s="1238">
        <f t="shared" si="3"/>
        <v>0</v>
      </c>
      <c r="N36" s="1238">
        <f>RBBD!I21</f>
        <v>0</v>
      </c>
      <c r="O36" s="1238">
        <f>RBBD!J21</f>
        <v>0</v>
      </c>
      <c r="P36" s="1238">
        <f>RBBD!K21</f>
        <v>0</v>
      </c>
      <c r="Q36" s="1238">
        <f>RBBD!L21</f>
        <v>0</v>
      </c>
      <c r="R36" s="1238">
        <f>RBBD!M21</f>
        <v>0</v>
      </c>
      <c r="S36" s="1238">
        <f>RBBD!N21</f>
        <v>0</v>
      </c>
      <c r="T36" s="1238">
        <f>RBBD!O21</f>
        <v>0</v>
      </c>
      <c r="U36" s="1238">
        <f>RBBD!P21</f>
        <v>0</v>
      </c>
      <c r="V36" s="1238">
        <f>RBBD!Q21</f>
        <v>0</v>
      </c>
      <c r="W36" s="1238">
        <f>RBBD!R21</f>
        <v>0</v>
      </c>
      <c r="X36" s="1238">
        <f>RBBD!S21</f>
        <v>0</v>
      </c>
      <c r="Y36" s="1238">
        <f>RBBD!T21</f>
        <v>0</v>
      </c>
      <c r="Z36" s="65"/>
      <c r="AA36" s="324">
        <f t="shared" si="4"/>
        <v>0</v>
      </c>
    </row>
    <row r="37" spans="2:27" hidden="1">
      <c r="B37" s="1238">
        <f>RBBD!B22</f>
        <v>0</v>
      </c>
      <c r="C37" s="1238">
        <f>RBBD!C22</f>
        <v>0</v>
      </c>
      <c r="D37" s="1238">
        <f>RBBD!D22</f>
        <v>0</v>
      </c>
      <c r="E37" s="1238">
        <f>RBBD!G22</f>
        <v>0</v>
      </c>
      <c r="F37" s="1238">
        <f>RBBD!H22</f>
        <v>0</v>
      </c>
      <c r="G37" s="1238">
        <f>RBBD!E22</f>
        <v>0</v>
      </c>
      <c r="H37" s="1238">
        <f>RBBD!F22</f>
        <v>0</v>
      </c>
      <c r="I37" s="1238">
        <f t="shared" si="2"/>
        <v>0</v>
      </c>
      <c r="J37" s="1238">
        <f t="shared" si="2"/>
        <v>0</v>
      </c>
      <c r="K37" s="1238">
        <f t="shared" si="2"/>
        <v>0</v>
      </c>
      <c r="L37" s="1238">
        <f t="shared" si="2"/>
        <v>0</v>
      </c>
      <c r="M37" s="1238">
        <f t="shared" si="3"/>
        <v>0</v>
      </c>
      <c r="N37" s="1238">
        <f>RBBD!I22</f>
        <v>0</v>
      </c>
      <c r="O37" s="1238">
        <f>RBBD!J22</f>
        <v>0</v>
      </c>
      <c r="P37" s="1238">
        <f>RBBD!K22</f>
        <v>0</v>
      </c>
      <c r="Q37" s="1238">
        <f>RBBD!L22</f>
        <v>0</v>
      </c>
      <c r="R37" s="1238">
        <f>RBBD!M22</f>
        <v>0</v>
      </c>
      <c r="S37" s="1238">
        <f>RBBD!N22</f>
        <v>0</v>
      </c>
      <c r="T37" s="1238">
        <f>RBBD!O22</f>
        <v>0</v>
      </c>
      <c r="U37" s="1238">
        <f>RBBD!P22</f>
        <v>0</v>
      </c>
      <c r="V37" s="1238">
        <f>RBBD!Q22</f>
        <v>0</v>
      </c>
      <c r="W37" s="1238">
        <f>RBBD!R22</f>
        <v>0</v>
      </c>
      <c r="X37" s="1238">
        <f>RBBD!S22</f>
        <v>0</v>
      </c>
      <c r="Y37" s="1238">
        <f>RBBD!T22</f>
        <v>0</v>
      </c>
      <c r="Z37" s="65"/>
      <c r="AA37" s="324">
        <f t="shared" si="4"/>
        <v>0</v>
      </c>
    </row>
    <row r="38" spans="2:27" hidden="1">
      <c r="B38" s="1238">
        <f>RBBD!B23</f>
        <v>0</v>
      </c>
      <c r="C38" s="1238">
        <f>RBBD!C23</f>
        <v>0</v>
      </c>
      <c r="D38" s="1238">
        <f>RBBD!D23</f>
        <v>0</v>
      </c>
      <c r="E38" s="1238">
        <f>RBBD!G23</f>
        <v>0</v>
      </c>
      <c r="F38" s="1238">
        <f>RBBD!H23</f>
        <v>0</v>
      </c>
      <c r="G38" s="1238">
        <f>RBBD!E23</f>
        <v>0</v>
      </c>
      <c r="H38" s="1238">
        <f>RBBD!F23</f>
        <v>0</v>
      </c>
      <c r="I38" s="1238">
        <f t="shared" si="2"/>
        <v>0</v>
      </c>
      <c r="J38" s="1238">
        <f t="shared" si="2"/>
        <v>0</v>
      </c>
      <c r="K38" s="1238">
        <f t="shared" si="2"/>
        <v>0</v>
      </c>
      <c r="L38" s="1238">
        <f t="shared" si="2"/>
        <v>0</v>
      </c>
      <c r="M38" s="1238">
        <f t="shared" si="3"/>
        <v>0</v>
      </c>
      <c r="N38" s="1238">
        <f>RBBD!I23</f>
        <v>0</v>
      </c>
      <c r="O38" s="1238">
        <f>RBBD!J23</f>
        <v>0</v>
      </c>
      <c r="P38" s="1238">
        <f>RBBD!K23</f>
        <v>0</v>
      </c>
      <c r="Q38" s="1238">
        <f>RBBD!L23</f>
        <v>0</v>
      </c>
      <c r="R38" s="1238">
        <f>RBBD!M23</f>
        <v>0</v>
      </c>
      <c r="S38" s="1238">
        <f>RBBD!N23</f>
        <v>0</v>
      </c>
      <c r="T38" s="1238">
        <f>RBBD!O23</f>
        <v>0</v>
      </c>
      <c r="U38" s="1238">
        <f>RBBD!P23</f>
        <v>0</v>
      </c>
      <c r="V38" s="1238">
        <f>RBBD!Q23</f>
        <v>0</v>
      </c>
      <c r="W38" s="1238">
        <f>RBBD!R23</f>
        <v>0</v>
      </c>
      <c r="X38" s="1238">
        <f>RBBD!S23</f>
        <v>0</v>
      </c>
      <c r="Y38" s="1238">
        <f>RBBD!T23</f>
        <v>0</v>
      </c>
      <c r="Z38" s="65"/>
      <c r="AA38" s="324">
        <f t="shared" si="4"/>
        <v>0</v>
      </c>
    </row>
    <row r="39" spans="2:27" hidden="1">
      <c r="B39" s="1238">
        <f>RBBD!B24</f>
        <v>0</v>
      </c>
      <c r="C39" s="1238">
        <f>RBBD!C24</f>
        <v>0</v>
      </c>
      <c r="D39" s="1238">
        <f>RBBD!D24</f>
        <v>0</v>
      </c>
      <c r="E39" s="1238">
        <f>RBBD!G24</f>
        <v>0</v>
      </c>
      <c r="F39" s="1238">
        <f>RBBD!H24</f>
        <v>0</v>
      </c>
      <c r="G39" s="1238">
        <f>RBBD!E24</f>
        <v>0</v>
      </c>
      <c r="H39" s="1238">
        <f>RBBD!F24</f>
        <v>0</v>
      </c>
      <c r="I39" s="1238">
        <f t="shared" si="2"/>
        <v>0</v>
      </c>
      <c r="J39" s="1238">
        <f t="shared" si="2"/>
        <v>0</v>
      </c>
      <c r="K39" s="1238">
        <f t="shared" si="2"/>
        <v>0</v>
      </c>
      <c r="L39" s="1238">
        <f t="shared" si="2"/>
        <v>0</v>
      </c>
      <c r="M39" s="1238">
        <f t="shared" si="3"/>
        <v>0</v>
      </c>
      <c r="N39" s="1238">
        <f>RBBD!I24</f>
        <v>0</v>
      </c>
      <c r="O39" s="1238">
        <f>RBBD!J24</f>
        <v>0</v>
      </c>
      <c r="P39" s="1238">
        <f>RBBD!K24</f>
        <v>0</v>
      </c>
      <c r="Q39" s="1238">
        <f>RBBD!L24</f>
        <v>0</v>
      </c>
      <c r="R39" s="1238">
        <f>RBBD!M24</f>
        <v>0</v>
      </c>
      <c r="S39" s="1238">
        <f>RBBD!N24</f>
        <v>0</v>
      </c>
      <c r="T39" s="1238">
        <f>RBBD!O24</f>
        <v>0</v>
      </c>
      <c r="U39" s="1238">
        <f>RBBD!P24</f>
        <v>0</v>
      </c>
      <c r="V39" s="1238">
        <f>RBBD!Q24</f>
        <v>0</v>
      </c>
      <c r="W39" s="1238">
        <f>RBBD!R24</f>
        <v>0</v>
      </c>
      <c r="X39" s="1238">
        <f>RBBD!S24</f>
        <v>0</v>
      </c>
      <c r="Y39" s="1238">
        <f>RBBD!T24</f>
        <v>0</v>
      </c>
      <c r="Z39" s="65"/>
      <c r="AA39" s="324">
        <f t="shared" ref="AA39:AA60" si="5">IF(B39=0,0,1)</f>
        <v>0</v>
      </c>
    </row>
    <row r="40" spans="2:27" hidden="1">
      <c r="B40" s="1238">
        <f>RBBD!B25</f>
        <v>0</v>
      </c>
      <c r="C40" s="1238">
        <f>RBBD!C25</f>
        <v>0</v>
      </c>
      <c r="D40" s="1238">
        <f>RBBD!D25</f>
        <v>0</v>
      </c>
      <c r="E40" s="1238">
        <f>RBBD!G25</f>
        <v>0</v>
      </c>
      <c r="F40" s="1238">
        <f>RBBD!H25</f>
        <v>0</v>
      </c>
      <c r="G40" s="1238">
        <f>RBBD!E25</f>
        <v>0</v>
      </c>
      <c r="H40" s="1238">
        <f>RBBD!F25</f>
        <v>0</v>
      </c>
      <c r="I40" s="1238">
        <f t="shared" si="2"/>
        <v>0</v>
      </c>
      <c r="J40" s="1238">
        <f t="shared" si="2"/>
        <v>0</v>
      </c>
      <c r="K40" s="1238">
        <f t="shared" si="2"/>
        <v>0</v>
      </c>
      <c r="L40" s="1238">
        <f t="shared" si="2"/>
        <v>0</v>
      </c>
      <c r="M40" s="1238">
        <f t="shared" si="3"/>
        <v>0</v>
      </c>
      <c r="N40" s="1238">
        <f>RBBD!I25</f>
        <v>0</v>
      </c>
      <c r="O40" s="1238">
        <f>RBBD!J25</f>
        <v>0</v>
      </c>
      <c r="P40" s="1238">
        <f>RBBD!K25</f>
        <v>0</v>
      </c>
      <c r="Q40" s="1238">
        <f>RBBD!L25</f>
        <v>0</v>
      </c>
      <c r="R40" s="1238">
        <f>RBBD!M25</f>
        <v>0</v>
      </c>
      <c r="S40" s="1238">
        <f>RBBD!N25</f>
        <v>0</v>
      </c>
      <c r="T40" s="1238">
        <f>RBBD!O25</f>
        <v>0</v>
      </c>
      <c r="U40" s="1238">
        <f>RBBD!P25</f>
        <v>0</v>
      </c>
      <c r="V40" s="1238">
        <f>RBBD!Q25</f>
        <v>0</v>
      </c>
      <c r="W40" s="1238">
        <f>RBBD!R25</f>
        <v>0</v>
      </c>
      <c r="X40" s="1238">
        <f>RBBD!S25</f>
        <v>0</v>
      </c>
      <c r="Y40" s="1238">
        <f>RBBD!T25</f>
        <v>0</v>
      </c>
      <c r="Z40" s="65"/>
      <c r="AA40" s="324">
        <f t="shared" si="5"/>
        <v>0</v>
      </c>
    </row>
    <row r="41" spans="2:27" hidden="1">
      <c r="B41" s="1238">
        <f>RBBD!B26</f>
        <v>0</v>
      </c>
      <c r="C41" s="1238">
        <f>RBBD!C26</f>
        <v>0</v>
      </c>
      <c r="D41" s="1238">
        <f>RBBD!D26</f>
        <v>0</v>
      </c>
      <c r="E41" s="1238">
        <f>RBBD!G26</f>
        <v>0</v>
      </c>
      <c r="F41" s="1238">
        <f>RBBD!H26</f>
        <v>0</v>
      </c>
      <c r="G41" s="1238">
        <f>RBBD!E26</f>
        <v>0</v>
      </c>
      <c r="H41" s="1238">
        <f>RBBD!F26</f>
        <v>0</v>
      </c>
      <c r="I41" s="1238">
        <f t="shared" si="2"/>
        <v>0</v>
      </c>
      <c r="J41" s="1238">
        <f t="shared" si="2"/>
        <v>0</v>
      </c>
      <c r="K41" s="1238">
        <f t="shared" si="2"/>
        <v>0</v>
      </c>
      <c r="L41" s="1238">
        <f t="shared" si="2"/>
        <v>0</v>
      </c>
      <c r="M41" s="1238">
        <f t="shared" si="3"/>
        <v>0</v>
      </c>
      <c r="N41" s="1238">
        <f>RBBD!I26</f>
        <v>0</v>
      </c>
      <c r="O41" s="1238">
        <f>RBBD!J26</f>
        <v>0</v>
      </c>
      <c r="P41" s="1238">
        <f>RBBD!K26</f>
        <v>0</v>
      </c>
      <c r="Q41" s="1238">
        <f>RBBD!L26</f>
        <v>0</v>
      </c>
      <c r="R41" s="1238">
        <f>RBBD!M26</f>
        <v>0</v>
      </c>
      <c r="S41" s="1238">
        <f>RBBD!N26</f>
        <v>0</v>
      </c>
      <c r="T41" s="1238">
        <f>RBBD!O26</f>
        <v>0</v>
      </c>
      <c r="U41" s="1238">
        <f>RBBD!P26</f>
        <v>0</v>
      </c>
      <c r="V41" s="1238">
        <f>RBBD!Q26</f>
        <v>0</v>
      </c>
      <c r="W41" s="1238">
        <f>RBBD!R26</f>
        <v>0</v>
      </c>
      <c r="X41" s="1238">
        <f>RBBD!S26</f>
        <v>0</v>
      </c>
      <c r="Y41" s="1238">
        <f>RBBD!T26</f>
        <v>0</v>
      </c>
      <c r="Z41" s="65"/>
      <c r="AA41" s="324">
        <f t="shared" si="5"/>
        <v>0</v>
      </c>
    </row>
    <row r="42" spans="2:27" hidden="1">
      <c r="B42" s="1238">
        <f>RBBD!B27</f>
        <v>0</v>
      </c>
      <c r="C42" s="1238">
        <f>RBBD!C27</f>
        <v>0</v>
      </c>
      <c r="D42" s="1238">
        <f>RBBD!D27</f>
        <v>0</v>
      </c>
      <c r="E42" s="1238">
        <f>RBBD!G27</f>
        <v>0</v>
      </c>
      <c r="F42" s="1238">
        <f>RBBD!H27</f>
        <v>0</v>
      </c>
      <c r="G42" s="1238">
        <f>RBBD!E27</f>
        <v>0</v>
      </c>
      <c r="H42" s="1238">
        <f>RBBD!F27</f>
        <v>0</v>
      </c>
      <c r="I42" s="1238">
        <f t="shared" si="2"/>
        <v>0</v>
      </c>
      <c r="J42" s="1238">
        <f t="shared" si="2"/>
        <v>0</v>
      </c>
      <c r="K42" s="1238">
        <f t="shared" si="2"/>
        <v>0</v>
      </c>
      <c r="L42" s="1238">
        <f t="shared" si="2"/>
        <v>0</v>
      </c>
      <c r="M42" s="1238">
        <f t="shared" si="3"/>
        <v>0</v>
      </c>
      <c r="N42" s="1238">
        <f>RBBD!I27</f>
        <v>0</v>
      </c>
      <c r="O42" s="1238">
        <f>RBBD!J27</f>
        <v>0</v>
      </c>
      <c r="P42" s="1238">
        <f>RBBD!K27</f>
        <v>0</v>
      </c>
      <c r="Q42" s="1238">
        <f>RBBD!L27</f>
        <v>0</v>
      </c>
      <c r="R42" s="1238">
        <f>RBBD!M27</f>
        <v>0</v>
      </c>
      <c r="S42" s="1238">
        <f>RBBD!N27</f>
        <v>0</v>
      </c>
      <c r="T42" s="1238">
        <f>RBBD!O27</f>
        <v>0</v>
      </c>
      <c r="U42" s="1238">
        <f>RBBD!P27</f>
        <v>0</v>
      </c>
      <c r="V42" s="1238">
        <f>RBBD!Q27</f>
        <v>0</v>
      </c>
      <c r="W42" s="1238">
        <f>RBBD!R27</f>
        <v>0</v>
      </c>
      <c r="X42" s="1238">
        <f>RBBD!S27</f>
        <v>0</v>
      </c>
      <c r="Y42" s="1238">
        <f>RBBD!T27</f>
        <v>0</v>
      </c>
      <c r="Z42" s="65"/>
      <c r="AA42" s="324">
        <f t="shared" si="5"/>
        <v>0</v>
      </c>
    </row>
    <row r="43" spans="2:27" hidden="1">
      <c r="B43" s="1238">
        <f>RBBD!B28</f>
        <v>0</v>
      </c>
      <c r="C43" s="1238">
        <f>RBBD!C28</f>
        <v>0</v>
      </c>
      <c r="D43" s="1238">
        <f>RBBD!D28</f>
        <v>0</v>
      </c>
      <c r="E43" s="1238">
        <f>RBBD!G28</f>
        <v>0</v>
      </c>
      <c r="F43" s="1238">
        <f>RBBD!H28</f>
        <v>0</v>
      </c>
      <c r="G43" s="1238">
        <f>RBBD!E28</f>
        <v>0</v>
      </c>
      <c r="H43" s="1238">
        <f>RBBD!F28</f>
        <v>0</v>
      </c>
      <c r="I43" s="1238">
        <f t="shared" si="2"/>
        <v>0</v>
      </c>
      <c r="J43" s="1238">
        <f t="shared" si="2"/>
        <v>0</v>
      </c>
      <c r="K43" s="1238">
        <f t="shared" si="2"/>
        <v>0</v>
      </c>
      <c r="L43" s="1238">
        <f t="shared" si="2"/>
        <v>0</v>
      </c>
      <c r="M43" s="1238">
        <f t="shared" si="3"/>
        <v>0</v>
      </c>
      <c r="N43" s="1238">
        <f>RBBD!I28</f>
        <v>0</v>
      </c>
      <c r="O43" s="1238">
        <f>RBBD!J28</f>
        <v>0</v>
      </c>
      <c r="P43" s="1238">
        <f>RBBD!K28</f>
        <v>0</v>
      </c>
      <c r="Q43" s="1238">
        <f>RBBD!L28</f>
        <v>0</v>
      </c>
      <c r="R43" s="1238">
        <f>RBBD!M28</f>
        <v>0</v>
      </c>
      <c r="S43" s="1238">
        <f>RBBD!N28</f>
        <v>0</v>
      </c>
      <c r="T43" s="1238">
        <f>RBBD!O28</f>
        <v>0</v>
      </c>
      <c r="U43" s="1238">
        <f>RBBD!P28</f>
        <v>0</v>
      </c>
      <c r="V43" s="1238">
        <f>RBBD!Q28</f>
        <v>0</v>
      </c>
      <c r="W43" s="1238">
        <f>RBBD!R28</f>
        <v>0</v>
      </c>
      <c r="X43" s="1238">
        <f>RBBD!S28</f>
        <v>0</v>
      </c>
      <c r="Y43" s="1238">
        <f>RBBD!T28</f>
        <v>0</v>
      </c>
      <c r="Z43" s="65"/>
      <c r="AA43" s="324">
        <f t="shared" si="5"/>
        <v>0</v>
      </c>
    </row>
    <row r="44" spans="2:27" hidden="1">
      <c r="B44" s="1238">
        <f>RBBD!B29</f>
        <v>0</v>
      </c>
      <c r="C44" s="1238">
        <f>RBBD!C29</f>
        <v>0</v>
      </c>
      <c r="D44" s="1238">
        <f>RBBD!D29</f>
        <v>0</v>
      </c>
      <c r="E44" s="1238">
        <f>RBBD!G29</f>
        <v>0</v>
      </c>
      <c r="F44" s="1238">
        <f>RBBD!H29</f>
        <v>0</v>
      </c>
      <c r="G44" s="1238">
        <f>RBBD!E29</f>
        <v>0</v>
      </c>
      <c r="H44" s="1238">
        <f>RBBD!F29</f>
        <v>0</v>
      </c>
      <c r="I44" s="1238">
        <f t="shared" si="2"/>
        <v>0</v>
      </c>
      <c r="J44" s="1238">
        <f t="shared" si="2"/>
        <v>0</v>
      </c>
      <c r="K44" s="1238">
        <f t="shared" si="2"/>
        <v>0</v>
      </c>
      <c r="L44" s="1238">
        <f t="shared" si="2"/>
        <v>0</v>
      </c>
      <c r="M44" s="1238">
        <f t="shared" si="3"/>
        <v>0</v>
      </c>
      <c r="N44" s="1238">
        <f>RBBD!I29</f>
        <v>0</v>
      </c>
      <c r="O44" s="1238">
        <f>RBBD!J29</f>
        <v>0</v>
      </c>
      <c r="P44" s="1238">
        <f>RBBD!K29</f>
        <v>0</v>
      </c>
      <c r="Q44" s="1238">
        <f>RBBD!L29</f>
        <v>0</v>
      </c>
      <c r="R44" s="1238">
        <f>RBBD!M29</f>
        <v>0</v>
      </c>
      <c r="S44" s="1238">
        <f>RBBD!N29</f>
        <v>0</v>
      </c>
      <c r="T44" s="1238">
        <f>RBBD!O29</f>
        <v>0</v>
      </c>
      <c r="U44" s="1238">
        <f>RBBD!P29</f>
        <v>0</v>
      </c>
      <c r="V44" s="1238">
        <f>RBBD!Q29</f>
        <v>0</v>
      </c>
      <c r="W44" s="1238">
        <f>RBBD!R29</f>
        <v>0</v>
      </c>
      <c r="X44" s="1238">
        <f>RBBD!S29</f>
        <v>0</v>
      </c>
      <c r="Y44" s="1238">
        <f>RBBD!T29</f>
        <v>0</v>
      </c>
      <c r="Z44" s="65"/>
      <c r="AA44" s="324">
        <f t="shared" si="5"/>
        <v>0</v>
      </c>
    </row>
    <row r="45" spans="2:27" hidden="1">
      <c r="B45" s="1238">
        <f>RBBD!B30</f>
        <v>0</v>
      </c>
      <c r="C45" s="1238">
        <f>RBBD!C30</f>
        <v>0</v>
      </c>
      <c r="D45" s="1238">
        <f>RBBD!D30</f>
        <v>0</v>
      </c>
      <c r="E45" s="1238">
        <f>RBBD!G30</f>
        <v>0</v>
      </c>
      <c r="F45" s="1238">
        <f>RBBD!H30</f>
        <v>0</v>
      </c>
      <c r="G45" s="1238">
        <f>RBBD!E30</f>
        <v>0</v>
      </c>
      <c r="H45" s="1238">
        <f>RBBD!F30</f>
        <v>0</v>
      </c>
      <c r="I45" s="1238">
        <f t="shared" si="2"/>
        <v>0</v>
      </c>
      <c r="J45" s="1238">
        <f t="shared" si="2"/>
        <v>0</v>
      </c>
      <c r="K45" s="1238">
        <f t="shared" si="2"/>
        <v>0</v>
      </c>
      <c r="L45" s="1238">
        <f t="shared" si="2"/>
        <v>0</v>
      </c>
      <c r="M45" s="1238">
        <f t="shared" si="3"/>
        <v>0</v>
      </c>
      <c r="N45" s="1238">
        <f>RBBD!I30</f>
        <v>0</v>
      </c>
      <c r="O45" s="1238">
        <f>RBBD!J30</f>
        <v>0</v>
      </c>
      <c r="P45" s="1238">
        <f>RBBD!K30</f>
        <v>0</v>
      </c>
      <c r="Q45" s="1238">
        <f>RBBD!L30</f>
        <v>0</v>
      </c>
      <c r="R45" s="1238">
        <f>RBBD!M30</f>
        <v>0</v>
      </c>
      <c r="S45" s="1238">
        <f>RBBD!N30</f>
        <v>0</v>
      </c>
      <c r="T45" s="1238">
        <f>RBBD!O30</f>
        <v>0</v>
      </c>
      <c r="U45" s="1238">
        <f>RBBD!P30</f>
        <v>0</v>
      </c>
      <c r="V45" s="1238">
        <f>RBBD!Q30</f>
        <v>0</v>
      </c>
      <c r="W45" s="1238">
        <f>RBBD!R30</f>
        <v>0</v>
      </c>
      <c r="X45" s="1238">
        <f>RBBD!S30</f>
        <v>0</v>
      </c>
      <c r="Y45" s="1238">
        <f>RBBD!T30</f>
        <v>0</v>
      </c>
      <c r="Z45" s="65"/>
      <c r="AA45" s="324">
        <f t="shared" si="5"/>
        <v>0</v>
      </c>
    </row>
    <row r="46" spans="2:27" hidden="1">
      <c r="B46" s="1238">
        <f>RBBD!B31</f>
        <v>0</v>
      </c>
      <c r="C46" s="1238">
        <f>RBBD!C31</f>
        <v>0</v>
      </c>
      <c r="D46" s="1238">
        <f>RBBD!D31</f>
        <v>0</v>
      </c>
      <c r="E46" s="1238">
        <f>RBBD!G31</f>
        <v>0</v>
      </c>
      <c r="F46" s="1238">
        <f>RBBD!H31</f>
        <v>0</v>
      </c>
      <c r="G46" s="1238">
        <f>RBBD!E31</f>
        <v>0</v>
      </c>
      <c r="H46" s="1238">
        <f>RBBD!F31</f>
        <v>0</v>
      </c>
      <c r="I46" s="1238">
        <f t="shared" si="2"/>
        <v>0</v>
      </c>
      <c r="J46" s="1238">
        <f t="shared" si="2"/>
        <v>0</v>
      </c>
      <c r="K46" s="1238">
        <f t="shared" si="2"/>
        <v>0</v>
      </c>
      <c r="L46" s="1238">
        <f t="shared" si="2"/>
        <v>0</v>
      </c>
      <c r="M46" s="1238">
        <f t="shared" si="3"/>
        <v>0</v>
      </c>
      <c r="N46" s="1238">
        <f>RBBD!I31</f>
        <v>0</v>
      </c>
      <c r="O46" s="1238">
        <f>RBBD!J31</f>
        <v>0</v>
      </c>
      <c r="P46" s="1238">
        <f>RBBD!K31</f>
        <v>0</v>
      </c>
      <c r="Q46" s="1238">
        <f>RBBD!L31</f>
        <v>0</v>
      </c>
      <c r="R46" s="1238">
        <f>RBBD!M31</f>
        <v>0</v>
      </c>
      <c r="S46" s="1238">
        <f>RBBD!N31</f>
        <v>0</v>
      </c>
      <c r="T46" s="1238">
        <f>RBBD!O31</f>
        <v>0</v>
      </c>
      <c r="U46" s="1238">
        <f>RBBD!P31</f>
        <v>0</v>
      </c>
      <c r="V46" s="1238">
        <f>RBBD!Q31</f>
        <v>0</v>
      </c>
      <c r="W46" s="1238">
        <f>RBBD!R31</f>
        <v>0</v>
      </c>
      <c r="X46" s="1238">
        <f>RBBD!S31</f>
        <v>0</v>
      </c>
      <c r="Y46" s="1238">
        <f>RBBD!T31</f>
        <v>0</v>
      </c>
      <c r="Z46" s="65"/>
      <c r="AA46" s="324">
        <f t="shared" si="5"/>
        <v>0</v>
      </c>
    </row>
    <row r="47" spans="2:27" hidden="1">
      <c r="B47" s="1238">
        <f>RBBD!B32</f>
        <v>0</v>
      </c>
      <c r="C47" s="1238">
        <f>RBBD!C32</f>
        <v>0</v>
      </c>
      <c r="D47" s="1238">
        <f>RBBD!D32</f>
        <v>0</v>
      </c>
      <c r="E47" s="1238">
        <f>RBBD!G32</f>
        <v>0</v>
      </c>
      <c r="F47" s="1238">
        <f>RBBD!H32</f>
        <v>0</v>
      </c>
      <c r="G47" s="1238">
        <f>RBBD!E32</f>
        <v>0</v>
      </c>
      <c r="H47" s="1238">
        <f>RBBD!F32</f>
        <v>0</v>
      </c>
      <c r="I47" s="1238">
        <f t="shared" si="2"/>
        <v>0</v>
      </c>
      <c r="J47" s="1238">
        <f t="shared" si="2"/>
        <v>0</v>
      </c>
      <c r="K47" s="1238">
        <f t="shared" si="2"/>
        <v>0</v>
      </c>
      <c r="L47" s="1238">
        <f t="shared" si="2"/>
        <v>0</v>
      </c>
      <c r="M47" s="1238">
        <f t="shared" si="3"/>
        <v>0</v>
      </c>
      <c r="N47" s="1238">
        <f>RBBD!I32</f>
        <v>0</v>
      </c>
      <c r="O47" s="1238">
        <f>RBBD!J32</f>
        <v>0</v>
      </c>
      <c r="P47" s="1238">
        <f>RBBD!K32</f>
        <v>0</v>
      </c>
      <c r="Q47" s="1238">
        <f>RBBD!L32</f>
        <v>0</v>
      </c>
      <c r="R47" s="1238">
        <f>RBBD!M32</f>
        <v>0</v>
      </c>
      <c r="S47" s="1238">
        <f>RBBD!N32</f>
        <v>0</v>
      </c>
      <c r="T47" s="1238">
        <f>RBBD!O32</f>
        <v>0</v>
      </c>
      <c r="U47" s="1238">
        <f>RBBD!P32</f>
        <v>0</v>
      </c>
      <c r="V47" s="1238">
        <f>RBBD!Q32</f>
        <v>0</v>
      </c>
      <c r="W47" s="1238">
        <f>RBBD!R32</f>
        <v>0</v>
      </c>
      <c r="X47" s="1238">
        <f>RBBD!S32</f>
        <v>0</v>
      </c>
      <c r="Y47" s="1238">
        <f>RBBD!T32</f>
        <v>0</v>
      </c>
      <c r="Z47" s="65"/>
      <c r="AA47" s="324">
        <f t="shared" si="5"/>
        <v>0</v>
      </c>
    </row>
    <row r="48" spans="2:27" hidden="1">
      <c r="B48" s="1238">
        <f>RBBD!B33</f>
        <v>0</v>
      </c>
      <c r="C48" s="1238">
        <f>RBBD!C33</f>
        <v>0</v>
      </c>
      <c r="D48" s="1238">
        <f>RBBD!D33</f>
        <v>0</v>
      </c>
      <c r="E48" s="1238">
        <f>RBBD!G33</f>
        <v>0</v>
      </c>
      <c r="F48" s="1238">
        <f>RBBD!H33</f>
        <v>0</v>
      </c>
      <c r="G48" s="1238">
        <f>RBBD!E33</f>
        <v>0</v>
      </c>
      <c r="H48" s="1238">
        <f>RBBD!F33</f>
        <v>0</v>
      </c>
      <c r="I48" s="1238">
        <f t="shared" si="2"/>
        <v>0</v>
      </c>
      <c r="J48" s="1238">
        <f t="shared" si="2"/>
        <v>0</v>
      </c>
      <c r="K48" s="1238">
        <f t="shared" si="2"/>
        <v>0</v>
      </c>
      <c r="L48" s="1238">
        <f t="shared" si="2"/>
        <v>0</v>
      </c>
      <c r="M48" s="1238">
        <f t="shared" si="3"/>
        <v>0</v>
      </c>
      <c r="N48" s="1238">
        <f>RBBD!I33</f>
        <v>0</v>
      </c>
      <c r="O48" s="1238">
        <f>RBBD!J33</f>
        <v>0</v>
      </c>
      <c r="P48" s="1238">
        <f>RBBD!K33</f>
        <v>0</v>
      </c>
      <c r="Q48" s="1238">
        <f>RBBD!L33</f>
        <v>0</v>
      </c>
      <c r="R48" s="1238">
        <f>RBBD!M33</f>
        <v>0</v>
      </c>
      <c r="S48" s="1238">
        <f>RBBD!N33</f>
        <v>0</v>
      </c>
      <c r="T48" s="1238">
        <f>RBBD!O33</f>
        <v>0</v>
      </c>
      <c r="U48" s="1238">
        <f>RBBD!P33</f>
        <v>0</v>
      </c>
      <c r="V48" s="1238">
        <f>RBBD!Q33</f>
        <v>0</v>
      </c>
      <c r="W48" s="1238">
        <f>RBBD!R33</f>
        <v>0</v>
      </c>
      <c r="X48" s="1238">
        <f>RBBD!S33</f>
        <v>0</v>
      </c>
      <c r="Y48" s="1238">
        <f>RBBD!T33</f>
        <v>0</v>
      </c>
      <c r="Z48" s="65"/>
      <c r="AA48" s="324">
        <f t="shared" si="5"/>
        <v>0</v>
      </c>
    </row>
    <row r="49" spans="2:27" hidden="1">
      <c r="B49" s="1238">
        <f>RBBD!B34</f>
        <v>0</v>
      </c>
      <c r="C49" s="1238">
        <f>RBBD!C34</f>
        <v>0</v>
      </c>
      <c r="D49" s="1238">
        <f>RBBD!D34</f>
        <v>0</v>
      </c>
      <c r="E49" s="1238">
        <f>RBBD!G34</f>
        <v>0</v>
      </c>
      <c r="F49" s="1238">
        <f>RBBD!H34</f>
        <v>0</v>
      </c>
      <c r="G49" s="1238">
        <f>RBBD!E34</f>
        <v>0</v>
      </c>
      <c r="H49" s="1238">
        <f>RBBD!F34</f>
        <v>0</v>
      </c>
      <c r="I49" s="1238">
        <f t="shared" si="2"/>
        <v>0</v>
      </c>
      <c r="J49" s="1238">
        <f t="shared" si="2"/>
        <v>0</v>
      </c>
      <c r="K49" s="1238">
        <f t="shared" si="2"/>
        <v>0</v>
      </c>
      <c r="L49" s="1238">
        <f t="shared" si="2"/>
        <v>0</v>
      </c>
      <c r="M49" s="1238">
        <f t="shared" si="3"/>
        <v>0</v>
      </c>
      <c r="N49" s="1238">
        <f>RBBD!I34</f>
        <v>0</v>
      </c>
      <c r="O49" s="1238">
        <f>RBBD!J34</f>
        <v>0</v>
      </c>
      <c r="P49" s="1238">
        <f>RBBD!K34</f>
        <v>0</v>
      </c>
      <c r="Q49" s="1238">
        <f>RBBD!L34</f>
        <v>0</v>
      </c>
      <c r="R49" s="1238">
        <f>RBBD!M34</f>
        <v>0</v>
      </c>
      <c r="S49" s="1238">
        <f>RBBD!N34</f>
        <v>0</v>
      </c>
      <c r="T49" s="1238">
        <f>RBBD!O34</f>
        <v>0</v>
      </c>
      <c r="U49" s="1238">
        <f>RBBD!P34</f>
        <v>0</v>
      </c>
      <c r="V49" s="1238">
        <f>RBBD!Q34</f>
        <v>0</v>
      </c>
      <c r="W49" s="1238">
        <f>RBBD!R34</f>
        <v>0</v>
      </c>
      <c r="X49" s="1238">
        <f>RBBD!S34</f>
        <v>0</v>
      </c>
      <c r="Y49" s="1238">
        <f>RBBD!T34</f>
        <v>0</v>
      </c>
      <c r="Z49" s="65"/>
      <c r="AA49" s="324">
        <f t="shared" si="5"/>
        <v>0</v>
      </c>
    </row>
    <row r="50" spans="2:27" hidden="1">
      <c r="B50" s="1238">
        <f>RBBD!B35</f>
        <v>0</v>
      </c>
      <c r="C50" s="1238">
        <f>RBBD!C35</f>
        <v>0</v>
      </c>
      <c r="D50" s="1238">
        <f>RBBD!D35</f>
        <v>0</v>
      </c>
      <c r="E50" s="1238">
        <f>RBBD!G35</f>
        <v>0</v>
      </c>
      <c r="F50" s="1238">
        <f>RBBD!H35</f>
        <v>0</v>
      </c>
      <c r="G50" s="1238">
        <f>RBBD!E35</f>
        <v>0</v>
      </c>
      <c r="H50" s="1238">
        <f>RBBD!F35</f>
        <v>0</v>
      </c>
      <c r="I50" s="1238">
        <f t="shared" si="2"/>
        <v>0</v>
      </c>
      <c r="J50" s="1238">
        <f t="shared" si="2"/>
        <v>0</v>
      </c>
      <c r="K50" s="1238">
        <f t="shared" si="2"/>
        <v>0</v>
      </c>
      <c r="L50" s="1238">
        <f t="shared" si="2"/>
        <v>0</v>
      </c>
      <c r="M50" s="1238">
        <f t="shared" si="3"/>
        <v>0</v>
      </c>
      <c r="N50" s="1238">
        <f>RBBD!I35</f>
        <v>0</v>
      </c>
      <c r="O50" s="1238">
        <f>RBBD!J35</f>
        <v>0</v>
      </c>
      <c r="P50" s="1238">
        <f>RBBD!K35</f>
        <v>0</v>
      </c>
      <c r="Q50" s="1238">
        <f>RBBD!L35</f>
        <v>0</v>
      </c>
      <c r="R50" s="1238">
        <f>RBBD!M35</f>
        <v>0</v>
      </c>
      <c r="S50" s="1238">
        <f>RBBD!N35</f>
        <v>0</v>
      </c>
      <c r="T50" s="1238">
        <f>RBBD!O35</f>
        <v>0</v>
      </c>
      <c r="U50" s="1238">
        <f>RBBD!P35</f>
        <v>0</v>
      </c>
      <c r="V50" s="1238">
        <f>RBBD!Q35</f>
        <v>0</v>
      </c>
      <c r="W50" s="1238">
        <f>RBBD!R35</f>
        <v>0</v>
      </c>
      <c r="X50" s="1238">
        <f>RBBD!S35</f>
        <v>0</v>
      </c>
      <c r="Y50" s="1238">
        <f>RBBD!T35</f>
        <v>0</v>
      </c>
      <c r="Z50" s="65"/>
      <c r="AA50" s="324">
        <f t="shared" si="5"/>
        <v>0</v>
      </c>
    </row>
    <row r="51" spans="2:27" hidden="1">
      <c r="B51" s="1238">
        <f>RBBD!B36</f>
        <v>0</v>
      </c>
      <c r="C51" s="1238">
        <f>RBBD!C36</f>
        <v>0</v>
      </c>
      <c r="D51" s="1238">
        <f>RBBD!D36</f>
        <v>0</v>
      </c>
      <c r="E51" s="1238">
        <f>RBBD!G36</f>
        <v>0</v>
      </c>
      <c r="F51" s="1238">
        <f>RBBD!H36</f>
        <v>0</v>
      </c>
      <c r="G51" s="1238">
        <f>RBBD!E36</f>
        <v>0</v>
      </c>
      <c r="H51" s="1238">
        <f>RBBD!F36</f>
        <v>0</v>
      </c>
      <c r="I51" s="1238">
        <f t="shared" si="2"/>
        <v>0</v>
      </c>
      <c r="J51" s="1238">
        <f t="shared" si="2"/>
        <v>0</v>
      </c>
      <c r="K51" s="1238">
        <f t="shared" si="2"/>
        <v>0</v>
      </c>
      <c r="L51" s="1238">
        <f t="shared" si="2"/>
        <v>0</v>
      </c>
      <c r="M51" s="1238">
        <f t="shared" si="3"/>
        <v>0</v>
      </c>
      <c r="N51" s="1238">
        <f>RBBD!I36</f>
        <v>0</v>
      </c>
      <c r="O51" s="1238">
        <f>RBBD!J36</f>
        <v>0</v>
      </c>
      <c r="P51" s="1238">
        <f>RBBD!K36</f>
        <v>0</v>
      </c>
      <c r="Q51" s="1238">
        <f>RBBD!L36</f>
        <v>0</v>
      </c>
      <c r="R51" s="1238">
        <f>RBBD!M36</f>
        <v>0</v>
      </c>
      <c r="S51" s="1238">
        <f>RBBD!N36</f>
        <v>0</v>
      </c>
      <c r="T51" s="1238">
        <f>RBBD!O36</f>
        <v>0</v>
      </c>
      <c r="U51" s="1238">
        <f>RBBD!P36</f>
        <v>0</v>
      </c>
      <c r="V51" s="1238">
        <f>RBBD!Q36</f>
        <v>0</v>
      </c>
      <c r="W51" s="1238">
        <f>RBBD!R36</f>
        <v>0</v>
      </c>
      <c r="X51" s="1238">
        <f>RBBD!S36</f>
        <v>0</v>
      </c>
      <c r="Y51" s="1238">
        <f>RBBD!T36</f>
        <v>0</v>
      </c>
      <c r="Z51" s="65"/>
      <c r="AA51" s="324">
        <f t="shared" si="5"/>
        <v>0</v>
      </c>
    </row>
    <row r="52" spans="2:27" hidden="1">
      <c r="B52" s="1238">
        <f>RBBD!B37</f>
        <v>0</v>
      </c>
      <c r="C52" s="1238">
        <f>RBBD!C37</f>
        <v>0</v>
      </c>
      <c r="D52" s="1238">
        <f>RBBD!D37</f>
        <v>0</v>
      </c>
      <c r="E52" s="1238">
        <f>RBBD!G37</f>
        <v>0</v>
      </c>
      <c r="F52" s="1238">
        <f>RBBD!H37</f>
        <v>0</v>
      </c>
      <c r="G52" s="1238">
        <f>RBBD!E37</f>
        <v>0</v>
      </c>
      <c r="H52" s="1238">
        <f>RBBD!F37</f>
        <v>0</v>
      </c>
      <c r="I52" s="1238">
        <f t="shared" si="2"/>
        <v>0</v>
      </c>
      <c r="J52" s="1238">
        <f t="shared" si="2"/>
        <v>0</v>
      </c>
      <c r="K52" s="1238">
        <f t="shared" si="2"/>
        <v>0</v>
      </c>
      <c r="L52" s="1238">
        <f t="shared" si="2"/>
        <v>0</v>
      </c>
      <c r="M52" s="1238">
        <f t="shared" si="3"/>
        <v>0</v>
      </c>
      <c r="N52" s="1238">
        <f>RBBD!I37</f>
        <v>0</v>
      </c>
      <c r="O52" s="1238">
        <f>RBBD!J37</f>
        <v>0</v>
      </c>
      <c r="P52" s="1238">
        <f>RBBD!K37</f>
        <v>0</v>
      </c>
      <c r="Q52" s="1238">
        <f>RBBD!L37</f>
        <v>0</v>
      </c>
      <c r="R52" s="1238">
        <f>RBBD!M37</f>
        <v>0</v>
      </c>
      <c r="S52" s="1238">
        <f>RBBD!N37</f>
        <v>0</v>
      </c>
      <c r="T52" s="1238">
        <f>RBBD!O37</f>
        <v>0</v>
      </c>
      <c r="U52" s="1238">
        <f>RBBD!P37</f>
        <v>0</v>
      </c>
      <c r="V52" s="1238">
        <f>RBBD!Q37</f>
        <v>0</v>
      </c>
      <c r="W52" s="1238">
        <f>RBBD!R37</f>
        <v>0</v>
      </c>
      <c r="X52" s="1238">
        <f>RBBD!S37</f>
        <v>0</v>
      </c>
      <c r="Y52" s="1238">
        <f>RBBD!T37</f>
        <v>0</v>
      </c>
      <c r="Z52" s="65"/>
      <c r="AA52" s="324">
        <f t="shared" si="5"/>
        <v>0</v>
      </c>
    </row>
    <row r="53" spans="2:27" hidden="1">
      <c r="B53" s="1238">
        <f>RBBD!B38</f>
        <v>0</v>
      </c>
      <c r="C53" s="1238">
        <f>RBBD!C38</f>
        <v>0</v>
      </c>
      <c r="D53" s="1238">
        <f>RBBD!D38</f>
        <v>0</v>
      </c>
      <c r="E53" s="1238">
        <f>RBBD!G38</f>
        <v>0</v>
      </c>
      <c r="F53" s="1238">
        <f>RBBD!H38</f>
        <v>0</v>
      </c>
      <c r="G53" s="1238">
        <f>RBBD!E38</f>
        <v>0</v>
      </c>
      <c r="H53" s="1238">
        <f>RBBD!F38</f>
        <v>0</v>
      </c>
      <c r="I53" s="1238">
        <f t="shared" si="2"/>
        <v>0</v>
      </c>
      <c r="J53" s="1238">
        <f t="shared" si="2"/>
        <v>0</v>
      </c>
      <c r="K53" s="1238">
        <f t="shared" si="2"/>
        <v>0</v>
      </c>
      <c r="L53" s="1238">
        <f t="shared" si="2"/>
        <v>0</v>
      </c>
      <c r="M53" s="1238">
        <f t="shared" si="3"/>
        <v>0</v>
      </c>
      <c r="N53" s="1238">
        <f>RBBD!I38</f>
        <v>0</v>
      </c>
      <c r="O53" s="1238">
        <f>RBBD!J38</f>
        <v>0</v>
      </c>
      <c r="P53" s="1238">
        <f>RBBD!K38</f>
        <v>0</v>
      </c>
      <c r="Q53" s="1238">
        <f>RBBD!L38</f>
        <v>0</v>
      </c>
      <c r="R53" s="1238">
        <f>RBBD!M38</f>
        <v>0</v>
      </c>
      <c r="S53" s="1238">
        <f>RBBD!N38</f>
        <v>0</v>
      </c>
      <c r="T53" s="1238">
        <f>RBBD!O38</f>
        <v>0</v>
      </c>
      <c r="U53" s="1238">
        <f>RBBD!P38</f>
        <v>0</v>
      </c>
      <c r="V53" s="1238">
        <f>RBBD!Q38</f>
        <v>0</v>
      </c>
      <c r="W53" s="1238">
        <f>RBBD!R38</f>
        <v>0</v>
      </c>
      <c r="X53" s="1238">
        <f>RBBD!S38</f>
        <v>0</v>
      </c>
      <c r="Y53" s="1238">
        <f>RBBD!T38</f>
        <v>0</v>
      </c>
      <c r="Z53" s="65"/>
      <c r="AA53" s="324">
        <f t="shared" si="5"/>
        <v>0</v>
      </c>
    </row>
    <row r="54" spans="2:27" hidden="1">
      <c r="B54" s="1238">
        <f>RBBD!B39</f>
        <v>0</v>
      </c>
      <c r="C54" s="1238">
        <f>RBBD!C39</f>
        <v>0</v>
      </c>
      <c r="D54" s="1238">
        <f>RBBD!D39</f>
        <v>0</v>
      </c>
      <c r="E54" s="1238">
        <f>RBBD!G39</f>
        <v>0</v>
      </c>
      <c r="F54" s="1238">
        <f>RBBD!H39</f>
        <v>0</v>
      </c>
      <c r="G54" s="1238">
        <f>RBBD!E39</f>
        <v>0</v>
      </c>
      <c r="H54" s="1238">
        <f>RBBD!F39</f>
        <v>0</v>
      </c>
      <c r="I54" s="1238">
        <f t="shared" si="2"/>
        <v>0</v>
      </c>
      <c r="J54" s="1238">
        <f t="shared" si="2"/>
        <v>0</v>
      </c>
      <c r="K54" s="1238">
        <f t="shared" si="2"/>
        <v>0</v>
      </c>
      <c r="L54" s="1238">
        <f t="shared" si="2"/>
        <v>0</v>
      </c>
      <c r="M54" s="1238">
        <f t="shared" si="3"/>
        <v>0</v>
      </c>
      <c r="N54" s="1238">
        <f>RBBD!I39</f>
        <v>0</v>
      </c>
      <c r="O54" s="1238">
        <f>RBBD!J39</f>
        <v>0</v>
      </c>
      <c r="P54" s="1238">
        <f>RBBD!K39</f>
        <v>0</v>
      </c>
      <c r="Q54" s="1238">
        <f>RBBD!L39</f>
        <v>0</v>
      </c>
      <c r="R54" s="1238">
        <f>RBBD!M39</f>
        <v>0</v>
      </c>
      <c r="S54" s="1238">
        <f>RBBD!N39</f>
        <v>0</v>
      </c>
      <c r="T54" s="1238">
        <f>RBBD!O39</f>
        <v>0</v>
      </c>
      <c r="U54" s="1238">
        <f>RBBD!P39</f>
        <v>0</v>
      </c>
      <c r="V54" s="1238">
        <f>RBBD!Q39</f>
        <v>0</v>
      </c>
      <c r="W54" s="1238">
        <f>RBBD!R39</f>
        <v>0</v>
      </c>
      <c r="X54" s="1238">
        <f>RBBD!S39</f>
        <v>0</v>
      </c>
      <c r="Y54" s="1238">
        <f>RBBD!T39</f>
        <v>0</v>
      </c>
      <c r="Z54" s="65"/>
      <c r="AA54" s="324">
        <f t="shared" si="5"/>
        <v>0</v>
      </c>
    </row>
    <row r="55" spans="2:27" hidden="1">
      <c r="B55" s="1238">
        <f>RBBD!B40</f>
        <v>0</v>
      </c>
      <c r="C55" s="1238">
        <f>RBBD!C40</f>
        <v>0</v>
      </c>
      <c r="D55" s="1238">
        <f>RBBD!D40</f>
        <v>0</v>
      </c>
      <c r="E55" s="1238">
        <f>RBBD!G40</f>
        <v>0</v>
      </c>
      <c r="F55" s="1238">
        <f>RBBD!H40</f>
        <v>0</v>
      </c>
      <c r="G55" s="1238">
        <f>RBBD!E40</f>
        <v>0</v>
      </c>
      <c r="H55" s="1238">
        <f>RBBD!F40</f>
        <v>0</v>
      </c>
      <c r="I55" s="1238">
        <f t="shared" si="2"/>
        <v>0</v>
      </c>
      <c r="J55" s="1238">
        <f t="shared" si="2"/>
        <v>0</v>
      </c>
      <c r="K55" s="1238">
        <f t="shared" si="2"/>
        <v>0</v>
      </c>
      <c r="L55" s="1238">
        <f t="shared" si="2"/>
        <v>0</v>
      </c>
      <c r="M55" s="1238">
        <f t="shared" si="3"/>
        <v>0</v>
      </c>
      <c r="N55" s="1238">
        <f>RBBD!I40</f>
        <v>0</v>
      </c>
      <c r="O55" s="1238">
        <f>RBBD!J40</f>
        <v>0</v>
      </c>
      <c r="P55" s="1238">
        <f>RBBD!K40</f>
        <v>0</v>
      </c>
      <c r="Q55" s="1238">
        <f>RBBD!L40</f>
        <v>0</v>
      </c>
      <c r="R55" s="1238">
        <f>RBBD!M40</f>
        <v>0</v>
      </c>
      <c r="S55" s="1238">
        <f>RBBD!N40</f>
        <v>0</v>
      </c>
      <c r="T55" s="1238">
        <f>RBBD!O40</f>
        <v>0</v>
      </c>
      <c r="U55" s="1238">
        <f>RBBD!P40</f>
        <v>0</v>
      </c>
      <c r="V55" s="1238">
        <f>RBBD!Q40</f>
        <v>0</v>
      </c>
      <c r="W55" s="1238">
        <f>RBBD!R40</f>
        <v>0</v>
      </c>
      <c r="X55" s="1238">
        <f>RBBD!S40</f>
        <v>0</v>
      </c>
      <c r="Y55" s="1238">
        <f>RBBD!T40</f>
        <v>0</v>
      </c>
      <c r="Z55" s="65"/>
      <c r="AA55" s="324">
        <f t="shared" si="5"/>
        <v>0</v>
      </c>
    </row>
    <row r="56" spans="2:27" hidden="1">
      <c r="B56" s="1238">
        <f>RBBD!B41</f>
        <v>0</v>
      </c>
      <c r="C56" s="1238">
        <f>RBBD!C41</f>
        <v>0</v>
      </c>
      <c r="D56" s="1238">
        <f>RBBD!D41</f>
        <v>0</v>
      </c>
      <c r="E56" s="1238">
        <f>RBBD!G41</f>
        <v>0</v>
      </c>
      <c r="F56" s="1238">
        <f>RBBD!H41</f>
        <v>0</v>
      </c>
      <c r="G56" s="1238">
        <f>RBBD!E41</f>
        <v>0</v>
      </c>
      <c r="H56" s="1238">
        <f>RBBD!F41</f>
        <v>0</v>
      </c>
      <c r="I56" s="1238">
        <f t="shared" si="2"/>
        <v>0</v>
      </c>
      <c r="J56" s="1238">
        <f t="shared" si="2"/>
        <v>0</v>
      </c>
      <c r="K56" s="1238">
        <f t="shared" si="2"/>
        <v>0</v>
      </c>
      <c r="L56" s="1238">
        <f t="shared" si="2"/>
        <v>0</v>
      </c>
      <c r="M56" s="1238">
        <f t="shared" si="3"/>
        <v>0</v>
      </c>
      <c r="N56" s="1238">
        <f>RBBD!I41</f>
        <v>0</v>
      </c>
      <c r="O56" s="1238">
        <f>RBBD!J41</f>
        <v>0</v>
      </c>
      <c r="P56" s="1238">
        <f>RBBD!K41</f>
        <v>0</v>
      </c>
      <c r="Q56" s="1238">
        <f>RBBD!L41</f>
        <v>0</v>
      </c>
      <c r="R56" s="1238">
        <f>RBBD!M41</f>
        <v>0</v>
      </c>
      <c r="S56" s="1238">
        <f>RBBD!N41</f>
        <v>0</v>
      </c>
      <c r="T56" s="1238">
        <f>RBBD!O41</f>
        <v>0</v>
      </c>
      <c r="U56" s="1238">
        <f>RBBD!P41</f>
        <v>0</v>
      </c>
      <c r="V56" s="1238">
        <f>RBBD!Q41</f>
        <v>0</v>
      </c>
      <c r="W56" s="1238">
        <f>RBBD!R41</f>
        <v>0</v>
      </c>
      <c r="X56" s="1238">
        <f>RBBD!S41</f>
        <v>0</v>
      </c>
      <c r="Y56" s="1238">
        <f>RBBD!T41</f>
        <v>0</v>
      </c>
      <c r="Z56" s="65"/>
      <c r="AA56" s="324">
        <f t="shared" si="5"/>
        <v>0</v>
      </c>
    </row>
    <row r="57" spans="2:27" hidden="1">
      <c r="B57" s="1238">
        <f>RBBD!B42</f>
        <v>0</v>
      </c>
      <c r="C57" s="1238">
        <f>RBBD!C42</f>
        <v>0</v>
      </c>
      <c r="D57" s="1238">
        <f>RBBD!D42</f>
        <v>0</v>
      </c>
      <c r="E57" s="1238">
        <f>RBBD!G42</f>
        <v>0</v>
      </c>
      <c r="F57" s="1238">
        <f>RBBD!H42</f>
        <v>0</v>
      </c>
      <c r="G57" s="1238">
        <f>RBBD!E42</f>
        <v>0</v>
      </c>
      <c r="H57" s="1238">
        <f>RBBD!F42</f>
        <v>0</v>
      </c>
      <c r="I57" s="1238">
        <f t="shared" si="2"/>
        <v>0</v>
      </c>
      <c r="J57" s="1238">
        <f t="shared" si="2"/>
        <v>0</v>
      </c>
      <c r="K57" s="1238">
        <f t="shared" si="2"/>
        <v>0</v>
      </c>
      <c r="L57" s="1238">
        <f t="shared" si="2"/>
        <v>0</v>
      </c>
      <c r="M57" s="1238">
        <f t="shared" si="3"/>
        <v>0</v>
      </c>
      <c r="N57" s="1238">
        <f>RBBD!I42</f>
        <v>0</v>
      </c>
      <c r="O57" s="1238">
        <f>RBBD!J42</f>
        <v>0</v>
      </c>
      <c r="P57" s="1238">
        <f>RBBD!K42</f>
        <v>0</v>
      </c>
      <c r="Q57" s="1238">
        <f>RBBD!L42</f>
        <v>0</v>
      </c>
      <c r="R57" s="1238">
        <f>RBBD!M42</f>
        <v>0</v>
      </c>
      <c r="S57" s="1238">
        <f>RBBD!N42</f>
        <v>0</v>
      </c>
      <c r="T57" s="1238">
        <f>RBBD!O42</f>
        <v>0</v>
      </c>
      <c r="U57" s="1238">
        <f>RBBD!P42</f>
        <v>0</v>
      </c>
      <c r="V57" s="1238">
        <f>RBBD!Q42</f>
        <v>0</v>
      </c>
      <c r="W57" s="1238">
        <f>RBBD!R42</f>
        <v>0</v>
      </c>
      <c r="X57" s="1238">
        <f>RBBD!S42</f>
        <v>0</v>
      </c>
      <c r="Y57" s="1238">
        <f>RBBD!T42</f>
        <v>0</v>
      </c>
      <c r="Z57" s="65"/>
      <c r="AA57" s="324">
        <f t="shared" si="5"/>
        <v>0</v>
      </c>
    </row>
    <row r="58" spans="2:27" hidden="1">
      <c r="B58" s="1238">
        <f>RBBD!B43</f>
        <v>0</v>
      </c>
      <c r="C58" s="1238">
        <f>RBBD!C43</f>
        <v>0</v>
      </c>
      <c r="D58" s="1238">
        <f>RBBD!D43</f>
        <v>0</v>
      </c>
      <c r="E58" s="1238">
        <f>RBBD!G43</f>
        <v>0</v>
      </c>
      <c r="F58" s="1238">
        <f>RBBD!H43</f>
        <v>0</v>
      </c>
      <c r="G58" s="1238">
        <f>RBBD!E43</f>
        <v>0</v>
      </c>
      <c r="H58" s="1238">
        <f>RBBD!F43</f>
        <v>0</v>
      </c>
      <c r="I58" s="1238">
        <f t="shared" si="2"/>
        <v>0</v>
      </c>
      <c r="J58" s="1238">
        <f t="shared" si="2"/>
        <v>0</v>
      </c>
      <c r="K58" s="1238">
        <f t="shared" si="2"/>
        <v>0</v>
      </c>
      <c r="L58" s="1238">
        <f t="shared" si="2"/>
        <v>0</v>
      </c>
      <c r="M58" s="1238">
        <f t="shared" si="3"/>
        <v>0</v>
      </c>
      <c r="N58" s="1238">
        <f>RBBD!I43</f>
        <v>0</v>
      </c>
      <c r="O58" s="1238">
        <f>RBBD!J43</f>
        <v>0</v>
      </c>
      <c r="P58" s="1238">
        <f>RBBD!K43</f>
        <v>0</v>
      </c>
      <c r="Q58" s="1238">
        <f>RBBD!L43</f>
        <v>0</v>
      </c>
      <c r="R58" s="1238">
        <f>RBBD!M43</f>
        <v>0</v>
      </c>
      <c r="S58" s="1238">
        <f>RBBD!N43</f>
        <v>0</v>
      </c>
      <c r="T58" s="1238">
        <f>RBBD!O43</f>
        <v>0</v>
      </c>
      <c r="U58" s="1238">
        <f>RBBD!P43</f>
        <v>0</v>
      </c>
      <c r="V58" s="1238">
        <f>RBBD!Q43</f>
        <v>0</v>
      </c>
      <c r="W58" s="1238">
        <f>RBBD!R43</f>
        <v>0</v>
      </c>
      <c r="X58" s="1238">
        <f>RBBD!S43</f>
        <v>0</v>
      </c>
      <c r="Y58" s="1238">
        <f>RBBD!T43</f>
        <v>0</v>
      </c>
      <c r="Z58" s="65"/>
      <c r="AA58" s="324">
        <f t="shared" si="5"/>
        <v>0</v>
      </c>
    </row>
    <row r="59" spans="2:27" hidden="1">
      <c r="B59" s="1238">
        <f>RBBD!B44</f>
        <v>0</v>
      </c>
      <c r="C59" s="1238">
        <f>RBBD!C44</f>
        <v>0</v>
      </c>
      <c r="D59" s="1238">
        <f>RBBD!D44</f>
        <v>0</v>
      </c>
      <c r="E59" s="1238">
        <f>RBBD!G44</f>
        <v>0</v>
      </c>
      <c r="F59" s="1238">
        <f>RBBD!H44</f>
        <v>0</v>
      </c>
      <c r="G59" s="1238">
        <f>RBBD!E44</f>
        <v>0</v>
      </c>
      <c r="H59" s="1238">
        <f>RBBD!F44</f>
        <v>0</v>
      </c>
      <c r="I59" s="1238">
        <f t="shared" si="2"/>
        <v>0</v>
      </c>
      <c r="J59" s="1238">
        <f t="shared" si="2"/>
        <v>0</v>
      </c>
      <c r="K59" s="1238">
        <f t="shared" si="2"/>
        <v>0</v>
      </c>
      <c r="L59" s="1238">
        <f t="shared" si="2"/>
        <v>0</v>
      </c>
      <c r="M59" s="1238">
        <f t="shared" si="3"/>
        <v>0</v>
      </c>
      <c r="N59" s="1238">
        <f>RBBD!I44</f>
        <v>0</v>
      </c>
      <c r="O59" s="1238">
        <f>RBBD!J44</f>
        <v>0</v>
      </c>
      <c r="P59" s="1238">
        <f>RBBD!K44</f>
        <v>0</v>
      </c>
      <c r="Q59" s="1238">
        <f>RBBD!L44</f>
        <v>0</v>
      </c>
      <c r="R59" s="1238">
        <f>RBBD!M44</f>
        <v>0</v>
      </c>
      <c r="S59" s="1238">
        <f>RBBD!N44</f>
        <v>0</v>
      </c>
      <c r="T59" s="1238">
        <f>RBBD!O44</f>
        <v>0</v>
      </c>
      <c r="U59" s="1238">
        <f>RBBD!P44</f>
        <v>0</v>
      </c>
      <c r="V59" s="1238">
        <f>RBBD!Q44</f>
        <v>0</v>
      </c>
      <c r="W59" s="1238">
        <f>RBBD!R44</f>
        <v>0</v>
      </c>
      <c r="X59" s="1238">
        <f>RBBD!S44</f>
        <v>0</v>
      </c>
      <c r="Y59" s="1238">
        <f>RBBD!T44</f>
        <v>0</v>
      </c>
      <c r="Z59" s="65"/>
      <c r="AA59" s="324">
        <f t="shared" si="5"/>
        <v>0</v>
      </c>
    </row>
    <row r="60" spans="2:27" hidden="1">
      <c r="B60" s="1238">
        <f>RBBD!B45</f>
        <v>0</v>
      </c>
      <c r="C60" s="1238">
        <f>RBBD!C45</f>
        <v>0</v>
      </c>
      <c r="D60" s="1238">
        <f>RBBD!D45</f>
        <v>0</v>
      </c>
      <c r="E60" s="1238">
        <f>RBBD!G45</f>
        <v>0</v>
      </c>
      <c r="F60" s="1238">
        <f>RBBD!H45</f>
        <v>0</v>
      </c>
      <c r="G60" s="1238">
        <f>RBBD!E45</f>
        <v>0</v>
      </c>
      <c r="H60" s="1238">
        <f>RBBD!F45</f>
        <v>0</v>
      </c>
      <c r="I60" s="1238">
        <f t="shared" si="2"/>
        <v>0</v>
      </c>
      <c r="J60" s="1238">
        <f t="shared" si="2"/>
        <v>0</v>
      </c>
      <c r="K60" s="1238">
        <f t="shared" si="2"/>
        <v>0</v>
      </c>
      <c r="L60" s="1238">
        <f t="shared" si="2"/>
        <v>0</v>
      </c>
      <c r="M60" s="1238">
        <f t="shared" si="3"/>
        <v>0</v>
      </c>
      <c r="N60" s="1238">
        <f>RBBD!I45</f>
        <v>0</v>
      </c>
      <c r="O60" s="1238">
        <f>RBBD!J45</f>
        <v>0</v>
      </c>
      <c r="P60" s="1238">
        <f>RBBD!K45</f>
        <v>0</v>
      </c>
      <c r="Q60" s="1238">
        <f>RBBD!L45</f>
        <v>0</v>
      </c>
      <c r="R60" s="1238">
        <f>RBBD!M45</f>
        <v>0</v>
      </c>
      <c r="S60" s="1238">
        <f>RBBD!N45</f>
        <v>0</v>
      </c>
      <c r="T60" s="1238">
        <f>RBBD!O45</f>
        <v>0</v>
      </c>
      <c r="U60" s="1238">
        <f>RBBD!P45</f>
        <v>0</v>
      </c>
      <c r="V60" s="1238">
        <f>RBBD!Q45</f>
        <v>0</v>
      </c>
      <c r="W60" s="1238">
        <f>RBBD!R45</f>
        <v>0</v>
      </c>
      <c r="X60" s="1238">
        <f>RBBD!S45</f>
        <v>0</v>
      </c>
      <c r="Y60" s="1238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9" t="s">
        <v>1166</v>
      </c>
      <c r="D62" s="1240"/>
      <c r="E62" s="1240" t="e">
        <f>SUM(I18:I61)/SUM(M18:M61)</f>
        <v>#DIV/0!</v>
      </c>
      <c r="F62" s="1240" t="e">
        <f>SUM(J18:J61)/SUM(M18:M61)</f>
        <v>#DIV/0!</v>
      </c>
      <c r="G62" s="1240" t="e">
        <f>SUM(K18:K61)/SUM(M18:M61)</f>
        <v>#DIV/0!</v>
      </c>
      <c r="H62" s="1240" t="e">
        <f>SUM(L18:L61)/SUM(M18:M61)</f>
        <v>#DIV/0!</v>
      </c>
      <c r="I62" s="1241">
        <f>SUM(I16:I61)</f>
        <v>0</v>
      </c>
      <c r="J62" s="1241">
        <f>SUM(J16:J61)</f>
        <v>0</v>
      </c>
      <c r="K62" s="1241">
        <f>SUM(K16:K61)</f>
        <v>0</v>
      </c>
      <c r="L62" s="1241">
        <f>SUM(L16:L61)</f>
        <v>0</v>
      </c>
      <c r="M62" s="1241">
        <f>SUM(M17:M61)</f>
        <v>0</v>
      </c>
      <c r="N62" s="1241">
        <f>SUM(N18:N61)</f>
        <v>0</v>
      </c>
      <c r="O62" s="1241">
        <f t="shared" ref="O62:Y62" si="6">SUM(O18:O61)</f>
        <v>0</v>
      </c>
      <c r="P62" s="1241">
        <f t="shared" si="6"/>
        <v>0</v>
      </c>
      <c r="Q62" s="1241">
        <f t="shared" si="6"/>
        <v>0</v>
      </c>
      <c r="R62" s="1241">
        <f t="shared" si="6"/>
        <v>0</v>
      </c>
      <c r="S62" s="1241">
        <f t="shared" si="6"/>
        <v>0</v>
      </c>
      <c r="T62" s="1241">
        <f t="shared" si="6"/>
        <v>0</v>
      </c>
      <c r="U62" s="1241">
        <f t="shared" si="6"/>
        <v>0</v>
      </c>
      <c r="V62" s="1241">
        <f t="shared" si="6"/>
        <v>0</v>
      </c>
      <c r="W62" s="1241">
        <f t="shared" si="6"/>
        <v>0</v>
      </c>
      <c r="X62" s="1241">
        <f t="shared" si="6"/>
        <v>0</v>
      </c>
      <c r="Y62" s="1241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1" t="s">
        <v>1167</v>
      </c>
      <c r="C67" s="1231"/>
      <c r="D67" s="1231"/>
      <c r="E67" s="1231"/>
      <c r="F67" s="1231"/>
      <c r="G67" s="1231"/>
      <c r="H67" s="1231"/>
      <c r="I67" s="1231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6"/>
      <c r="E69" s="1242">
        <f>IF(MONTH(E70)=7,E70,0)</f>
        <v>0</v>
      </c>
      <c r="F69" s="1242">
        <f t="shared" ref="F69:P69" si="7">IF(MONTH(F70)=7,F70,0)</f>
        <v>0</v>
      </c>
      <c r="G69" s="1242">
        <f t="shared" si="7"/>
        <v>0</v>
      </c>
      <c r="H69" s="1242">
        <f t="shared" si="7"/>
        <v>0</v>
      </c>
      <c r="I69" s="1242">
        <f t="shared" si="7"/>
        <v>0</v>
      </c>
      <c r="J69" s="1242">
        <f t="shared" si="7"/>
        <v>0</v>
      </c>
      <c r="K69" s="1242">
        <f t="shared" si="7"/>
        <v>0</v>
      </c>
      <c r="L69" s="1242">
        <f t="shared" si="7"/>
        <v>0</v>
      </c>
      <c r="M69" s="1242">
        <f t="shared" si="7"/>
        <v>0</v>
      </c>
      <c r="N69" s="1242">
        <f t="shared" si="7"/>
        <v>0</v>
      </c>
      <c r="O69" s="1242">
        <f t="shared" si="7"/>
        <v>44743</v>
      </c>
      <c r="P69" s="1242">
        <f t="shared" si="7"/>
        <v>0</v>
      </c>
      <c r="Q69" s="770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1168</v>
      </c>
      <c r="E70" s="1243">
        <f>G76</f>
        <v>44440</v>
      </c>
      <c r="F70" s="1243">
        <f>G77</f>
        <v>44470</v>
      </c>
      <c r="G70" s="1243">
        <f>G78</f>
        <v>44501</v>
      </c>
      <c r="H70" s="1243">
        <f>G79</f>
        <v>44531</v>
      </c>
      <c r="I70" s="1243">
        <f>G80</f>
        <v>44562</v>
      </c>
      <c r="J70" s="1243">
        <f>G81</f>
        <v>44593</v>
      </c>
      <c r="K70" s="1243">
        <f>G82</f>
        <v>44621</v>
      </c>
      <c r="L70" s="1243">
        <f>G83</f>
        <v>44652</v>
      </c>
      <c r="M70" s="1243">
        <f>G84</f>
        <v>44682</v>
      </c>
      <c r="N70" s="1243">
        <f>G85</f>
        <v>44713</v>
      </c>
      <c r="O70" s="1243">
        <f>G86</f>
        <v>44743</v>
      </c>
      <c r="P70" s="1243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4" t="s">
        <v>1169</v>
      </c>
      <c r="D71" s="1245">
        <f>SUM(E71:P71)</f>
        <v>0</v>
      </c>
      <c r="E71" s="1246">
        <f>SUMIF($G$76:$G$420,E70,$N$76:$N$420)</f>
        <v>0</v>
      </c>
      <c r="F71" s="1246">
        <f t="shared" ref="F71:P71" si="8">SUMIF($G$76:$G$420,F70,$N$76:$N$420)</f>
        <v>0</v>
      </c>
      <c r="G71" s="1246">
        <f t="shared" si="8"/>
        <v>0</v>
      </c>
      <c r="H71" s="1246">
        <f t="shared" si="8"/>
        <v>0</v>
      </c>
      <c r="I71" s="1246">
        <f t="shared" si="8"/>
        <v>0</v>
      </c>
      <c r="J71" s="1246">
        <f t="shared" si="8"/>
        <v>0</v>
      </c>
      <c r="K71" s="1246">
        <f t="shared" si="8"/>
        <v>0</v>
      </c>
      <c r="L71" s="1246">
        <f t="shared" si="8"/>
        <v>0</v>
      </c>
      <c r="M71" s="1246">
        <f t="shared" si="8"/>
        <v>0</v>
      </c>
      <c r="N71" s="1246">
        <f t="shared" si="8"/>
        <v>0</v>
      </c>
      <c r="O71" s="1246">
        <f t="shared" si="8"/>
        <v>0</v>
      </c>
      <c r="P71" s="1246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4" t="s">
        <v>1170</v>
      </c>
      <c r="D72" s="1245">
        <f>SUM(E72:P72)</f>
        <v>0</v>
      </c>
      <c r="E72" s="1246">
        <f>SUMIF(Indexador!$B$25:$B$48,'Rede Básica + Ajuste'!E70,Indexador!$J$25:$J$48)</f>
        <v>0</v>
      </c>
      <c r="F72" s="1246">
        <f>SUMIF(Indexador!$B$25:$B$48,'Rede Básica + Ajuste'!F70,Indexador!$J$25:$J$48)</f>
        <v>0</v>
      </c>
      <c r="G72" s="1246">
        <f>SUMIF(Indexador!$B$25:$B$48,'Rede Básica + Ajuste'!G70,Indexador!$J$25:$J$48)</f>
        <v>0</v>
      </c>
      <c r="H72" s="1246">
        <f>SUMIF(Indexador!$B$25:$B$48,'Rede Básica + Ajuste'!H70,Indexador!$J$25:$J$48)</f>
        <v>0</v>
      </c>
      <c r="I72" s="1246">
        <f>SUMIF(Indexador!$B$25:$B$48,'Rede Básica + Ajuste'!I70,Indexador!$J$25:$J$48)</f>
        <v>0</v>
      </c>
      <c r="J72" s="1246">
        <f>SUMIF(Indexador!$B$25:$B$48,'Rede Básica + Ajuste'!J70,Indexador!$J$25:$J$48)</f>
        <v>0</v>
      </c>
      <c r="K72" s="1246">
        <f>SUMIF(Indexador!$B$25:$B$48,'Rede Básica + Ajuste'!K70,Indexador!$J$25:$J$48)</f>
        <v>0</v>
      </c>
      <c r="L72" s="1246">
        <f>SUMIF(Indexador!$B$25:$B$48,'Rede Básica + Ajuste'!L70,Indexador!$J$25:$J$48)</f>
        <v>0</v>
      </c>
      <c r="M72" s="1246">
        <f>SUMIF(Indexador!$B$25:$B$48,'Rede Básica + Ajuste'!M70,Indexador!$J$25:$J$48)</f>
        <v>0</v>
      </c>
      <c r="N72" s="1246">
        <f>SUMIF(Indexador!$B$25:$B$48,'Rede Básica + Ajuste'!N70,Indexador!$J$25:$J$48)</f>
        <v>0</v>
      </c>
      <c r="O72" s="1246">
        <f>SUMIF(Indexador!$B$25:$B$48,'Rede Básica + Ajuste'!O70,Indexador!$J$25:$J$48)</f>
        <v>0</v>
      </c>
      <c r="P72" s="1246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2" t="s">
        <v>1171</v>
      </c>
      <c r="K74" s="1823"/>
      <c r="L74" s="1824" t="s">
        <v>1172</v>
      </c>
      <c r="M74" s="1824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5" t="s">
        <v>1154</v>
      </c>
      <c r="D75" s="1826"/>
      <c r="F75" s="270"/>
      <c r="G75" s="1247" t="s">
        <v>647</v>
      </c>
      <c r="H75" s="1248" t="s">
        <v>1173</v>
      </c>
      <c r="I75" s="1248" t="s">
        <v>1174</v>
      </c>
      <c r="J75" s="1249" t="s">
        <v>1175</v>
      </c>
      <c r="K75" s="1249" t="s">
        <v>1176</v>
      </c>
      <c r="L75" s="1249" t="s">
        <v>1175</v>
      </c>
      <c r="M75" s="1249" t="s">
        <v>1176</v>
      </c>
      <c r="N75" s="277" t="s">
        <v>1177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4" t="s">
        <v>1178</v>
      </c>
      <c r="D76" s="1250">
        <f>IF(D18="Ponta",B18,0)</f>
        <v>0</v>
      </c>
      <c r="E76" s="18"/>
      <c r="F76" s="270"/>
      <c r="G76" s="1251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2">
        <f>IF(MONTH(DataRevRea)=7,'Rede Básica + Ajuste'!J76,IF(G76&lt;$Q$69,(SUMIFS($E$18:$E$60,$B$18:$B$60,$D$76,$D$18:$D$60,"Ponta")),(SUMIFS($F$18:$F$60,$B$18:$B$60,$D$76,$D$18:$D$60,"Ponta"))))</f>
        <v>0</v>
      </c>
      <c r="M76" s="1252">
        <f>IF(MONTH(DataRevRea)=7,'Rede Básica + Ajuste'!K76,IF(G76&lt;$Q$69,(SUMIFS($E$18:$E$60,$B$18:$B$60,$D$76,$D$18:$D$60,"Fora Ponta")),(SUMIFS($F$18:$F$60,$B$18:$B$60,$D$76,$D$18:$D$60,"Fora Ponta"))))</f>
        <v>0</v>
      </c>
      <c r="N76" s="1253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4" t="s">
        <v>1179</v>
      </c>
      <c r="E78" s="1255" t="s">
        <v>1180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6" t="str">
        <f>"Cobertura "&amp;YEAR(CAPA!C14)</f>
        <v>Cobertura 2021</v>
      </c>
      <c r="D79" s="1257">
        <f>SUMPRODUCT(H76:H87,J76:J87)</f>
        <v>0</v>
      </c>
      <c r="E79" s="1257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6" t="s">
        <v>1181</v>
      </c>
      <c r="D80" s="1257">
        <f>SUMPRODUCT(H76:H87,L76:L87)</f>
        <v>0</v>
      </c>
      <c r="E80" s="1257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8">
        <f t="shared" si="12"/>
        <v>44774</v>
      </c>
      <c r="H87" s="1259">
        <f>SUMIFS($Y$18:$Y$60,$B$18:$B$60,$D$76,$D$18:$D$60,"Ponta")</f>
        <v>0</v>
      </c>
      <c r="I87" s="1259">
        <f>SUMIFS($Y$18:$Y$60,$B$18:$B$60,$D$76,$D$18:$D$60,"Fora Ponta")</f>
        <v>0</v>
      </c>
      <c r="J87" s="1259">
        <f t="shared" si="9"/>
        <v>0</v>
      </c>
      <c r="K87" s="1259">
        <f t="shared" si="10"/>
        <v>0</v>
      </c>
      <c r="L87" s="1259">
        <f>IF(MONTH(DataRevRea)=7,'Rede Básica + Ajuste'!J87,IF(G87&lt;$Q$69,(SUMIFS($E$18:$E$60,$B$18:$B$60,$D$76,$D$18:$D$60,"Ponta")),(SUMIFS($F$18:$F$60,$B$18:$B$60,$D$76,$D$18:$D$60,"Ponta"))))</f>
        <v>0</v>
      </c>
      <c r="M87" s="1259">
        <f>IF(MONTH(DataRevRea)=7,'Rede Básica + Ajuste'!K87,IF(G87&lt;$Q$69,(SUMIFS($E$18:$E$60,$B$18:$B$60,$D$76,$D$18:$D$60,"Fora Ponta")),(SUMIFS($F$18:$F$60,$B$18:$B$60,$D$76,$D$18:$D$60,"Fora Ponta"))))</f>
        <v>0</v>
      </c>
      <c r="N87" s="1260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2" t="s">
        <v>1171</v>
      </c>
      <c r="K89" s="1823"/>
      <c r="L89" s="1824" t="s">
        <v>1172</v>
      </c>
      <c r="M89" s="1824"/>
      <c r="N89" s="278"/>
    </row>
    <row r="90" spans="2:50" ht="15.75">
      <c r="C90" s="1825" t="s">
        <v>1182</v>
      </c>
      <c r="D90" s="1826"/>
      <c r="F90" s="270"/>
      <c r="G90" s="1247" t="s">
        <v>647</v>
      </c>
      <c r="H90" s="1248" t="s">
        <v>1173</v>
      </c>
      <c r="I90" s="1248" t="s">
        <v>1174</v>
      </c>
      <c r="J90" s="1249" t="s">
        <v>1175</v>
      </c>
      <c r="K90" s="1249" t="s">
        <v>1176</v>
      </c>
      <c r="L90" s="1249" t="s">
        <v>1175</v>
      </c>
      <c r="M90" s="1249" t="s">
        <v>1176</v>
      </c>
      <c r="N90" s="277" t="s">
        <v>1177</v>
      </c>
    </row>
    <row r="91" spans="2:50" ht="15.75">
      <c r="C91" s="1244" t="s">
        <v>1178</v>
      </c>
      <c r="D91" s="1250">
        <f>IF(D18="Ponta",B18,0)</f>
        <v>0</v>
      </c>
      <c r="E91" s="18"/>
      <c r="F91" s="270"/>
      <c r="G91" s="1251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2">
        <f>IF(MONTH(DataRevRea)=7,'Rede Básica + Ajuste'!J91,IF(G91&lt;$Q$69,(SUMIFS($G$18:$G$60,$B$18:$B$60,$D$91,$D$18:$D$60,"Ponta")),(SUMIFS($H$18:$H$60,$B$18:$B$60,$D$91,$D$18:$D$60,"Ponta"))))</f>
        <v>0</v>
      </c>
      <c r="M91" s="1252">
        <f>IF(MONTH(DataRevRea)=7,'Rede Básica + Ajuste'!K91,IF(G91&lt;$Q$69,(SUMIFS($G$18:$G$60,$B$18:$B$60,$D$91,$D$18:$D$60,"Fora Ponta")),(SUMIFS($H$18:$H$60,$B$18:$B$60,$D$91,$D$18:$D$60,"Fora Ponta"))))</f>
        <v>0</v>
      </c>
      <c r="N91" s="1253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4" t="s">
        <v>1179</v>
      </c>
      <c r="E93" s="1255" t="s">
        <v>1180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6" t="str">
        <f>C79</f>
        <v>Cobertura 2021</v>
      </c>
      <c r="D94" s="1257">
        <f>SUMPRODUCT(H91:H102,J91:J102)</f>
        <v>0</v>
      </c>
      <c r="E94" s="1257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6" t="s">
        <v>1181</v>
      </c>
      <c r="D95" s="1257">
        <f>SUMPRODUCT(H91:H102,L91:L102)</f>
        <v>0</v>
      </c>
      <c r="E95" s="1257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8">
        <f t="shared" si="13"/>
        <v>44774</v>
      </c>
      <c r="H102" s="1259">
        <f t="shared" si="13"/>
        <v>0</v>
      </c>
      <c r="I102" s="1259">
        <f t="shared" si="13"/>
        <v>0</v>
      </c>
      <c r="J102" s="1259">
        <f t="shared" si="14"/>
        <v>0</v>
      </c>
      <c r="K102" s="1259">
        <f t="shared" si="15"/>
        <v>0</v>
      </c>
      <c r="L102" s="1259">
        <f>IF(MONTH(DataRevRea)=7,'Rede Básica + Ajuste'!J102,IF(G102&lt;$Q$69,(SUMIFS($G$18:$G$60,$B$18:$B$60,$D$91,$D$18:$D$60,"Ponta")),(SUMIFS($H$18:$H$60,$B$18:$B$60,$D$91,$D$18:$D$60,"Ponta"))))</f>
        <v>0</v>
      </c>
      <c r="M102" s="1259">
        <f>IF(MONTH(DataRevRea)=7,'Rede Básica + Ajuste'!K102,IF(G102&lt;$Q$69,(SUMIFS($G$18:$G$60,$B$18:$B$60,$D$91,$D$18:$D$60,"Fora Ponta")),(SUMIFS($H$18:$H$60,$B$18:$B$60,$D$91,$D$18:$D$60,"Fora Ponta"))))</f>
        <v>0</v>
      </c>
      <c r="N102" s="1260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2" t="s">
        <v>1171</v>
      </c>
      <c r="K104" s="1823"/>
      <c r="L104" s="1824" t="s">
        <v>1172</v>
      </c>
      <c r="M104" s="1824"/>
      <c r="N104" s="278"/>
    </row>
    <row r="105" spans="3:14" ht="15.75">
      <c r="C105" s="1825" t="s">
        <v>1154</v>
      </c>
      <c r="D105" s="1826"/>
      <c r="F105" s="270"/>
      <c r="G105" s="1247" t="s">
        <v>647</v>
      </c>
      <c r="H105" s="1248" t="s">
        <v>1173</v>
      </c>
      <c r="I105" s="1248" t="s">
        <v>1174</v>
      </c>
      <c r="J105" s="1249" t="s">
        <v>1175</v>
      </c>
      <c r="K105" s="1249" t="s">
        <v>1176</v>
      </c>
      <c r="L105" s="1249" t="s">
        <v>1175</v>
      </c>
      <c r="M105" s="1249" t="s">
        <v>1176</v>
      </c>
      <c r="N105" s="277" t="s">
        <v>1177</v>
      </c>
    </row>
    <row r="106" spans="3:14" ht="15.75">
      <c r="C106" s="1244" t="s">
        <v>1178</v>
      </c>
      <c r="D106" s="1261">
        <f>IF(D19="Ponta",B19,0)</f>
        <v>0</v>
      </c>
      <c r="E106" s="18"/>
      <c r="F106" s="270"/>
      <c r="G106" s="1251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2">
        <f>IF(MONTH(DataRevRea)=7,'Rede Básica + Ajuste'!J106,IF(G106&lt;$Q$69,(SUMIFS($E$18:$E$60,$B$18:$B$60,$D$106,$D$18:$D$60,"Ponta")),(SUMIFS($F$18:$F$60,$B$18:$B$60,$D$106,$D$18:$D$60,"Ponta"))))</f>
        <v>0</v>
      </c>
      <c r="M106" s="1252">
        <f>IF(MONTH(DataRevRea)=7,'Rede Básica + Ajuste'!K106,IF(G106&lt;$Q$69,(SUMIFS($E$18:$E$60,$B$18:$B$60,$D$106,$D$18:$D$60,"Fora Ponta")),(SUMIFS($F$18:$F$60,$B$18:$B$60,$D$106,$D$18:$D$60,"Fora Ponta"))))</f>
        <v>0</v>
      </c>
      <c r="N106" s="1253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4" t="s">
        <v>1179</v>
      </c>
      <c r="E108" s="1255" t="s">
        <v>1180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6" t="str">
        <f>C94</f>
        <v>Cobertura 2021</v>
      </c>
      <c r="D109" s="1257">
        <f>SUMPRODUCT(H106:H117,J106:J117)</f>
        <v>0</v>
      </c>
      <c r="E109" s="1257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6" t="s">
        <v>1181</v>
      </c>
      <c r="D110" s="1257">
        <f>SUMPRODUCT(H106:H117,L106:L117)</f>
        <v>0</v>
      </c>
      <c r="E110" s="1257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8">
        <f t="shared" si="17"/>
        <v>44774</v>
      </c>
      <c r="H117" s="1259">
        <f>SUMIFS($Y$18:$Y$60,$B$18:$B$60,$D$106,$D$18:$D$60,"Ponta")</f>
        <v>0</v>
      </c>
      <c r="I117" s="1259">
        <f>SUMIFS($Y$18:$Y$60,$B$18:$B$60,$D$106,$D$18:$D$60,"Fora Ponta")</f>
        <v>0</v>
      </c>
      <c r="J117" s="1259">
        <f t="shared" si="18"/>
        <v>0</v>
      </c>
      <c r="K117" s="1259">
        <f t="shared" si="19"/>
        <v>0</v>
      </c>
      <c r="L117" s="1259">
        <f>IF(MONTH(DataRevRea)=7,'Rede Básica + Ajuste'!J117,IF(G117&lt;$Q$69,(SUMIFS($E$18:$E$60,$B$18:$B$60,$D$106,$D$18:$D$60,"Ponta")),(SUMIFS($F$18:$F$60,$B$18:$B$60,$D$106,$D$18:$D$60,"Ponta"))))</f>
        <v>0</v>
      </c>
      <c r="M117" s="1259">
        <f>IF(MONTH(DataRevRea)=7,'Rede Básica + Ajuste'!K117,IF(G117&lt;$Q$69,(SUMIFS($E$18:$E$60,$B$18:$B$60,$D$106,$D$18:$D$60,"Fora Ponta")),(SUMIFS($F$18:$F$60,$B$18:$B$60,$D$106,$D$18:$D$60,"Fora Ponta"))))</f>
        <v>0</v>
      </c>
      <c r="N117" s="1260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2" t="s">
        <v>1171</v>
      </c>
      <c r="K119" s="1823"/>
      <c r="L119" s="1824" t="s">
        <v>1172</v>
      </c>
      <c r="M119" s="1824"/>
      <c r="N119" s="278"/>
    </row>
    <row r="120" spans="3:14" ht="15.75">
      <c r="C120" s="1825" t="s">
        <v>1182</v>
      </c>
      <c r="D120" s="1826"/>
      <c r="F120" s="270"/>
      <c r="G120" s="1247" t="s">
        <v>647</v>
      </c>
      <c r="H120" s="1248" t="s">
        <v>1173</v>
      </c>
      <c r="I120" s="1248" t="s">
        <v>1174</v>
      </c>
      <c r="J120" s="1249" t="s">
        <v>1175</v>
      </c>
      <c r="K120" s="1249" t="s">
        <v>1176</v>
      </c>
      <c r="L120" s="1249" t="s">
        <v>1175</v>
      </c>
      <c r="M120" s="1249" t="s">
        <v>1176</v>
      </c>
      <c r="N120" s="277" t="s">
        <v>1177</v>
      </c>
    </row>
    <row r="121" spans="3:14" ht="15.75">
      <c r="C121" s="1244" t="s">
        <v>1178</v>
      </c>
      <c r="D121" s="1261">
        <f>IF(D19="Ponta",B19,0)</f>
        <v>0</v>
      </c>
      <c r="E121" s="18"/>
      <c r="F121" s="270"/>
      <c r="G121" s="1251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2">
        <f>IF(MONTH(DataRevRea)=7,'Rede Básica + Ajuste'!J121,IF(G121&lt;$Q$69,(SUMIFS($G$18:$G$60,$B$18:$B$60,$D$121,$D$18:$D$60,"Ponta")),(SUMIFS($H$18:$H$60,$B$18:$B$60,$D$121,$D$18:$D$60,"Ponta"))))</f>
        <v>0</v>
      </c>
      <c r="M121" s="1252">
        <f>IF(MONTH(DataRevRea)=7,'Rede Básica + Ajuste'!K121,IF(G121&lt;$Q$69,(SUMIFS($G$18:$G$60,$B$18:$B$60,$D$121,$D$18:$D$60,"Fora Ponta")),(SUMIFS($H$18:$H$60,$B$18:$B$60,$D$121,$D$18:$D$60,"Fora Ponta"))))</f>
        <v>0</v>
      </c>
      <c r="N121" s="1253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4" t="s">
        <v>1179</v>
      </c>
      <c r="E123" s="1255" t="s">
        <v>1180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6" t="str">
        <f>C109</f>
        <v>Cobertura 2021</v>
      </c>
      <c r="D124" s="1257">
        <f>SUMPRODUCT(H121:H132,J121:J132)</f>
        <v>0</v>
      </c>
      <c r="E124" s="1257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6" t="s">
        <v>1181</v>
      </c>
      <c r="D125" s="1257">
        <f>SUMPRODUCT(H121:H132,L121:L132)</f>
        <v>0</v>
      </c>
      <c r="E125" s="1257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8">
        <f t="shared" si="21"/>
        <v>44774</v>
      </c>
      <c r="H132" s="1259">
        <f t="shared" si="21"/>
        <v>0</v>
      </c>
      <c r="I132" s="1259">
        <f t="shared" si="21"/>
        <v>0</v>
      </c>
      <c r="J132" s="1259">
        <f t="shared" si="22"/>
        <v>0</v>
      </c>
      <c r="K132" s="1259">
        <f t="shared" si="23"/>
        <v>0</v>
      </c>
      <c r="L132" s="1259">
        <f>IF(MONTH(DataRevRea)=7,'Rede Básica + Ajuste'!J132,IF(G132&lt;$Q$69,(SUMIFS($G$18:$G$60,$B$18:$B$60,$D$121,$D$18:$D$60,"Ponta")),(SUMIFS($H$18:$H$60,$B$18:$B$60,$D$121,$D$18:$D$60,"Ponta"))))</f>
        <v>0</v>
      </c>
      <c r="M132" s="1259">
        <f>IF(MONTH(DataRevRea)=7,'Rede Básica + Ajuste'!K132,IF(G132&lt;$Q$69,(SUMIFS($G$18:$G$60,$B$18:$B$60,$D$121,$D$18:$D$60,"Fora Ponta")),(SUMIFS($H$18:$H$60,$B$18:$B$60,$D$121,$D$18:$D$60,"Fora Ponta"))))</f>
        <v>0</v>
      </c>
      <c r="N132" s="1260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2" t="s">
        <v>1171</v>
      </c>
      <c r="K134" s="1823"/>
      <c r="L134" s="1824" t="s">
        <v>1172</v>
      </c>
      <c r="M134" s="1824"/>
      <c r="N134" s="278"/>
    </row>
    <row r="135" spans="3:14" ht="15.75">
      <c r="C135" s="1825" t="s">
        <v>1154</v>
      </c>
      <c r="D135" s="1826"/>
      <c r="F135" s="270"/>
      <c r="G135" s="1247" t="s">
        <v>647</v>
      </c>
      <c r="H135" s="1248" t="s">
        <v>1173</v>
      </c>
      <c r="I135" s="1248" t="s">
        <v>1174</v>
      </c>
      <c r="J135" s="1249" t="s">
        <v>1175</v>
      </c>
      <c r="K135" s="1249" t="s">
        <v>1176</v>
      </c>
      <c r="L135" s="1249" t="s">
        <v>1175</v>
      </c>
      <c r="M135" s="1249" t="s">
        <v>1176</v>
      </c>
      <c r="N135" s="277" t="s">
        <v>1177</v>
      </c>
    </row>
    <row r="136" spans="3:14" ht="15.75">
      <c r="C136" s="1244" t="s">
        <v>1178</v>
      </c>
      <c r="D136" s="1261">
        <f>IF(D20="Ponta",B20,0)</f>
        <v>0</v>
      </c>
      <c r="E136" s="18"/>
      <c r="F136" s="270"/>
      <c r="G136" s="1251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2">
        <f>IF(MONTH(DataRevRea)=7,'Rede Básica + Ajuste'!J136,IF(G136&lt;$Q$69,(SUMIFS($E$18:$E$60,$B$18:$B$60,$D$136,$D$18:$D$60,"Ponta")),(SUMIFS($F$18:$F$60,$B$18:$B$60,$D$136,$D$18:$D$60,"Ponta"))))</f>
        <v>0</v>
      </c>
      <c r="M136" s="1252">
        <f>IF(MONTH(DataRevRea)=7,'Rede Básica + Ajuste'!K136,IF(G136&lt;$Q$69,(SUMIFS($E$18:$E$60,$B$18:$B$60,$D$136,$D$18:$D$60,"Fora Ponta")),(SUMIFS($F$18:$F$60,$B$18:$B$60,$D$136,$D$18:$D$60,"Fora Ponta"))))</f>
        <v>0</v>
      </c>
      <c r="N136" s="1253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4" t="s">
        <v>1179</v>
      </c>
      <c r="E138" s="1255" t="s">
        <v>1180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6" t="str">
        <f>C124</f>
        <v>Cobertura 2021</v>
      </c>
      <c r="D139" s="1257">
        <f>SUMPRODUCT(H136:H147,J136:J147)</f>
        <v>0</v>
      </c>
      <c r="E139" s="1257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6" t="s">
        <v>1181</v>
      </c>
      <c r="D140" s="1257">
        <f>SUMPRODUCT(H136:H147,L136:L147)</f>
        <v>0</v>
      </c>
      <c r="E140" s="1257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8">
        <f t="shared" si="25"/>
        <v>44774</v>
      </c>
      <c r="H147" s="1259">
        <f>SUMIFS($Y$18:$Y$60,$B$18:$B$60,$D$136,$D$18:$D$60,"Ponta")</f>
        <v>0</v>
      </c>
      <c r="I147" s="1259">
        <f>SUMIFS($Y$18:$Y$60,$B$18:$B$60,$D$136,$D$18:$D$60,"Fora Ponta")</f>
        <v>0</v>
      </c>
      <c r="J147" s="1259">
        <f t="shared" si="26"/>
        <v>0</v>
      </c>
      <c r="K147" s="1259">
        <f t="shared" si="27"/>
        <v>0</v>
      </c>
      <c r="L147" s="1259">
        <f>IF(MONTH(DataRevRea)=7,'Rede Básica + Ajuste'!J147,IF(G147&lt;$Q$69,(SUMIFS($E$18:$E$60,$B$18:$B$60,$D$136,$D$18:$D$60,"Ponta")),(SUMIFS($F$18:$F$60,$B$18:$B$60,$D$136,$D$18:$D$60,"Ponta"))))</f>
        <v>0</v>
      </c>
      <c r="M147" s="1259">
        <f>IF(MONTH(DataRevRea)=7,'Rede Básica + Ajuste'!K147,IF(G147&lt;$Q$69,(SUMIFS($E$18:$E$60,$B$18:$B$60,$D$136,$D$18:$D$60,"Fora Ponta")),(SUMIFS($F$18:$F$60,$B$18:$B$60,$D$136,$D$18:$D$60,"Fora Ponta"))))</f>
        <v>0</v>
      </c>
      <c r="N147" s="1260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2" t="s">
        <v>1171</v>
      </c>
      <c r="K149" s="1823"/>
      <c r="L149" s="1824" t="s">
        <v>1172</v>
      </c>
      <c r="M149" s="1824"/>
      <c r="N149" s="278"/>
    </row>
    <row r="150" spans="3:14" ht="15.75">
      <c r="C150" s="1825" t="s">
        <v>1182</v>
      </c>
      <c r="D150" s="1826"/>
      <c r="F150" s="270"/>
      <c r="G150" s="1247" t="s">
        <v>647</v>
      </c>
      <c r="H150" s="1248" t="s">
        <v>1173</v>
      </c>
      <c r="I150" s="1248" t="s">
        <v>1174</v>
      </c>
      <c r="J150" s="1249" t="s">
        <v>1175</v>
      </c>
      <c r="K150" s="1249" t="s">
        <v>1176</v>
      </c>
      <c r="L150" s="1249" t="s">
        <v>1175</v>
      </c>
      <c r="M150" s="1249" t="s">
        <v>1176</v>
      </c>
      <c r="N150" s="277" t="s">
        <v>1177</v>
      </c>
    </row>
    <row r="151" spans="3:14" ht="15.75">
      <c r="C151" s="1244" t="s">
        <v>1178</v>
      </c>
      <c r="D151" s="1261">
        <f>IF(D20="Ponta",B20,0)</f>
        <v>0</v>
      </c>
      <c r="E151" s="18"/>
      <c r="F151" s="270"/>
      <c r="G151" s="1251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2">
        <f>IF(MONTH(DataRevRea)=7,'Rede Básica + Ajuste'!J151,IF(G151&lt;$Q$69,(SUMIFS($G$18:$G$60,$B$18:$B$60,$D$151,$D$18:$D$60,"Ponta")),(SUMIFS($H$18:$H$60,$B$18:$B$60,$D$151,$D$18:$D$60,"Ponta"))))</f>
        <v>0</v>
      </c>
      <c r="M151" s="1252">
        <f>IF(MONTH(DataRevRea)=7,'Rede Básica + Ajuste'!K151,IF(G151&lt;$Q$69,(SUMIFS($G$18:$G$60,$B$18:$B$60,$D$151,$D$18:$D$60,"Fora Ponta")),(SUMIFS($H$18:$H$60,$B$18:$B$60,$D$151,$D$18:$D$60,"Fora Ponta"))))</f>
        <v>0</v>
      </c>
      <c r="N151" s="1253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4" t="s">
        <v>1179</v>
      </c>
      <c r="E153" s="1255" t="s">
        <v>1180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6" t="str">
        <f>C139</f>
        <v>Cobertura 2021</v>
      </c>
      <c r="D154" s="1257">
        <f>SUMPRODUCT(H151:H162,J151:J162)</f>
        <v>0</v>
      </c>
      <c r="E154" s="1257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6" t="s">
        <v>1181</v>
      </c>
      <c r="D155" s="1257">
        <f>SUMPRODUCT(H151:H162,L151:L162)</f>
        <v>0</v>
      </c>
      <c r="E155" s="1257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8">
        <f t="shared" si="29"/>
        <v>44774</v>
      </c>
      <c r="H162" s="1259">
        <f t="shared" si="29"/>
        <v>0</v>
      </c>
      <c r="I162" s="1259">
        <f t="shared" si="29"/>
        <v>0</v>
      </c>
      <c r="J162" s="1259">
        <f t="shared" si="30"/>
        <v>0</v>
      </c>
      <c r="K162" s="1259">
        <f t="shared" si="31"/>
        <v>0</v>
      </c>
      <c r="L162" s="1259">
        <f>IF(MONTH(DataRevRea)=7,'Rede Básica + Ajuste'!J162,IF(G162&lt;$Q$69,(SUMIFS($G$18:$G$60,$B$18:$B$60,$D$151,$D$18:$D$60,"Ponta")),(SUMIFS($H$18:$H$60,$B$18:$B$60,$D$151,$D$18:$D$60,"Ponta"))))</f>
        <v>0</v>
      </c>
      <c r="M162" s="1259">
        <f>IF(MONTH(DataRevRea)=7,'Rede Básica + Ajuste'!K162,IF(G162&lt;$Q$69,(SUMIFS($G$18:$G$60,$B$18:$B$60,$D$151,$D$18:$D$60,"Fora Ponta")),(SUMIFS($H$18:$H$60,$B$18:$B$60,$D$151,$D$18:$D$60,"Fora Ponta"))))</f>
        <v>0</v>
      </c>
      <c r="N162" s="1260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2" t="s">
        <v>1171</v>
      </c>
      <c r="K164" s="1823"/>
      <c r="L164" s="1824" t="s">
        <v>1172</v>
      </c>
      <c r="M164" s="1824"/>
      <c r="N164" s="278"/>
    </row>
    <row r="165" spans="3:14" ht="15.75">
      <c r="C165" s="1825" t="s">
        <v>1154</v>
      </c>
      <c r="D165" s="1826"/>
      <c r="F165" s="270"/>
      <c r="G165" s="1247" t="s">
        <v>647</v>
      </c>
      <c r="H165" s="1248" t="s">
        <v>1173</v>
      </c>
      <c r="I165" s="1248" t="s">
        <v>1174</v>
      </c>
      <c r="J165" s="1249" t="s">
        <v>1175</v>
      </c>
      <c r="K165" s="1249" t="s">
        <v>1176</v>
      </c>
      <c r="L165" s="1249" t="s">
        <v>1175</v>
      </c>
      <c r="M165" s="1249" t="s">
        <v>1176</v>
      </c>
      <c r="N165" s="277" t="s">
        <v>1177</v>
      </c>
    </row>
    <row r="166" spans="3:14" ht="15.75">
      <c r="C166" s="1244" t="s">
        <v>1178</v>
      </c>
      <c r="D166" s="1261">
        <f>IF(D21="Ponta",B21,0)</f>
        <v>0</v>
      </c>
      <c r="E166" s="18"/>
      <c r="F166" s="270"/>
      <c r="G166" s="1251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2">
        <f>IF(MONTH(DataRevRea)=7,'Rede Básica + Ajuste'!J166,IF(G166&lt;$Q$69,(SUMIFS($E$18:$E$60,$B$18:$B$60,$D$166,$D$18:$D$60,"Ponta")),(SUMIFS($F$18:$F$60,$B$18:$B$60,$D$166,$D$18:$D$60,"Ponta"))))</f>
        <v>0</v>
      </c>
      <c r="M166" s="1252">
        <f>IF(MONTH(DataRevRea)=7,'Rede Básica + Ajuste'!K166,IF(G166&lt;$Q$69,(SUMIFS($E$18:$E$60,$B$18:$B$60,$D$166,$D$18:$D$60,"Fora Ponta")),(SUMIFS($F$18:$F$60,$B$18:$B$60,$D$166,$D$18:$D$60,"Fora Ponta"))))</f>
        <v>0</v>
      </c>
      <c r="N166" s="1253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4" t="s">
        <v>1179</v>
      </c>
      <c r="E168" s="1255" t="s">
        <v>1180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6" t="str">
        <f>C154</f>
        <v>Cobertura 2021</v>
      </c>
      <c r="D169" s="1257">
        <f>SUMPRODUCT(H166:H177,J166:J177)</f>
        <v>0</v>
      </c>
      <c r="E169" s="1257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6" t="s">
        <v>1181</v>
      </c>
      <c r="D170" s="1257">
        <f>SUMPRODUCT(H166:H177,L166:L177)</f>
        <v>0</v>
      </c>
      <c r="E170" s="1257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8">
        <f t="shared" si="33"/>
        <v>44774</v>
      </c>
      <c r="H177" s="1259">
        <f>SUMIFS($Y$18:$Y$60,$B$18:$B$60,$D$166,$D$18:$D$60,"Ponta")</f>
        <v>0</v>
      </c>
      <c r="I177" s="1259">
        <f>SUMIFS($Y$18:$Y$60,$B$18:$B$60,$D$166,$D$18:$D$60,"Fora Ponta")</f>
        <v>0</v>
      </c>
      <c r="J177" s="1259">
        <f t="shared" si="34"/>
        <v>0</v>
      </c>
      <c r="K177" s="1259">
        <f t="shared" si="35"/>
        <v>0</v>
      </c>
      <c r="L177" s="1259">
        <f>IF(MONTH(DataRevRea)=7,'Rede Básica + Ajuste'!J177,IF(G177&lt;$Q$69,(SUMIFS($E$18:$E$60,$B$18:$B$60,$D$166,$D$18:$D$60,"Ponta")),(SUMIFS($F$18:$F$60,$B$18:$B$60,$D$166,$D$18:$D$60,"Ponta"))))</f>
        <v>0</v>
      </c>
      <c r="M177" s="1259">
        <f>IF(MONTH(DataRevRea)=7,'Rede Básica + Ajuste'!K177,IF(G177&lt;$Q$69,(SUMIFS($E$18:$E$60,$B$18:$B$60,$D$166,$D$18:$D$60,"Fora Ponta")),(SUMIFS($F$18:$F$60,$B$18:$B$60,$D$166,$D$18:$D$60,"Fora Ponta"))))</f>
        <v>0</v>
      </c>
      <c r="N177" s="1260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2" t="s">
        <v>1171</v>
      </c>
      <c r="K179" s="1823"/>
      <c r="L179" s="1824" t="s">
        <v>1172</v>
      </c>
      <c r="M179" s="1824"/>
      <c r="N179" s="278"/>
    </row>
    <row r="180" spans="3:14" ht="15.75">
      <c r="C180" s="1825" t="s">
        <v>1182</v>
      </c>
      <c r="D180" s="1826"/>
      <c r="F180" s="270"/>
      <c r="G180" s="1247" t="s">
        <v>647</v>
      </c>
      <c r="H180" s="1248" t="s">
        <v>1173</v>
      </c>
      <c r="I180" s="1248" t="s">
        <v>1174</v>
      </c>
      <c r="J180" s="1249" t="s">
        <v>1175</v>
      </c>
      <c r="K180" s="1249" t="s">
        <v>1176</v>
      </c>
      <c r="L180" s="1249" t="s">
        <v>1175</v>
      </c>
      <c r="M180" s="1249" t="s">
        <v>1176</v>
      </c>
      <c r="N180" s="277" t="s">
        <v>1177</v>
      </c>
    </row>
    <row r="181" spans="3:14" ht="15.75">
      <c r="C181" s="1244" t="s">
        <v>1178</v>
      </c>
      <c r="D181" s="1261">
        <f>IF(D21="Ponta",B21,0)</f>
        <v>0</v>
      </c>
      <c r="E181" s="18"/>
      <c r="F181" s="270"/>
      <c r="G181" s="1251">
        <f>G166</f>
        <v>44440</v>
      </c>
      <c r="H181" s="272">
        <f>H166</f>
        <v>0</v>
      </c>
      <c r="I181" s="272">
        <f>I166</f>
        <v>0</v>
      </c>
      <c r="J181" s="1252">
        <f>SUMIFS($G$18:$G$60,$B$18:$B$60,$D$181,$D$18:$D$60,"Ponta")</f>
        <v>0</v>
      </c>
      <c r="K181" s="1252">
        <f>SUMIFS($G$18:$G$60,$B$18:$B$60,$D$181,$D$18:$D$60,"Fora Ponta")</f>
        <v>0</v>
      </c>
      <c r="L181" s="1252">
        <f>IF(MONTH(DataRevRea)=7,'Rede Básica + Ajuste'!J181,IF(G181&lt;$Q$69,(SUMIFS($G$18:$G$60,$B$18:$B$60,$D$181,$D$18:$D$60,"Ponta")),(SUMIFS($H$18:$H$60,$B$18:$B$60,$D$181,$D$18:$D$60,"Ponta"))))</f>
        <v>0</v>
      </c>
      <c r="M181" s="1252">
        <f>IF(MONTH(DataRevRea)=7,'Rede Básica + Ajuste'!K181,IF(G181&lt;$Q$69,(SUMIFS($G$18:$G$60,$B$18:$B$60,$D$181,$D$18:$D$60,"Fora Ponta")),(SUMIFS($H$18:$H$60,$B$18:$B$60,$D$181,$D$18:$D$60,"Fora Ponta"))))</f>
        <v>0</v>
      </c>
      <c r="N181" s="1253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4" t="s">
        <v>1179</v>
      </c>
      <c r="E183" s="1255" t="s">
        <v>1180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6" t="str">
        <f>C169</f>
        <v>Cobertura 2021</v>
      </c>
      <c r="D184" s="1257">
        <f>SUMPRODUCT(H181:H192,J181:J192)</f>
        <v>0</v>
      </c>
      <c r="E184" s="1257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6" t="s">
        <v>1181</v>
      </c>
      <c r="D185" s="1257">
        <f>SUMPRODUCT(H181:H192,L181:L192)</f>
        <v>0</v>
      </c>
      <c r="E185" s="1257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8">
        <f t="shared" si="37"/>
        <v>44774</v>
      </c>
      <c r="H192" s="1259">
        <f t="shared" si="37"/>
        <v>0</v>
      </c>
      <c r="I192" s="1259">
        <f t="shared" si="37"/>
        <v>0</v>
      </c>
      <c r="J192" s="1259">
        <f t="shared" si="38"/>
        <v>0</v>
      </c>
      <c r="K192" s="1259">
        <f t="shared" si="39"/>
        <v>0</v>
      </c>
      <c r="L192" s="1259">
        <f>IF(MONTH(DataRevRea)=7,'Rede Básica + Ajuste'!J192,IF(G192&lt;$Q$69,(SUMIFS($G$18:$G$60,$B$18:$B$60,$D$181,$D$18:$D$60,"Ponta")),(SUMIFS($H$18:$H$60,$B$18:$B$60,$D$181,$D$18:$D$60,"Ponta"))))</f>
        <v>0</v>
      </c>
      <c r="M192" s="1259">
        <f>IF(MONTH(DataRevRea)=7,'Rede Básica + Ajuste'!K192,IF(G192&lt;$Q$69,(SUMIFS($G$18:$G$60,$B$18:$B$60,$D$181,$D$18:$D$60,"Fora Ponta")),(SUMIFS($H$18:$H$60,$B$18:$B$60,$D$181,$D$18:$D$60,"Fora Ponta"))))</f>
        <v>0</v>
      </c>
      <c r="N192" s="1260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2" t="s">
        <v>1171</v>
      </c>
      <c r="K194" s="1823"/>
      <c r="L194" s="1824" t="s">
        <v>1172</v>
      </c>
      <c r="M194" s="1824"/>
      <c r="N194" s="278"/>
    </row>
    <row r="195" spans="3:14" ht="15.75">
      <c r="C195" s="1825" t="s">
        <v>1154</v>
      </c>
      <c r="D195" s="1826"/>
      <c r="F195" s="270"/>
      <c r="G195" s="1247" t="s">
        <v>647</v>
      </c>
      <c r="H195" s="1248" t="s">
        <v>1173</v>
      </c>
      <c r="I195" s="1248" t="s">
        <v>1174</v>
      </c>
      <c r="J195" s="1249" t="s">
        <v>1175</v>
      </c>
      <c r="K195" s="1249" t="s">
        <v>1176</v>
      </c>
      <c r="L195" s="1249" t="s">
        <v>1175</v>
      </c>
      <c r="M195" s="1249" t="s">
        <v>1176</v>
      </c>
      <c r="N195" s="277" t="s">
        <v>1177</v>
      </c>
    </row>
    <row r="196" spans="3:14" ht="15.75">
      <c r="C196" s="1244" t="s">
        <v>1178</v>
      </c>
      <c r="D196" s="1261">
        <f>IF(D22="Ponta",B22,0)</f>
        <v>0</v>
      </c>
      <c r="E196" s="18"/>
      <c r="F196" s="270"/>
      <c r="G196" s="1251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2">
        <f>SUMIFS($E$18:$E$60,$B$18:$B$60,$D$196,$D$18:$D$60,"Ponta")</f>
        <v>0</v>
      </c>
      <c r="K196" s="1252">
        <f>SUMIFS($E$18:$E$60,$B$18:$B$60,$D$196,$D$18:$D$60,"Fora Ponta")</f>
        <v>0</v>
      </c>
      <c r="L196" s="1252">
        <f>IF(MONTH(DataRevRea)=7,'Rede Básica + Ajuste'!J196,IF(G196&lt;$Q$69,(SUMIFS($E$18:$E$60,$B$18:$B$60,$D$196,$D$18:$D$60,"Ponta")),(SUMIFS($F$18:$F$60,$B$18:$B$60,$D$196,$D$18:$D$60,"Ponta"))))</f>
        <v>0</v>
      </c>
      <c r="M196" s="1252">
        <f>IF(MONTH(DataRevRea)=7,'Rede Básica + Ajuste'!K196,IF(G196&lt;$Q$69,(SUMIFS($E$18:$E$60,$B$18:$B$60,$D$196,$D$18:$D$60,"Fora Ponta")),(SUMIFS($F$18:$F$60,$B$18:$B$60,$D$196,$D$18:$D$60,"Fora Ponta"))))</f>
        <v>0</v>
      </c>
      <c r="N196" s="1253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4" t="s">
        <v>1179</v>
      </c>
      <c r="E198" s="1255" t="s">
        <v>1180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6" t="str">
        <f>C184</f>
        <v>Cobertura 2021</v>
      </c>
      <c r="D199" s="1257">
        <f>SUMPRODUCT(H196:H207,J196:J207)</f>
        <v>0</v>
      </c>
      <c r="E199" s="1257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6" t="s">
        <v>1181</v>
      </c>
      <c r="D200" s="1257">
        <f>SUMPRODUCT(H196:H207,L196:L207)</f>
        <v>0</v>
      </c>
      <c r="E200" s="1257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8">
        <f t="shared" si="41"/>
        <v>44774</v>
      </c>
      <c r="H207" s="1259">
        <f>SUMIFS($Y$18:$Y$60,$B$18:$B$60,$D$196,$D$18:$D$60,"Ponta")</f>
        <v>0</v>
      </c>
      <c r="I207" s="1259">
        <f>SUMIFS($Y$18:$Y$60,$B$18:$B$60,$D$196,$D$18:$D$60,"Fora Ponta")</f>
        <v>0</v>
      </c>
      <c r="J207" s="1259">
        <f t="shared" si="42"/>
        <v>0</v>
      </c>
      <c r="K207" s="1259">
        <f t="shared" si="43"/>
        <v>0</v>
      </c>
      <c r="L207" s="1259">
        <f>IF(MONTH(DataRevRea)=7,'Rede Básica + Ajuste'!J207,IF(G207&lt;$Q$69,(SUMIFS($E$18:$E$60,$B$18:$B$60,$D$196,$D$18:$D$60,"Ponta")),(SUMIFS($F$18:$F$60,$B$18:$B$60,$D$196,$D$18:$D$60,"Ponta"))))</f>
        <v>0</v>
      </c>
      <c r="M207" s="1259">
        <f>IF(MONTH(DataRevRea)=7,'Rede Básica + Ajuste'!K207,IF(G207&lt;$Q$69,(SUMIFS($E$18:$E$60,$B$18:$B$60,$D$196,$D$18:$D$60,"Fora Ponta")),(SUMIFS($F$18:$F$60,$B$18:$B$60,$D$196,$D$18:$D$60,"Fora Ponta"))))</f>
        <v>0</v>
      </c>
      <c r="N207" s="1260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2" t="s">
        <v>1171</v>
      </c>
      <c r="K209" s="1823"/>
      <c r="L209" s="1824" t="s">
        <v>1172</v>
      </c>
      <c r="M209" s="1824"/>
      <c r="N209" s="278"/>
    </row>
    <row r="210" spans="3:14" ht="15.75">
      <c r="C210" s="1825" t="s">
        <v>1182</v>
      </c>
      <c r="D210" s="1826"/>
      <c r="F210" s="270"/>
      <c r="G210" s="1247" t="s">
        <v>647</v>
      </c>
      <c r="H210" s="1248" t="s">
        <v>1173</v>
      </c>
      <c r="I210" s="1248" t="s">
        <v>1174</v>
      </c>
      <c r="J210" s="1249" t="s">
        <v>1175</v>
      </c>
      <c r="K210" s="1249" t="s">
        <v>1176</v>
      </c>
      <c r="L210" s="1249" t="s">
        <v>1175</v>
      </c>
      <c r="M210" s="1249" t="s">
        <v>1176</v>
      </c>
      <c r="N210" s="277" t="s">
        <v>1177</v>
      </c>
    </row>
    <row r="211" spans="3:14" ht="15.75">
      <c r="C211" s="1244" t="s">
        <v>1178</v>
      </c>
      <c r="D211" s="1261">
        <f>IF(D22="Ponta",B22,0)</f>
        <v>0</v>
      </c>
      <c r="E211" s="18"/>
      <c r="F211" s="270"/>
      <c r="G211" s="1251">
        <f>G196</f>
        <v>44440</v>
      </c>
      <c r="H211" s="272">
        <f>H196</f>
        <v>0</v>
      </c>
      <c r="I211" s="272">
        <f>I196</f>
        <v>0</v>
      </c>
      <c r="J211" s="1252">
        <f>SUMIFS($G$18:$G$60,$B$18:$B$60,$D$211,$D$18:$D$60,"Ponta")</f>
        <v>0</v>
      </c>
      <c r="K211" s="1252">
        <f>SUMIFS($G$18:$G$60,$B$18:$B$60,$D$211,$D$18:$D$60,"Fora Ponta")</f>
        <v>0</v>
      </c>
      <c r="L211" s="1252">
        <f>IF(MONTH(DataRevRea)=7,'Rede Básica + Ajuste'!J211,IF(G211&lt;$Q$69,(SUMIFS($G$18:$G$60,$B$18:$B$60,$D$211,$D$18:$D$60,"Ponta")),(SUMIFS($H$18:$H$60,$B$18:$B$60,$D$211,$D$18:$D$60,"Ponta"))))</f>
        <v>0</v>
      </c>
      <c r="M211" s="1252">
        <f>IF(MONTH(DataRevRea)=7,'Rede Básica + Ajuste'!K211,IF(G211&lt;$Q$69,(SUMIFS($G$18:$G$60,$B$18:$B$60,$D$211,$D$18:$D$60,"Fora Ponta")),(SUMIFS($H$18:$H$60,$B$18:$B$60,$D$211,$D$18:$D$60,"Fora Ponta"))))</f>
        <v>0</v>
      </c>
      <c r="N211" s="1253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4" t="s">
        <v>1179</v>
      </c>
      <c r="E213" s="1255" t="s">
        <v>1180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6" t="str">
        <f>C199</f>
        <v>Cobertura 2021</v>
      </c>
      <c r="D214" s="1257">
        <f>SUMPRODUCT(H211:H222,J211:J222)</f>
        <v>0</v>
      </c>
      <c r="E214" s="1257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6" t="s">
        <v>1181</v>
      </c>
      <c r="D215" s="1257">
        <f>SUMPRODUCT(H211:H222,L211:L222)</f>
        <v>0</v>
      </c>
      <c r="E215" s="1257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8">
        <f t="shared" si="45"/>
        <v>44774</v>
      </c>
      <c r="H222" s="1259">
        <f t="shared" si="45"/>
        <v>0</v>
      </c>
      <c r="I222" s="1259">
        <f t="shared" si="45"/>
        <v>0</v>
      </c>
      <c r="J222" s="1259">
        <f t="shared" si="46"/>
        <v>0</v>
      </c>
      <c r="K222" s="1259">
        <f t="shared" si="47"/>
        <v>0</v>
      </c>
      <c r="L222" s="1259">
        <f>IF(MONTH(DataRevRea)=7,'Rede Básica + Ajuste'!J222,IF(G222&lt;$Q$69,(SUMIFS($G$18:$G$60,$B$18:$B$60,$D$211,$D$18:$D$60,"Ponta")),(SUMIFS($H$18:$H$60,$B$18:$B$60,$D$211,$D$18:$D$60,"Ponta"))))</f>
        <v>0</v>
      </c>
      <c r="M222" s="1259">
        <f>IF(MONTH(DataRevRea)=7,'Rede Básica + Ajuste'!K222,IF(G222&lt;$Q$69,(SUMIFS($G$18:$G$60,$B$18:$B$60,$D$211,$D$18:$D$60,"Fora Ponta")),(SUMIFS($H$18:$H$60,$B$18:$B$60,$D$211,$D$18:$D$60,"Fora Ponta"))))</f>
        <v>0</v>
      </c>
      <c r="N222" s="1260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5" priority="7" stopIfTrue="1" operator="equal">
      <formula>"d"</formula>
    </cfRule>
  </conditionalFormatting>
  <conditionalFormatting sqref="B16">
    <cfRule type="cellIs" dxfId="114" priority="6" stopIfTrue="1" operator="equal">
      <formula>"d"</formula>
    </cfRule>
  </conditionalFormatting>
  <conditionalFormatting sqref="B18:Y60">
    <cfRule type="cellIs" dxfId="113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1" t="s">
        <v>639</v>
      </c>
      <c r="C1" s="1020"/>
      <c r="D1" s="932"/>
      <c r="E1" s="1228"/>
      <c r="F1" s="1228"/>
      <c r="G1" s="1130" t="s">
        <v>874</v>
      </c>
      <c r="H1" s="1131">
        <f ca="1">LnkTXTIRTEco</f>
        <v>0.1195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1183</v>
      </c>
      <c r="AL1" s="183">
        <v>7947</v>
      </c>
      <c r="AM1" s="182" t="s">
        <v>1184</v>
      </c>
    </row>
    <row r="2" spans="2:39" ht="15" thickBot="1">
      <c r="B2" s="136" t="str">
        <f>CAPA!C9</f>
        <v>Cermoful</v>
      </c>
      <c r="C2" s="70"/>
      <c r="D2" s="70"/>
      <c r="G2" s="120" t="s">
        <v>878</v>
      </c>
      <c r="H2" s="121">
        <f ca="1">LnkTXTIRTTotal</f>
        <v>7.6999999999999999E-2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1185</v>
      </c>
      <c r="AL2" s="185">
        <v>7959</v>
      </c>
      <c r="AM2" s="186" t="s">
        <v>1186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1187</v>
      </c>
      <c r="AL4" s="169">
        <v>7972</v>
      </c>
      <c r="AM4" s="170" t="s">
        <v>1188</v>
      </c>
    </row>
    <row r="5" spans="2:39" ht="29.25" thickBot="1">
      <c r="B5" s="1232" t="s">
        <v>1189</v>
      </c>
      <c r="C5" s="1232" t="s">
        <v>1190</v>
      </c>
      <c r="D5" s="1232" t="s">
        <v>1191</v>
      </c>
      <c r="E5" s="1232" t="s">
        <v>1192</v>
      </c>
      <c r="F5" s="1232" t="s">
        <v>1193</v>
      </c>
      <c r="G5" s="1232" t="s">
        <v>1194</v>
      </c>
      <c r="J5" s="156" t="s">
        <v>1195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1196</v>
      </c>
      <c r="AL5" s="169">
        <v>7973</v>
      </c>
      <c r="AM5" s="170" t="s">
        <v>1197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773</v>
      </c>
      <c r="K6" s="167">
        <v>3</v>
      </c>
      <c r="AK6" s="168" t="s">
        <v>1198</v>
      </c>
      <c r="AL6" s="169">
        <v>7974</v>
      </c>
      <c r="AM6" s="170" t="s">
        <v>1199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1200</v>
      </c>
      <c r="AL7" s="169">
        <v>7977</v>
      </c>
      <c r="AM7" s="170" t="s">
        <v>1201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1202</v>
      </c>
      <c r="AL8" s="169">
        <v>7978</v>
      </c>
      <c r="AM8" s="170" t="s">
        <v>1203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1204</v>
      </c>
      <c r="AL9" s="169">
        <v>7979</v>
      </c>
      <c r="AM9" s="170" t="s">
        <v>1205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1206</v>
      </c>
      <c r="AL10" s="169">
        <v>8047</v>
      </c>
      <c r="AM10" s="170" t="s">
        <v>1207</v>
      </c>
    </row>
    <row r="11" spans="2:39" ht="15" thickBot="1">
      <c r="B11" s="1262" t="s">
        <v>761</v>
      </c>
      <c r="C11" s="1263">
        <f>SUM(C6:C10)</f>
        <v>0</v>
      </c>
      <c r="D11" s="1263">
        <f>SUM(D6:D10)</f>
        <v>0</v>
      </c>
      <c r="E11" s="1264">
        <f>SUM(E6:E10)</f>
        <v>0</v>
      </c>
      <c r="F11" s="1265"/>
      <c r="G11" s="1266">
        <f>SUM(G6:G10)</f>
        <v>0</v>
      </c>
      <c r="AK11" s="168" t="s">
        <v>1208</v>
      </c>
      <c r="AL11" s="169">
        <v>8049</v>
      </c>
      <c r="AM11" s="170" t="s">
        <v>1209</v>
      </c>
    </row>
    <row r="12" spans="2:39" ht="15" thickBot="1">
      <c r="B12" s="164"/>
      <c r="C12" s="163"/>
      <c r="D12" s="1267" t="s">
        <v>1210</v>
      </c>
      <c r="E12" s="1267"/>
      <c r="F12" s="1268">
        <f>IF(MONTH(CAPA!C15)&gt;6,DATE(YEAR(CAPA!C15),6,1),DATE(YEAR(CAPA!C15)-1,6,1))</f>
        <v>44713</v>
      </c>
      <c r="G12" s="187"/>
      <c r="AK12" s="168" t="s">
        <v>1211</v>
      </c>
      <c r="AL12" s="169">
        <v>8050</v>
      </c>
      <c r="AM12" s="170" t="s">
        <v>1212</v>
      </c>
    </row>
    <row r="13" spans="2:39" ht="15" thickBot="1">
      <c r="B13" s="180"/>
      <c r="C13" s="180"/>
      <c r="D13" s="180"/>
      <c r="F13" s="181" t="s">
        <v>1213</v>
      </c>
      <c r="AK13" s="168"/>
      <c r="AL13" s="169"/>
      <c r="AM13" s="170"/>
    </row>
    <row r="14" spans="2:39" ht="15" thickBot="1">
      <c r="B14" s="180"/>
      <c r="C14" s="180"/>
      <c r="AK14" s="168" t="s">
        <v>1214</v>
      </c>
      <c r="AL14" s="169">
        <v>8051</v>
      </c>
      <c r="AM14" s="170" t="s">
        <v>1215</v>
      </c>
    </row>
    <row r="15" spans="2:39" ht="29.25" thickBot="1">
      <c r="B15" s="1232" t="s">
        <v>1189</v>
      </c>
      <c r="C15" s="1232" t="s">
        <v>1190</v>
      </c>
      <c r="D15" s="1232" t="s">
        <v>1216</v>
      </c>
      <c r="E15" s="1232" t="s">
        <v>1217</v>
      </c>
      <c r="F15" s="149"/>
      <c r="AK15" s="168" t="s">
        <v>1218</v>
      </c>
      <c r="AL15" s="169">
        <v>8057</v>
      </c>
      <c r="AM15" s="170" t="s">
        <v>1219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1220</v>
      </c>
      <c r="AL16" s="169">
        <v>8058</v>
      </c>
      <c r="AM16" s="170" t="s">
        <v>1221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1222</v>
      </c>
      <c r="AL17" s="169">
        <v>8220</v>
      </c>
      <c r="AM17" s="170" t="s">
        <v>1223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1224</v>
      </c>
      <c r="AL18" s="169">
        <v>8221</v>
      </c>
      <c r="AM18" s="170" t="s">
        <v>1225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1226</v>
      </c>
      <c r="AL19" s="169">
        <v>8231</v>
      </c>
      <c r="AM19" s="170" t="s">
        <v>1227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1228</v>
      </c>
      <c r="AL20" s="169">
        <v>8261</v>
      </c>
      <c r="AM20" s="170" t="s">
        <v>1229</v>
      </c>
    </row>
    <row r="21" spans="2:39">
      <c r="B21" s="1262" t="s">
        <v>761</v>
      </c>
      <c r="C21" s="1269">
        <f>SUM(C16:C20)</f>
        <v>0</v>
      </c>
      <c r="D21" s="1269">
        <f>SUM(D16:D20)</f>
        <v>0</v>
      </c>
      <c r="E21" s="1269">
        <f>SUM(E16:E20)</f>
        <v>0</v>
      </c>
      <c r="F21" s="149"/>
      <c r="AK21" s="171" t="s">
        <v>1230</v>
      </c>
      <c r="AL21" s="172">
        <v>8263</v>
      </c>
      <c r="AM21" s="173" t="s">
        <v>1231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1" t="s">
        <v>953</v>
      </c>
      <c r="C1" s="1020"/>
      <c r="D1" s="1270"/>
      <c r="E1" s="1271"/>
      <c r="F1" s="1271"/>
      <c r="G1" s="1130" t="s">
        <v>874</v>
      </c>
      <c r="H1" s="1230">
        <f ca="1">LnkTXTIRTEco</f>
        <v>0.1195</v>
      </c>
    </row>
    <row r="2" spans="1:16" ht="46.5" customHeight="1">
      <c r="B2" s="136" t="str">
        <f>CAPA!C9</f>
        <v>Cermoful</v>
      </c>
      <c r="C2" s="70"/>
      <c r="D2" s="70"/>
      <c r="G2" s="120" t="s">
        <v>878</v>
      </c>
      <c r="H2" s="146">
        <f ca="1">LnkTXTIRTTotal</f>
        <v>7.6999999999999999E-2</v>
      </c>
      <c r="I2" s="90" t="s">
        <v>1232</v>
      </c>
    </row>
    <row r="3" spans="1:16">
      <c r="B3" s="1272" t="s">
        <v>1233</v>
      </c>
      <c r="C3" s="1273">
        <f>SUMPRODUCT(J6:J44,H6:H44)</f>
        <v>11589713.29614</v>
      </c>
      <c r="D3" s="73"/>
      <c r="E3" s="1272" t="s">
        <v>1124</v>
      </c>
      <c r="F3" s="68" t="s">
        <v>1234</v>
      </c>
      <c r="G3" s="1274">
        <f>LnkTXTDescTusdAnte</f>
        <v>0</v>
      </c>
      <c r="H3" s="90"/>
      <c r="I3" s="1275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1235</v>
      </c>
      <c r="B5" s="1276" t="s">
        <v>27</v>
      </c>
      <c r="C5" s="1276" t="s">
        <v>21</v>
      </c>
      <c r="D5" s="1276" t="s">
        <v>22</v>
      </c>
      <c r="E5" s="1276" t="s">
        <v>78</v>
      </c>
      <c r="F5" s="1276" t="s">
        <v>818</v>
      </c>
      <c r="G5" s="1276" t="s">
        <v>1236</v>
      </c>
      <c r="H5" s="1276" t="s">
        <v>60</v>
      </c>
      <c r="I5" s="1276" t="s">
        <v>1125</v>
      </c>
      <c r="J5" s="1276" t="s">
        <v>1126</v>
      </c>
      <c r="L5" s="68"/>
      <c r="M5" s="69"/>
    </row>
    <row r="6" spans="1:16">
      <c r="A6" s="68">
        <v>5697</v>
      </c>
      <c r="B6" s="147" t="s">
        <v>2203</v>
      </c>
      <c r="C6" s="147" t="s">
        <v>176</v>
      </c>
      <c r="D6" s="147" t="s">
        <v>179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165327.4</v>
      </c>
      <c r="H6" s="147">
        <f>IF(B6="","",IF(LEFT(D6,7)="Demanda",G6,G6/1000))</f>
        <v>165327.4</v>
      </c>
      <c r="I6" s="147">
        <f>IF(ISERROR(VLOOKUP(CONCATENATE(A6,A41,E6,F6),BD!$H$6:$V$30,14,FALSE)),"",VLOOKUP(CONCATENATE(A6,A41,E6,F6),BD!$H$6:$V$30,14,FALSE))</f>
        <v>13.18</v>
      </c>
      <c r="J6" s="147">
        <f t="shared" ref="J6:J13" si="0">IF(ISERROR(I6*(1-$G$3)),"",I6*(1-$G$3))</f>
        <v>13.18</v>
      </c>
      <c r="L6" s="68"/>
      <c r="M6" s="69"/>
      <c r="N6" s="69"/>
    </row>
    <row r="7" spans="1:16">
      <c r="A7" s="68">
        <v>5697</v>
      </c>
      <c r="B7" s="147" t="s">
        <v>2203</v>
      </c>
      <c r="C7" s="147" t="s">
        <v>176</v>
      </c>
      <c r="D7" s="147" t="s">
        <v>181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97521.2</v>
      </c>
      <c r="H7" s="147">
        <f t="shared" ref="H7:H30" si="3">IF(B7="","",IF(LEFT(D7,7)="Demanda",G7,G7/1000))</f>
        <v>97521.2</v>
      </c>
      <c r="I7" s="147">
        <f>IF(ISERROR(VLOOKUP(CONCATENATE(A7,A42,E7,F7),BD!$H$6:$V$30,14,FALSE)),"",VLOOKUP(CONCATENATE(A7,A42,E7,F7),BD!$H$6:$V$30,14,FALSE))</f>
        <v>23.96</v>
      </c>
      <c r="J7" s="147">
        <f t="shared" si="0"/>
        <v>23.96</v>
      </c>
    </row>
    <row r="8" spans="1:16">
      <c r="A8" s="68">
        <v>5697</v>
      </c>
      <c r="B8" s="147" t="s">
        <v>2203</v>
      </c>
      <c r="C8" s="147" t="s">
        <v>176</v>
      </c>
      <c r="D8" s="147" t="s">
        <v>183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70087532</v>
      </c>
      <c r="H8" s="147">
        <f t="shared" si="3"/>
        <v>70087.532000000007</v>
      </c>
      <c r="I8" s="147">
        <f>IF(ISERROR(VLOOKUP(CONCATENATE(A8,A43,E8,F8),BD!$H$6:$V$30,14,FALSE)),"",VLOOKUP(CONCATENATE(A8,A43,E8,F8),BD!$H$6:$V$30,14,FALSE))</f>
        <v>6.29</v>
      </c>
      <c r="J8" s="147">
        <f t="shared" si="0"/>
        <v>6.29</v>
      </c>
      <c r="L8" s="68"/>
      <c r="M8" s="69"/>
    </row>
    <row r="9" spans="1:16">
      <c r="A9" s="68">
        <v>5697</v>
      </c>
      <c r="B9" s="147" t="s">
        <v>2203</v>
      </c>
      <c r="C9" s="147" t="s">
        <v>176</v>
      </c>
      <c r="D9" s="147" t="s">
        <v>185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4257056</v>
      </c>
      <c r="H9" s="147">
        <f t="shared" si="3"/>
        <v>4257.0559999999996</v>
      </c>
      <c r="I9" s="147">
        <f>IF(ISERROR(VLOOKUP(CONCATENATE(A9,A44,E9,F9),BD!$H$6:$V$30,14,FALSE)),"",VLOOKUP(CONCATENATE(A9,A44,E9,F9),BD!$H$6:$V$30,14,FALSE))</f>
        <v>6.29</v>
      </c>
      <c r="J9" s="147">
        <f t="shared" si="0"/>
        <v>6.29</v>
      </c>
      <c r="L9" s="68"/>
      <c r="M9" s="69"/>
    </row>
    <row r="10" spans="1:16">
      <c r="A10" s="68">
        <v>5697</v>
      </c>
      <c r="B10" s="147" t="s">
        <v>2203</v>
      </c>
      <c r="C10" s="147" t="s">
        <v>2038</v>
      </c>
      <c r="D10" s="147" t="s">
        <v>179</v>
      </c>
      <c r="E10" s="147" t="str">
        <f t="shared" si="1"/>
        <v>Fora Ponta</v>
      </c>
      <c r="F10" s="147" t="str">
        <f t="shared" si="2"/>
        <v>Potência</v>
      </c>
      <c r="G10" s="147">
        <f>IF(B10="","",SUMIFS(Faturas!V:V,Faturas!R:R,CUSD!B10,Faturas!S:S,CUSD!C10,Faturas!U:U,CUSD!D10))</f>
        <v>205388.68000000002</v>
      </c>
      <c r="H10" s="147">
        <f t="shared" si="3"/>
        <v>205388.68000000002</v>
      </c>
      <c r="I10" s="147">
        <f>IF(ISERROR(VLOOKUP(CONCATENATE(A10,A45,E10,F10),BD!$H$6:$V$30,14,FALSE)),"",VLOOKUP(CONCATENATE(A10,A45,E10,F10),BD!$H$6:$V$30,14,FALSE))</f>
        <v>13.88</v>
      </c>
      <c r="J10" s="147">
        <f t="shared" si="0"/>
        <v>13.88</v>
      </c>
      <c r="L10" s="68"/>
      <c r="M10" s="69"/>
    </row>
    <row r="11" spans="1:16">
      <c r="A11" s="68">
        <v>5697</v>
      </c>
      <c r="B11" s="147" t="s">
        <v>2203</v>
      </c>
      <c r="C11" s="147" t="s">
        <v>2038</v>
      </c>
      <c r="D11" s="147" t="s">
        <v>181</v>
      </c>
      <c r="E11" s="147" t="str">
        <f t="shared" si="1"/>
        <v>Ponta</v>
      </c>
      <c r="F11" s="147" t="str">
        <f t="shared" si="2"/>
        <v>Potência</v>
      </c>
      <c r="G11" s="147">
        <f>IF(B11="","",SUMIFS(Faturas!V:V,Faturas!R:R,CUSD!B11,Faturas!S:S,CUSD!C11,Faturas!U:U,CUSD!D11))</f>
        <v>115936.68000000001</v>
      </c>
      <c r="H11" s="147">
        <f t="shared" si="3"/>
        <v>115936.68000000001</v>
      </c>
      <c r="I11" s="147">
        <f>IF(ISERROR(VLOOKUP(CONCATENATE(A11,A46,E11,F11),BD!$H$6:$V$30,14,FALSE)),"",VLOOKUP(CONCATENATE(A11,A46,E11,F11),BD!$H$6:$V$30,14,FALSE))</f>
        <v>24.15</v>
      </c>
      <c r="J11" s="147">
        <f t="shared" ref="J11" si="4">IF(ISERROR(I11*(1-$G$3)),"",I11*(1-$G$3))</f>
        <v>24.15</v>
      </c>
      <c r="L11" s="719"/>
      <c r="M11" s="241"/>
      <c r="N11" s="242"/>
      <c r="O11" s="242"/>
      <c r="P11" s="242"/>
    </row>
    <row r="12" spans="1:16">
      <c r="A12" s="68">
        <v>5697</v>
      </c>
      <c r="B12" s="147" t="s">
        <v>2203</v>
      </c>
      <c r="C12" s="147" t="s">
        <v>2038</v>
      </c>
      <c r="D12" s="147" t="s">
        <v>183</v>
      </c>
      <c r="E12" s="147" t="str">
        <f t="shared" si="1"/>
        <v>Não se aplica</v>
      </c>
      <c r="F12" s="147" t="str">
        <f t="shared" si="2"/>
        <v>Energia</v>
      </c>
      <c r="G12" s="147">
        <f>IF(B12="","",SUMIFS(Faturas!V:V,Faturas!R:R,CUSD!B12,Faturas!S:S,CUSD!C12,Faturas!U:U,CUSD!D12))</f>
        <v>74279468</v>
      </c>
      <c r="H12" s="147">
        <f t="shared" si="3"/>
        <v>74279.467999999993</v>
      </c>
      <c r="I12" s="147">
        <f>IF(ISERROR(VLOOKUP(CONCATENATE(A12,A47,E12,F12),BD!$H$6:$V$30,14,FALSE)),"",VLOOKUP(CONCATENATE(A12,A47,E12,F12),BD!$H$6:$V$30,14,FALSE))</f>
        <v>12.06</v>
      </c>
      <c r="J12" s="147">
        <f t="shared" si="0"/>
        <v>12.06</v>
      </c>
      <c r="N12" s="242"/>
      <c r="O12" s="242"/>
      <c r="P12" s="242"/>
    </row>
    <row r="13" spans="1:16">
      <c r="A13" s="68">
        <v>5697</v>
      </c>
      <c r="B13" s="147" t="s">
        <v>2203</v>
      </c>
      <c r="C13" s="147" t="s">
        <v>2038</v>
      </c>
      <c r="D13" s="147" t="s">
        <v>185</v>
      </c>
      <c r="E13" s="147" t="str">
        <f t="shared" si="1"/>
        <v>Não se aplica</v>
      </c>
      <c r="F13" s="147" t="str">
        <f t="shared" si="2"/>
        <v>Energia</v>
      </c>
      <c r="G13" s="147">
        <f>IF(B13="","",SUMIFS(Faturas!V:V,Faturas!R:R,CUSD!B13,Faturas!S:S,CUSD!C13,Faturas!U:U,CUSD!D13))</f>
        <v>4974019</v>
      </c>
      <c r="H13" s="147">
        <f t="shared" si="3"/>
        <v>4974.0190000000002</v>
      </c>
      <c r="I13" s="147">
        <f>IF(ISERROR(VLOOKUP(CONCATENATE(A13,A48,E13,F13),BD!$H$6:$V$30,14,FALSE)),"",VLOOKUP(CONCATENATE(A13,A48,E13,F13),BD!$H$6:$V$30,14,FALSE))</f>
        <v>12.06</v>
      </c>
      <c r="J13" s="147">
        <f t="shared" si="0"/>
        <v>12.06</v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1237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179</v>
      </c>
      <c r="B36" s="287" t="s">
        <v>1238</v>
      </c>
      <c r="C36" s="287" t="s">
        <v>1239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181</v>
      </c>
      <c r="B37" s="287" t="s">
        <v>894</v>
      </c>
      <c r="C37" s="287" t="s">
        <v>1239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183</v>
      </c>
      <c r="B38" s="287" t="s">
        <v>1240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185</v>
      </c>
      <c r="B39" s="287" t="s">
        <v>1240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A3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A3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A3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A3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E5" zoomScale="115" zoomScaleNormal="115" workbookViewId="0">
      <selection activeCell="I19" sqref="I19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1" t="s">
        <v>744</v>
      </c>
      <c r="C1" s="1227"/>
      <c r="D1" s="1227"/>
      <c r="E1" s="1227"/>
      <c r="F1" s="932"/>
      <c r="G1" s="932"/>
      <c r="H1" s="1130" t="s">
        <v>874</v>
      </c>
      <c r="I1" s="1131">
        <f ca="1">LnkTXTIRTEco</f>
        <v>0.1195</v>
      </c>
      <c r="J1" s="193"/>
      <c r="K1" s="194"/>
    </row>
    <row r="2" spans="1:15" s="195" customFormat="1" ht="27" customHeight="1">
      <c r="B2" s="136" t="str">
        <f>CAPA!C9</f>
        <v>Cermoful</v>
      </c>
      <c r="C2" s="70"/>
      <c r="D2" s="70"/>
      <c r="E2" s="70"/>
      <c r="F2" s="70"/>
      <c r="G2" s="70"/>
      <c r="H2" s="120" t="s">
        <v>878</v>
      </c>
      <c r="I2" s="121">
        <f ca="1">LnkTXTIRTTotal</f>
        <v>7.6999999999999999E-2</v>
      </c>
    </row>
    <row r="3" spans="1:15">
      <c r="B3" s="935" t="s">
        <v>1241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2" t="s">
        <v>72</v>
      </c>
      <c r="F4" s="1232" t="s">
        <v>1242</v>
      </c>
      <c r="H4" s="72"/>
      <c r="I4" s="72"/>
    </row>
    <row r="5" spans="1:15">
      <c r="B5" s="1232" t="s">
        <v>72</v>
      </c>
      <c r="C5" s="1232" t="s">
        <v>37</v>
      </c>
      <c r="E5" s="68" t="s">
        <v>40</v>
      </c>
      <c r="F5" s="115">
        <f>CAPA!D42</f>
        <v>117388.820833768</v>
      </c>
      <c r="H5" s="1828" t="s">
        <v>1243</v>
      </c>
      <c r="I5" s="1828"/>
      <c r="K5" s="1828" t="s">
        <v>1244</v>
      </c>
      <c r="L5" s="1828"/>
      <c r="N5" s="1828" t="s">
        <v>1245</v>
      </c>
      <c r="O5" s="1828"/>
    </row>
    <row r="6" spans="1:15">
      <c r="B6" s="68" t="s">
        <v>40</v>
      </c>
      <c r="C6" s="80">
        <f ca="1">L14</f>
        <v>133762.32262577442</v>
      </c>
      <c r="E6" s="68" t="s">
        <v>41</v>
      </c>
      <c r="F6" s="115">
        <f>CAPA!D43</f>
        <v>7611695.47208001</v>
      </c>
      <c r="H6" s="199" t="s">
        <v>1246</v>
      </c>
      <c r="I6" s="200">
        <f ca="1">FornecimentoE+LivreE-Calc_Mercado!C16</f>
        <v>143563.31399999998</v>
      </c>
      <c r="K6" s="505" t="s">
        <v>746</v>
      </c>
      <c r="L6" s="411">
        <f ca="1">LnkTXTER</f>
        <v>153598.07499999998</v>
      </c>
      <c r="N6" s="201" t="s">
        <v>1247</v>
      </c>
      <c r="O6" s="395">
        <v>1E-14</v>
      </c>
    </row>
    <row r="7" spans="1:15" ht="13.5" customHeight="1">
      <c r="B7" s="68" t="s">
        <v>41</v>
      </c>
      <c r="C7" s="80">
        <f ca="1">I22</f>
        <v>11535786.343379999</v>
      </c>
      <c r="D7" s="196"/>
      <c r="E7" s="68" t="s">
        <v>112</v>
      </c>
      <c r="F7" s="115">
        <f>CAPA!D44</f>
        <v>0</v>
      </c>
      <c r="H7" s="1277" t="s">
        <v>1248</v>
      </c>
      <c r="I7" s="1278">
        <v>14.13</v>
      </c>
      <c r="K7" s="505" t="s">
        <v>1089</v>
      </c>
      <c r="L7" s="411">
        <f ca="1">Energia!M7</f>
        <v>0</v>
      </c>
      <c r="N7" s="201" t="s">
        <v>1249</v>
      </c>
      <c r="O7" s="202">
        <f ca="1">SUM(C12+C6+C9+C10+C8)</f>
        <v>2162311.9494457743</v>
      </c>
    </row>
    <row r="8" spans="1:15">
      <c r="B8" s="68" t="s">
        <v>112</v>
      </c>
      <c r="C8" s="80">
        <v>0</v>
      </c>
      <c r="D8" s="196"/>
      <c r="E8" s="68" t="s">
        <v>769</v>
      </c>
      <c r="F8" s="115">
        <f>CAPA!D45</f>
        <v>0</v>
      </c>
      <c r="K8" s="505" t="s">
        <v>1092</v>
      </c>
      <c r="L8" s="411">
        <f ca="1">LnkTXTPerdas</f>
        <v>8701.0570000000098</v>
      </c>
      <c r="N8" s="201" t="s">
        <v>718</v>
      </c>
      <c r="O8" s="264">
        <f>Resultado!D24</f>
        <v>11589713.29614</v>
      </c>
    </row>
    <row r="9" spans="1:15">
      <c r="B9" s="68" t="s">
        <v>1250</v>
      </c>
      <c r="C9" s="809">
        <f>IFERROR(VLOOKUP("ESS/EER",TabEncargosBancoConsolidados[],2,FALSE),0)</f>
        <v>0</v>
      </c>
      <c r="D9" s="69"/>
      <c r="E9" s="68" t="s">
        <v>47</v>
      </c>
      <c r="F9" s="115">
        <f>CAPA!D46</f>
        <v>1279283.07024</v>
      </c>
      <c r="H9" s="1828" t="s">
        <v>1251</v>
      </c>
      <c r="I9" s="1828"/>
      <c r="K9" s="505" t="s">
        <v>1252</v>
      </c>
      <c r="L9" s="411">
        <f ca="1">SUM(L6:L7,-L8)</f>
        <v>144897.01799999998</v>
      </c>
      <c r="N9" s="201" t="s">
        <v>108</v>
      </c>
      <c r="O9" s="263">
        <f ca="1">Resultado!D33</f>
        <v>22227635.335340325</v>
      </c>
    </row>
    <row r="10" spans="1:15">
      <c r="B10" s="68" t="s">
        <v>47</v>
      </c>
      <c r="C10" s="80">
        <f ca="1">IFERROR(Encargos!I7*I6,0)</f>
        <v>2028549.6268199999</v>
      </c>
      <c r="D10" s="196"/>
      <c r="E10" s="68" t="s">
        <v>49</v>
      </c>
      <c r="F10" s="115">
        <f>CAPA!D48</f>
        <v>0</v>
      </c>
      <c r="H10" s="1279" t="s">
        <v>1253</v>
      </c>
      <c r="I10" s="1280">
        <f ca="1">FornecimentoE_A1+Calc_Mercado!C10+Calc_Mercado!C11+Calc_Mercado!C114+Calc_Mercado!C115</f>
        <v>0</v>
      </c>
      <c r="K10" s="505" t="s">
        <v>1254</v>
      </c>
      <c r="L10" s="411">
        <f ca="1">SUM(L6:L7)</f>
        <v>153598.07499999998</v>
      </c>
      <c r="N10" s="201" t="s">
        <v>1255</v>
      </c>
      <c r="O10" s="202">
        <f>Resultado!D39</f>
        <v>30237728.700547267</v>
      </c>
    </row>
    <row r="11" spans="1:15">
      <c r="B11" s="68" t="s">
        <v>1256</v>
      </c>
      <c r="C11" s="80">
        <v>1E-4</v>
      </c>
      <c r="D11" s="196"/>
      <c r="E11" s="785" t="s">
        <v>2037</v>
      </c>
      <c r="F11" s="1152">
        <f>CAPA!D47</f>
        <v>0</v>
      </c>
      <c r="H11" s="199" t="s">
        <v>1257</v>
      </c>
      <c r="I11" s="139">
        <f ca="1">Calc_Mercado!C12+Calc_Mercado!C13+Calc_Mercado!C14+Calc_Mercado!C116+Calc_Mercado!C117</f>
        <v>90384.587999999989</v>
      </c>
      <c r="K11" s="505" t="s">
        <v>1258</v>
      </c>
      <c r="L11" s="411">
        <f>BD!C32</f>
        <v>0.85299999999999998</v>
      </c>
      <c r="N11" s="201" t="s">
        <v>1259</v>
      </c>
      <c r="O11" s="203">
        <f ca="1">IF(O6=0,0,O6*(SUM(O7:O10)-Q7))</f>
        <v>6.6217389281473372E-7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1260</v>
      </c>
      <c r="I12" s="139">
        <f ca="1">FornecimentoE_BT-Calc_Mercado!C16+Calc_Mercado!C119+Calc_Mercado!C118</f>
        <v>53178.725999999995</v>
      </c>
      <c r="K12" s="505" t="s">
        <v>1261</v>
      </c>
      <c r="L12" s="45">
        <v>4.0000000000000001E-3</v>
      </c>
      <c r="N12" s="201" t="s">
        <v>1262</v>
      </c>
      <c r="O12" s="203">
        <f ca="1">Financeiros!D7</f>
        <v>-2954449.5903607737</v>
      </c>
    </row>
    <row r="13" spans="1:15">
      <c r="B13" s="1281" t="s">
        <v>770</v>
      </c>
      <c r="C13" s="1282">
        <f ca="1">SUM(C6:C12)</f>
        <v>13698098.292925773</v>
      </c>
      <c r="D13" s="196"/>
      <c r="E13" s="1232" t="s">
        <v>72</v>
      </c>
      <c r="F13" s="1232" t="s">
        <v>1242</v>
      </c>
      <c r="H13" s="1283" t="s">
        <v>1263</v>
      </c>
      <c r="I13" s="1284">
        <v>23.38</v>
      </c>
      <c r="K13" s="1285" t="s">
        <v>1264</v>
      </c>
      <c r="L13" s="1286">
        <f ca="1">LnkTXTIParcelaBcomSub+Energia!F19</f>
        <v>30237728.700547267</v>
      </c>
      <c r="N13" s="1287" t="s">
        <v>1265</v>
      </c>
      <c r="O13" s="1288">
        <f ca="1">O12*O6+O11</f>
        <v>6.3262939691112602E-7</v>
      </c>
    </row>
    <row r="14" spans="1:15">
      <c r="E14" s="68" t="s">
        <v>40</v>
      </c>
      <c r="F14" s="1289">
        <f>BD!C37</f>
        <v>110061.32112423937</v>
      </c>
      <c r="H14" s="257" t="s">
        <v>1266</v>
      </c>
      <c r="I14" s="815">
        <v>31.67</v>
      </c>
      <c r="K14" s="1290" t="s">
        <v>40</v>
      </c>
      <c r="L14" s="1291">
        <f ca="1">L12*1/L11*L9/L10*L13</f>
        <v>133762.32262577442</v>
      </c>
    </row>
    <row r="15" spans="1:15">
      <c r="E15" s="68" t="s">
        <v>41</v>
      </c>
      <c r="F15" s="80">
        <f>BD!C35</f>
        <v>6261016.5447000023</v>
      </c>
      <c r="H15" s="1292" t="s">
        <v>1267</v>
      </c>
      <c r="I15" s="1293">
        <v>37.700000000000003</v>
      </c>
    </row>
    <row r="16" spans="1:15">
      <c r="E16" s="68" t="s">
        <v>112</v>
      </c>
      <c r="F16" s="80">
        <v>0</v>
      </c>
      <c r="H16" s="1186" t="s">
        <v>1268</v>
      </c>
      <c r="I16" s="1284">
        <v>55.4</v>
      </c>
      <c r="K16" s="1828" t="s">
        <v>769</v>
      </c>
      <c r="L16" s="1828"/>
    </row>
    <row r="17" spans="2:14">
      <c r="E17" s="68" t="s">
        <v>769</v>
      </c>
      <c r="F17" s="80">
        <v>0</v>
      </c>
      <c r="H17" s="68" t="s">
        <v>1269</v>
      </c>
      <c r="I17" s="815">
        <v>75.06</v>
      </c>
      <c r="K17" s="1279" t="s">
        <v>2055</v>
      </c>
      <c r="L17" s="1280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864900.57734000031</v>
      </c>
      <c r="G18" s="107"/>
      <c r="H18" s="785" t="s">
        <v>1270</v>
      </c>
      <c r="I18" s="1293">
        <v>89.35</v>
      </c>
      <c r="K18" s="199" t="s">
        <v>2058</v>
      </c>
      <c r="L18" s="139">
        <f>C9-L17</f>
        <v>0</v>
      </c>
    </row>
    <row r="19" spans="2:14">
      <c r="C19" s="107"/>
      <c r="D19" s="107"/>
      <c r="E19" s="785" t="s">
        <v>49</v>
      </c>
      <c r="F19" s="1294">
        <v>0</v>
      </c>
      <c r="G19" s="107"/>
      <c r="H19" s="68" t="s">
        <v>1271</v>
      </c>
      <c r="I19" s="69">
        <f ca="1">IF(CAPA!C10="S/SE/CO",Encargos!I10*Encargos!I16+Encargos!I11*Encargos!I17+Encargos!I12*Encargos!I18,Encargos!I10*Encargos!I13+Encargos!I11*Encargos!I14+Encargos!I12*Encargos!I15)</f>
        <v>11535786.343379999</v>
      </c>
      <c r="K19" s="1232" t="s">
        <v>770</v>
      </c>
      <c r="L19" s="1457">
        <f>SUM(L17:L18)</f>
        <v>0</v>
      </c>
    </row>
    <row r="20" spans="2:14">
      <c r="C20" s="107"/>
      <c r="D20" s="107"/>
      <c r="F20" s="80"/>
      <c r="G20" s="107"/>
      <c r="H20" s="1295" t="s">
        <v>1272</v>
      </c>
      <c r="I20" s="1296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2056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2" t="s">
        <v>2059</v>
      </c>
      <c r="I22" s="1457">
        <f ca="1">I19+I20+I21</f>
        <v>11535786.343379999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5" t="s">
        <v>1273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/>
      <c r="E29" s="196"/>
      <c r="F29" s="196"/>
      <c r="G29" s="196"/>
      <c r="L29" s="191"/>
      <c r="M29" s="192"/>
    </row>
    <row r="30" spans="2:14" ht="16.5" customHeight="1">
      <c r="C30" s="1232" t="s">
        <v>2083</v>
      </c>
      <c r="D30" s="1232" t="s">
        <v>46</v>
      </c>
      <c r="E30" s="1232" t="s">
        <v>40</v>
      </c>
      <c r="F30" s="1232" t="s">
        <v>41</v>
      </c>
      <c r="G30" s="1232" t="s">
        <v>47</v>
      </c>
      <c r="H30" s="1463" t="s">
        <v>2084</v>
      </c>
      <c r="I30" s="1463" t="s">
        <v>2092</v>
      </c>
      <c r="J30" s="1232" t="s">
        <v>1274</v>
      </c>
      <c r="L30" s="1827" t="s">
        <v>1275</v>
      </c>
      <c r="M30" s="1827"/>
      <c r="N30" s="268"/>
    </row>
    <row r="31" spans="2:14">
      <c r="B31" s="267">
        <f>Indexador!B68</f>
        <v>44440</v>
      </c>
      <c r="C31" s="1143">
        <f ca="1">IFERROR(IF(CAPA!$C$113="Não",C47-C62,IF(Indexador!$B68&lt;CAPA!$C$114,0,C47-C62)),0)</f>
        <v>0</v>
      </c>
      <c r="D31" s="1143">
        <f ca="1">IF(CAPA!$C$113="Não",D47-D62,IF(Indexador!$B68&lt;CAPA!$C$114,0,D47-D62))</f>
        <v>0</v>
      </c>
      <c r="E31" s="1143">
        <f ca="1">IF(CAPA!$C$113="Não",E47-E62,IF(Indexador!$B68&lt;CAPA!$C$114,0,E47-E62))</f>
        <v>33.727035946256365</v>
      </c>
      <c r="F31" s="1143">
        <f ca="1">IF(CAPA!$C$113="Não",F47-F62,IF(Indexador!$B68&lt;CAPA!$C$114,0,F47-F62))</f>
        <v>-18412.24163228902</v>
      </c>
      <c r="G31" s="1143">
        <f ca="1">IF(CAPA!$C$113="Não",G47-G62,IF(Indexador!$B68&lt;CAPA!$C$114,0,G47-G62))</f>
        <v>-3606.6207893782412</v>
      </c>
      <c r="H31" s="1143">
        <f ca="1">IF(CAPA!$C$113="Não",H47-H62,IF(Indexador!$B68&lt;CAPA!$C$114,0,H47-H62))</f>
        <v>0</v>
      </c>
      <c r="I31" s="1143">
        <f ca="1">IF(CAPA!$C$113="Não",I47-I62,IF(Indexador!$B68&lt;CAPA!$C$114,0,I47-I62))</f>
        <v>0</v>
      </c>
      <c r="J31" s="1143">
        <f ca="1">IF(CAPA!$C$113="Não",J47-J62,IF(Indexador!$B68&lt;CAPA!$C$114,0,J47-J62))</f>
        <v>-21985.135385720874</v>
      </c>
      <c r="L31" s="68" t="s">
        <v>40</v>
      </c>
      <c r="M31" s="115">
        <f ca="1">Indexador!H80</f>
        <v>-3652.6782808927237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4.4391924052233662</v>
      </c>
      <c r="F32" s="115">
        <f ca="1">IF(CAPA!$C$113="Não",F48-F63,IF(Indexador!$B69&lt;CAPA!$C$114,0,F48-F63))</f>
        <v>-22858.799575697863</v>
      </c>
      <c r="G32" s="115">
        <f ca="1">IF(CAPA!$C$113="Não",G48-G63,IF(Indexador!$B69&lt;CAPA!$C$114,0,G48-G63))</f>
        <v>-4416.5704496901308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-27270.930832982762</v>
      </c>
      <c r="L32" s="68" t="s">
        <v>41</v>
      </c>
      <c r="M32" s="115">
        <f ca="1">Indexador!J80+Indexador!L80</f>
        <v>-349542.0553979844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-72.850783764513835</v>
      </c>
      <c r="F33" s="115">
        <f ca="1">IF(CAPA!$C$113="Não",F49-F64,IF(Indexador!$B70&lt;CAPA!$C$114,0,F49-F64))</f>
        <v>-28170.752691044239</v>
      </c>
      <c r="G33" s="115">
        <f ca="1">IF(CAPA!$C$113="Não",G49-G64,IF(Indexador!$B70&lt;CAPA!$C$114,0,G49-G64))</f>
        <v>-5320.2585720450006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-33563.862046853756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-321.62997687753887</v>
      </c>
      <c r="F34" s="115">
        <f ca="1">IF(CAPA!$C$113="Não",F50-F65,IF(Indexador!$B71&lt;CAPA!$C$114,0,F50-F65))</f>
        <v>-28676.047106308979</v>
      </c>
      <c r="G34" s="115">
        <f ca="1">IF(CAPA!$C$113="Não",G50-G65,IF(Indexador!$B71&lt;CAPA!$C$114,0,G50-G65))</f>
        <v>-5033.4995669612981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-34031.176650147769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-883.8521820681708</v>
      </c>
      <c r="F35" s="115">
        <f ca="1">IF(CAPA!$C$113="Não",F51-F66,IF(Indexador!$B72&lt;CAPA!$C$114,0,F51-F66))</f>
        <v>-29388.3542962434</v>
      </c>
      <c r="G35" s="115">
        <f ca="1">IF(CAPA!$C$113="Não",G51-G66,IF(Indexador!$B72&lt;CAPA!$C$114,0,G51-G66))</f>
        <v>-4312.2383271694562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-34584.444805481005</v>
      </c>
      <c r="L35" s="68" t="s">
        <v>47</v>
      </c>
      <c r="M35" s="115">
        <f ca="1">Indexador!N80</f>
        <v>-61869.648417803073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-1109.9616927184907</v>
      </c>
      <c r="F36" s="115">
        <f ca="1">IF(CAPA!$C$113="Não",F52-F67,IF(Indexador!$B73&lt;CAPA!$C$114,0,F52-F67))</f>
        <v>-42367.879477035021</v>
      </c>
      <c r="G36" s="115">
        <f ca="1">IF(CAPA!$C$113="Não",G52-G67,IF(Indexador!$B73&lt;CAPA!$C$114,0,G52-G67))</f>
        <v>-6441.2814970725885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-49919.122666826006</v>
      </c>
      <c r="L36" s="68" t="s">
        <v>2083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-586.73471296281059</v>
      </c>
      <c r="F37" s="115">
        <f ca="1">IF(CAPA!$C$113="Não",F53-F68,IF(Indexador!$B74&lt;CAPA!$C$114,0,F53-F68))</f>
        <v>-20397.286047324538</v>
      </c>
      <c r="G37" s="115">
        <f ca="1">IF(CAPA!$C$113="Não",G53-G68,IF(Indexador!$B74&lt;CAPA!$C$114,0,G53-G68))</f>
        <v>-3046.9499731531105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-24030.970733440365</v>
      </c>
      <c r="L37" s="785" t="s">
        <v>48</v>
      </c>
      <c r="M37" s="1183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-205.31280387689367</v>
      </c>
      <c r="F38" s="115">
        <f ca="1">IF(CAPA!$C$113="Não",F54-F69,IF(Indexador!$B75&lt;CAPA!$C$114,0,F54-F69))</f>
        <v>-29406.870374395861</v>
      </c>
      <c r="G38" s="115">
        <f ca="1">IF(CAPA!$C$113="Não",G54-G69,IF(Indexador!$B75&lt;CAPA!$C$114,0,G54-G69))</f>
        <v>-5383.7181211503048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-34995.901299422956</v>
      </c>
      <c r="L38" s="71" t="s">
        <v>761</v>
      </c>
      <c r="M38" s="269">
        <f ca="1">SUM(M31:M36)</f>
        <v>-415064.38209668017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311.44242712311279</v>
      </c>
      <c r="F39" s="115">
        <f ca="1">IF(CAPA!$C$113="Não",F55-F70,IF(Indexador!$B76&lt;CAPA!$C$114,0,F55-F70))</f>
        <v>-5181.1812155300286</v>
      </c>
      <c r="G39" s="115">
        <f ca="1">IF(CAPA!$C$113="Não",G55-G70,IF(Indexador!$B76&lt;CAPA!$C$114,0,G55-G70))</f>
        <v>-1534.0720845532342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-6403.8108729601372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-378.07827998642097</v>
      </c>
      <c r="F40" s="115">
        <f ca="1">IF(CAPA!$C$113="Não",F56-F71,IF(Indexador!$B77&lt;CAPA!$C$114,0,F56-F71))</f>
        <v>-48294.625823179143</v>
      </c>
      <c r="G40" s="115">
        <f ca="1">IF(CAPA!$C$113="Não",G56-G71,IF(Indexador!$B77&lt;CAPA!$C$114,0,G56-G71))</f>
        <v>-8714.4213029138773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-57387.12540607946</v>
      </c>
      <c r="L40" s="1827" t="s">
        <v>2091</v>
      </c>
      <c r="M40" s="1827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-164.98729125648242</v>
      </c>
      <c r="F41" s="115">
        <f ca="1">IF(CAPA!$C$113="Não",F57-F72,IF(Indexador!$B78&lt;CAPA!$C$114,0,F57-F72))</f>
        <v>-33338.742623346625</v>
      </c>
      <c r="G41" s="115">
        <f ca="1">IF(CAPA!$C$113="Não",G57-G72,IF(Indexador!$B78&lt;CAPA!$C$114,0,G57-G72))</f>
        <v>-6181.024897487805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-39684.75481209089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2">
        <f ca="1">IFERROR(IF(CAPA!$C$113="Não",C58-C73,IF(Indexador!$B79&lt;CAPA!$C$114,0,C58-C73)),0)</f>
        <v>0</v>
      </c>
      <c r="D42" s="1152">
        <f ca="1">IF(CAPA!$C$113="Não",D58-D73,IF(Indexador!$B79&lt;CAPA!$C$114,0,D58-D73))</f>
        <v>0</v>
      </c>
      <c r="E42" s="1152">
        <f ca="1">IF(CAPA!$C$113="Não",E58-E73,IF(Indexador!$B79&lt;CAPA!$C$114,0,E58-E73))</f>
        <v>-164.98729125648242</v>
      </c>
      <c r="F42" s="1152">
        <f ca="1">IF(CAPA!$C$113="Não",F58-F73,IF(Indexador!$B79&lt;CAPA!$C$114,0,F58-F73))</f>
        <v>-33338.742623346625</v>
      </c>
      <c r="G42" s="1152">
        <f ca="1">IF(CAPA!$C$113="Não",G58-G73,IF(Indexador!$B79&lt;CAPA!$C$114,0,G58-G73))</f>
        <v>-6181.024897487805</v>
      </c>
      <c r="H42" s="1152">
        <f ca="1">IF(CAPA!$C$113="Não",H58-H73,IF(Indexador!$B79&lt;CAPA!$C$114,0,H58-H73))</f>
        <v>0</v>
      </c>
      <c r="I42" s="1152">
        <f ca="1">IF(CAPA!$C$113="Não",I58-I73,IF(Indexador!$B79&lt;CAPA!$C$114,0,I58-I73))</f>
        <v>0</v>
      </c>
      <c r="J42" s="1152">
        <f ca="1">IF(CAPA!$C$113="Não",J58-J73,IF(Indexador!$B79&lt;CAPA!$C$114,0,J58-J73))</f>
        <v>-39684.75481209089</v>
      </c>
      <c r="L42" s="785" t="str">
        <f>I30</f>
        <v>Crédito Pis Cofins</v>
      </c>
      <c r="M42" s="1183">
        <f ca="1">Indexador!R80</f>
        <v>0</v>
      </c>
      <c r="N42" s="80"/>
    </row>
    <row r="43" spans="2:14">
      <c r="L43" s="71" t="s">
        <v>770</v>
      </c>
      <c r="M43" s="269">
        <f ca="1">SUM(M41:M42)</f>
        <v>0</v>
      </c>
    </row>
    <row r="44" spans="2:14">
      <c r="K44" s="140"/>
    </row>
    <row r="45" spans="2:14">
      <c r="C45" s="196" t="s">
        <v>1242</v>
      </c>
      <c r="D45" s="196"/>
      <c r="E45" s="196"/>
      <c r="F45" s="196"/>
      <c r="K45" s="140"/>
    </row>
    <row r="46" spans="2:14" ht="28.5">
      <c r="C46" s="1232" t="s">
        <v>2083</v>
      </c>
      <c r="D46" s="1232" t="s">
        <v>46</v>
      </c>
      <c r="E46" s="1232" t="s">
        <v>40</v>
      </c>
      <c r="F46" s="1232" t="s">
        <v>41</v>
      </c>
      <c r="G46" s="1232" t="s">
        <v>47</v>
      </c>
      <c r="H46" s="1463" t="s">
        <v>2084</v>
      </c>
      <c r="I46" s="1463" t="s">
        <v>2088</v>
      </c>
      <c r="J46" s="1232" t="s">
        <v>1276</v>
      </c>
      <c r="K46" s="140"/>
    </row>
    <row r="47" spans="2:14">
      <c r="B47" s="267">
        <f>Indexador!B37</f>
        <v>44440</v>
      </c>
      <c r="C47" s="1450">
        <f>$F$11/12</f>
        <v>0</v>
      </c>
      <c r="D47" s="1297">
        <f>$F$8/12</f>
        <v>0</v>
      </c>
      <c r="E47" s="1143">
        <f t="shared" ref="E47:E58" si="0">$F$5/12</f>
        <v>9782.4017361473325</v>
      </c>
      <c r="F47" s="115">
        <f t="shared" ref="F47:F58" si="1">$F$6/12</f>
        <v>634307.95600666746</v>
      </c>
      <c r="G47" s="115">
        <f t="shared" ref="G47:G58" si="2">$F$9/12</f>
        <v>106606.92252000001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8">
        <f>SUM(C47:G47)</f>
        <v>750697.28026281483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9782.4017361473325</v>
      </c>
      <c r="F48" s="115">
        <f t="shared" si="1"/>
        <v>634307.95600666746</v>
      </c>
      <c r="G48" s="115">
        <f t="shared" si="2"/>
        <v>106606.92252000001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750697.28026281483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9782.4017361473325</v>
      </c>
      <c r="F49" s="115">
        <f t="shared" si="1"/>
        <v>634307.95600666746</v>
      </c>
      <c r="G49" s="115">
        <f t="shared" si="2"/>
        <v>106606.92252000001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750697.28026281483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9782.4017361473325</v>
      </c>
      <c r="F50" s="115">
        <f t="shared" si="1"/>
        <v>634307.95600666746</v>
      </c>
      <c r="G50" s="115">
        <f t="shared" si="2"/>
        <v>106606.92252000001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750697.28026281483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9782.4017361473325</v>
      </c>
      <c r="F51" s="115">
        <f t="shared" si="1"/>
        <v>634307.95600666746</v>
      </c>
      <c r="G51" s="115">
        <f t="shared" si="2"/>
        <v>106606.92252000001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750697.28026281483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9782.4017361473325</v>
      </c>
      <c r="F52" s="115">
        <f t="shared" si="1"/>
        <v>634307.95600666746</v>
      </c>
      <c r="G52" s="115">
        <f t="shared" si="2"/>
        <v>106606.92252000001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750697.28026281483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9782.4017361473325</v>
      </c>
      <c r="F53" s="115">
        <f t="shared" si="1"/>
        <v>634307.95600666746</v>
      </c>
      <c r="G53" s="115">
        <f t="shared" si="2"/>
        <v>106606.92252000001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750697.28026281483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9782.4017361473325</v>
      </c>
      <c r="F54" s="115">
        <f t="shared" si="1"/>
        <v>634307.95600666746</v>
      </c>
      <c r="G54" s="115">
        <f t="shared" si="2"/>
        <v>106606.92252000001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750697.28026281483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9782.4017361473325</v>
      </c>
      <c r="F55" s="115">
        <f t="shared" si="1"/>
        <v>634307.95600666746</v>
      </c>
      <c r="G55" s="115">
        <f t="shared" si="2"/>
        <v>106606.92252000001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750697.28026281483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9782.4017361473325</v>
      </c>
      <c r="F56" s="115">
        <f t="shared" si="1"/>
        <v>634307.95600666746</v>
      </c>
      <c r="G56" s="115">
        <f t="shared" si="2"/>
        <v>106606.92252000001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750697.28026281483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9782.4017361473325</v>
      </c>
      <c r="F57" s="115">
        <f t="shared" si="1"/>
        <v>634307.95600666746</v>
      </c>
      <c r="G57" s="115">
        <f t="shared" si="2"/>
        <v>106606.92252000001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750697.28026281483</v>
      </c>
    </row>
    <row r="58" spans="2:12">
      <c r="B58" s="267">
        <f>Indexador!B48</f>
        <v>44774</v>
      </c>
      <c r="C58" s="1152">
        <f t="shared" si="3"/>
        <v>0</v>
      </c>
      <c r="D58" s="1299">
        <f t="shared" si="4"/>
        <v>0</v>
      </c>
      <c r="E58" s="1152">
        <f t="shared" si="0"/>
        <v>9782.4017361473325</v>
      </c>
      <c r="F58" s="1152">
        <f t="shared" si="1"/>
        <v>634307.95600666746</v>
      </c>
      <c r="G58" s="1152">
        <f t="shared" si="2"/>
        <v>106606.92252000001</v>
      </c>
      <c r="H58" s="1152">
        <f>IFERROR((VLOOKUP("Parcela B",TabFinanCovid[],4,FALSE)/12),0)</f>
        <v>0</v>
      </c>
      <c r="I58" s="1152">
        <f>IFERROR(VLOOKUP("Créditos de Pis/Cofins",TabFinanNeutralidade[[#All],[Detalhe_Grupo_TARIFA]:[valor]],2,FALSE)/12,0)</f>
        <v>0</v>
      </c>
      <c r="J58" s="1300">
        <f t="shared" si="5"/>
        <v>750697.28026281483</v>
      </c>
    </row>
    <row r="60" spans="2:12">
      <c r="C60" s="68" t="s">
        <v>1277</v>
      </c>
      <c r="L60" s="196">
        <v>42491</v>
      </c>
    </row>
    <row r="61" spans="2:12" ht="28.5">
      <c r="C61" s="1451" t="s">
        <v>2083</v>
      </c>
      <c r="D61" s="1232" t="s">
        <v>46</v>
      </c>
      <c r="E61" s="1232" t="s">
        <v>40</v>
      </c>
      <c r="F61" s="1232" t="s">
        <v>41</v>
      </c>
      <c r="G61" s="1232" t="s">
        <v>47</v>
      </c>
      <c r="H61" s="1463" t="s">
        <v>2084</v>
      </c>
      <c r="I61" s="1463" t="s">
        <v>2086</v>
      </c>
      <c r="J61" s="1232" t="s">
        <v>1276</v>
      </c>
      <c r="L61" s="1232" t="s">
        <v>48</v>
      </c>
    </row>
    <row r="62" spans="2:12">
      <c r="B62" s="267">
        <f t="shared" ref="B62:B73" si="6">B47</f>
        <v>44440</v>
      </c>
      <c r="C62" s="1301">
        <f ca="1">Calc_Mercado!S63</f>
        <v>0</v>
      </c>
      <c r="D62" s="1301">
        <f ca="1">Calc_Mercado!F63</f>
        <v>0</v>
      </c>
      <c r="E62" s="1143">
        <f ca="1">Calc_Mercado!I63</f>
        <v>9748.6747002010761</v>
      </c>
      <c r="F62" s="1289">
        <f ca="1">Calc_Mercado!H63</f>
        <v>652720.19763895648</v>
      </c>
      <c r="G62" s="1289">
        <f ca="1">Calc_Mercado!G63</f>
        <v>110213.54330937825</v>
      </c>
      <c r="H62" s="1464">
        <f ca="1">IFERROR((VLOOKUP("Parcela B",TabFinanCovid[],4,FALSE)/VLOOKUP("Parcela B",TabFinanNeutralidade[],3,FALSE))*Calc_Mercado!T63,0)</f>
        <v>0</v>
      </c>
      <c r="I62" s="1464">
        <f ca="1">Calc_Mercado!U63</f>
        <v>0</v>
      </c>
      <c r="J62" s="1298">
        <f t="shared" ref="J62:J73" ca="1" si="7">SUM(C62:G62)</f>
        <v>772682.41564853571</v>
      </c>
      <c r="L62" s="1301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9777.9625437421091</v>
      </c>
      <c r="F63" s="80">
        <f ca="1">Calc_Mercado!H64</f>
        <v>657166.75558236532</v>
      </c>
      <c r="G63" s="80">
        <f ca="1">Calc_Mercado!G64</f>
        <v>111023.49296969014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777968.2110957976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9855.2525199118463</v>
      </c>
      <c r="F64" s="80">
        <f ca="1">Calc_Mercado!H65</f>
        <v>662478.7086977117</v>
      </c>
      <c r="G64" s="80">
        <f ca="1">Calc_Mercado!G65</f>
        <v>111927.18109204501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784261.14230966859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10104.031713024871</v>
      </c>
      <c r="F65" s="80">
        <f ca="1">Calc_Mercado!H66</f>
        <v>662984.00311297644</v>
      </c>
      <c r="G65" s="80">
        <f ca="1">Calc_Mercado!G66</f>
        <v>111640.42208696131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784728.4569129626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10666.253918215503</v>
      </c>
      <c r="F66" s="80">
        <f ca="1">Calc_Mercado!H67</f>
        <v>663696.31030291086</v>
      </c>
      <c r="G66" s="80">
        <f ca="1">Calc_Mercado!G67</f>
        <v>110919.16084716946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785281.72506829584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10892.363428865823</v>
      </c>
      <c r="F67" s="80">
        <f ca="1">Calc_Mercado!H68</f>
        <v>676675.83548370248</v>
      </c>
      <c r="G67" s="80">
        <f ca="1">Calc_Mercado!G68</f>
        <v>113048.2040170726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800616.40292964084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10369.136449110143</v>
      </c>
      <c r="F68" s="80">
        <f ca="1">Calc_Mercado!H69</f>
        <v>654705.242053992</v>
      </c>
      <c r="G68" s="80">
        <f ca="1">Calc_Mercado!G69</f>
        <v>109653.87249315312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774728.2509962552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9987.7145400242262</v>
      </c>
      <c r="F69" s="80">
        <f ca="1">Calc_Mercado!H70</f>
        <v>663714.82638106332</v>
      </c>
      <c r="G69" s="80">
        <f ca="1">Calc_Mercado!G70</f>
        <v>111990.64064115031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785693.18156223779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9470.9593090242197</v>
      </c>
      <c r="F70" s="80">
        <f ca="1">Calc_Mercado!H71</f>
        <v>639489.13722219749</v>
      </c>
      <c r="G70" s="80">
        <f ca="1">Calc_Mercado!G71</f>
        <v>108140.99460455324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757101.09113577497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10160.480016133753</v>
      </c>
      <c r="F71" s="80">
        <f ca="1">Calc_Mercado!H72</f>
        <v>682602.5818298466</v>
      </c>
      <c r="G71" s="80">
        <f ca="1">Calc_Mercado!G72</f>
        <v>115321.34382291388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808084.40566889429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9947.3890274038149</v>
      </c>
      <c r="F72" s="80">
        <f ca="1">Calc_Mercado!H73</f>
        <v>667646.69863001409</v>
      </c>
      <c r="G72" s="80">
        <f ca="1">Calc_Mercado!G73</f>
        <v>112787.94741748781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790382.03507490573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2">
        <f ca="1">Calc_Mercado!S74</f>
        <v>0</v>
      </c>
      <c r="D73" s="1302">
        <f ca="1">Calc_Mercado!F74</f>
        <v>0</v>
      </c>
      <c r="E73" s="1152">
        <f ca="1">Calc_Mercado!I74</f>
        <v>9947.3890274038149</v>
      </c>
      <c r="F73" s="1294">
        <f ca="1">Calc_Mercado!H74</f>
        <v>667646.69863001409</v>
      </c>
      <c r="G73" s="1294">
        <f ca="1">Calc_Mercado!G74</f>
        <v>112787.94741748781</v>
      </c>
      <c r="H73" s="1294">
        <f ca="1">IFERROR((VLOOKUP("Parcela B",TabFinanCovid[],4,FALSE)/VLOOKUP("Parcela B",TabFinanNeutralidade[],3,FALSE))*Calc_Mercado!T74,0)</f>
        <v>0</v>
      </c>
      <c r="I73" s="1294">
        <f ca="1">Calc_Mercado!U74</f>
        <v>0</v>
      </c>
      <c r="J73" s="1300">
        <f t="shared" ca="1" si="7"/>
        <v>790382.03507490573</v>
      </c>
      <c r="L73" s="1302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P122" zoomScale="88" zoomScaleNormal="88" workbookViewId="0">
      <selection activeCell="AP212" sqref="AP212:AQ215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730</v>
      </c>
      <c r="E2" s="298" t="s">
        <v>731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732</v>
      </c>
    </row>
    <row r="5" spans="2:49" ht="15" customHeight="1">
      <c r="B5" s="299" t="s">
        <v>733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299" t="s">
        <v>734</v>
      </c>
      <c r="K6" s="353" t="s">
        <v>735</v>
      </c>
      <c r="L6" s="303"/>
      <c r="S6" s="353" t="s">
        <v>735</v>
      </c>
      <c r="T6" s="353"/>
      <c r="U6" s="353"/>
      <c r="V6" s="353"/>
      <c r="AC6" s="23" t="str">
        <f>IF(LnkTXTSuprid2="!vazio!","","s")</f>
        <v/>
      </c>
      <c r="AD6" s="23">
        <f>SMALL(N41:N42,1)</f>
        <v>362.95359604932975</v>
      </c>
      <c r="AE6" s="23">
        <f>SMALL(Q41:Q42,1)</f>
        <v>443.84174054939001</v>
      </c>
    </row>
    <row r="7" spans="2:49" ht="18.75" customHeight="1">
      <c r="B7" s="299" t="s">
        <v>736</v>
      </c>
      <c r="K7" s="1051" t="s">
        <v>737</v>
      </c>
      <c r="L7" s="1051" t="s">
        <v>738</v>
      </c>
      <c r="S7" s="1838" t="s">
        <v>739</v>
      </c>
      <c r="T7" s="1838"/>
      <c r="U7" s="1838"/>
      <c r="V7" s="296" t="s">
        <v>740</v>
      </c>
      <c r="W7" s="296" t="s">
        <v>741</v>
      </c>
      <c r="X7" s="60" t="s">
        <v>742</v>
      </c>
    </row>
    <row r="8" spans="2:49" ht="15" customHeight="1">
      <c r="B8" s="301" t="s">
        <v>743</v>
      </c>
      <c r="K8" s="353" t="s">
        <v>744</v>
      </c>
      <c r="L8" s="20">
        <f ca="1">Resultado!E14</f>
        <v>6.1712641267203661E-2</v>
      </c>
      <c r="S8" s="47" t="s">
        <v>745</v>
      </c>
      <c r="T8" s="364">
        <f ca="1">U8/$U$15</f>
        <v>0.29655918096512296</v>
      </c>
      <c r="U8" s="56">
        <f>AU239</f>
        <v>30237728.700547267</v>
      </c>
      <c r="V8" s="61" t="s">
        <v>193</v>
      </c>
      <c r="W8" s="62">
        <f ca="1">T12</f>
        <v>0.23544812054850259</v>
      </c>
      <c r="X8" s="62">
        <f ca="1">W8/(1-$W$10)</f>
        <v>0.30875562960430519</v>
      </c>
    </row>
    <row r="9" spans="2:49" ht="15" customHeight="1">
      <c r="B9" s="301" t="s">
        <v>746</v>
      </c>
      <c r="K9" s="360" t="s">
        <v>718</v>
      </c>
      <c r="L9" s="361">
        <f ca="1">Resultado!E24</f>
        <v>1.4413703040274378E-2</v>
      </c>
      <c r="S9" s="47" t="s">
        <v>747</v>
      </c>
      <c r="T9" s="364">
        <f ca="1">U9/$U$15</f>
        <v>0.21799948650642695</v>
      </c>
      <c r="U9" s="56">
        <f ca="1">AU230</f>
        <v>22227635.335340325</v>
      </c>
      <c r="V9" s="47" t="s">
        <v>748</v>
      </c>
      <c r="W9" s="57">
        <f ca="1">T13</f>
        <v>1.9807779941797311E-3</v>
      </c>
      <c r="X9" s="62">
        <f ca="1">W9/(1-$W$10)</f>
        <v>2.597499420571209E-3</v>
      </c>
      <c r="AD9" s="413"/>
      <c r="AE9" s="413"/>
    </row>
    <row r="10" spans="2:49" ht="27.75" customHeight="1">
      <c r="B10" s="301" t="s">
        <v>749</v>
      </c>
      <c r="K10" s="353" t="s">
        <v>750</v>
      </c>
      <c r="L10" s="25">
        <f ca="1">Resultado!E33</f>
        <v>3.2805936519108795E-3</v>
      </c>
      <c r="S10" s="47" t="s">
        <v>751</v>
      </c>
      <c r="T10" s="364">
        <f ca="1">U10/$U$15</f>
        <v>0.11366713144237145</v>
      </c>
      <c r="U10" s="56">
        <f>AU232</f>
        <v>11589713.29614</v>
      </c>
      <c r="V10" s="1052" t="s">
        <v>752</v>
      </c>
      <c r="W10" s="1053">
        <f ca="1">SUM(W8:W9)</f>
        <v>0.23742889854268232</v>
      </c>
      <c r="X10" s="1053">
        <f ca="1">SUM(X8:X9)</f>
        <v>0.31135312902487638</v>
      </c>
      <c r="AE10" s="413"/>
    </row>
    <row r="11" spans="2:49" ht="15" customHeight="1">
      <c r="B11" s="299" t="s">
        <v>747</v>
      </c>
      <c r="K11" s="353" t="s">
        <v>753</v>
      </c>
      <c r="L11" s="25">
        <f ca="1">Resultado!E39</f>
        <v>4.0084970265376309E-2</v>
      </c>
      <c r="S11" s="1054" t="s">
        <v>744</v>
      </c>
      <c r="T11" s="1055">
        <f ca="1">U11/$U$15</f>
        <v>0.1343453025433963</v>
      </c>
      <c r="U11" s="1056">
        <f ca="1">AU219</f>
        <v>13698098.292825773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754</v>
      </c>
      <c r="K12" s="23" t="s">
        <v>725</v>
      </c>
      <c r="L12" s="19">
        <f ca="1">Resultado!D44</f>
        <v>-4.2538229250274381E-2</v>
      </c>
      <c r="S12" s="47" t="s">
        <v>193</v>
      </c>
      <c r="T12" s="57">
        <f ca="1">Calc_Mercado!J8</f>
        <v>0.23544812054850259</v>
      </c>
      <c r="U12" s="56">
        <f ca="1">T12*U15</f>
        <v>24006730.693785716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725</v>
      </c>
      <c r="K13" s="23" t="s">
        <v>755</v>
      </c>
      <c r="L13" s="19">
        <f ca="1">LnkTXTERFIN</f>
        <v>2.3E-2</v>
      </c>
      <c r="S13" s="47" t="s">
        <v>756</v>
      </c>
      <c r="T13" s="58">
        <f ca="1">Calc_Mercado!J9</f>
        <v>1.9807779941797311E-3</v>
      </c>
      <c r="U13" s="56">
        <f ca="1">T13*U15</f>
        <v>201963.82863312805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757</v>
      </c>
      <c r="K14" s="353" t="s">
        <v>758</v>
      </c>
      <c r="L14" s="361">
        <f>LnkTXTEfeito</f>
        <v>0.1000147813445591</v>
      </c>
      <c r="S14" s="47" t="s">
        <v>759</v>
      </c>
      <c r="T14" s="364">
        <f ca="1">SUM(T12:T13)</f>
        <v>0.23742889854268232</v>
      </c>
      <c r="U14" s="56">
        <f ca="1">SUM(U12:U13)</f>
        <v>24208694.522418845</v>
      </c>
      <c r="V14" s="56"/>
      <c r="AD14" s="23" t="s">
        <v>104</v>
      </c>
      <c r="AE14" s="23" t="s">
        <v>108</v>
      </c>
      <c r="AF14" s="23" t="s">
        <v>718</v>
      </c>
      <c r="AG14" s="23" t="s">
        <v>707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760</v>
      </c>
      <c r="S15" s="1052" t="s">
        <v>761</v>
      </c>
      <c r="T15" s="1057">
        <f ca="1">SUM(T8:T11)+T14</f>
        <v>0.99999999999999989</v>
      </c>
      <c r="U15" s="1058">
        <f ca="1">SUM(U8:U11)/(1-T14)</f>
        <v>101961870.14727221</v>
      </c>
      <c r="V15" s="635"/>
      <c r="AC15" s="23" t="s">
        <v>762</v>
      </c>
      <c r="AD15" s="413">
        <f ca="1">Resultado!C39</f>
        <v>27453667.72604394</v>
      </c>
      <c r="AE15" s="413">
        <f ca="1">Resultado!C33</f>
        <v>21999785.028878268</v>
      </c>
      <c r="AF15" s="413">
        <f ca="1">Resultado!C24</f>
        <v>10588624.163059883</v>
      </c>
      <c r="AG15" s="413">
        <f ca="1">Resultado!C14</f>
        <v>9411909.3534778766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763</v>
      </c>
      <c r="AC16" s="23" t="s">
        <v>764</v>
      </c>
      <c r="AD16" s="413">
        <f>Resultado!D39</f>
        <v>30237728.700547267</v>
      </c>
      <c r="AE16" s="413">
        <f ca="1">Resultado!D33</f>
        <v>22227635.335340325</v>
      </c>
      <c r="AF16" s="413">
        <f>Resultado!D24</f>
        <v>11589713.29614</v>
      </c>
      <c r="AG16" s="413">
        <f ca="1">Resultado!D14</f>
        <v>13698098.292825773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636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765</v>
      </c>
      <c r="S19" s="353" t="s">
        <v>735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634</v>
      </c>
      <c r="S20" s="1836" t="s">
        <v>766</v>
      </c>
      <c r="T20" s="1836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745</v>
      </c>
      <c r="T21" s="55">
        <f ca="1">AX239</f>
        <v>0.3888938098996686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747</v>
      </c>
      <c r="T22" s="55">
        <f ca="1">AX230</f>
        <v>0.28587430875601932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751</v>
      </c>
      <c r="T23" s="55">
        <f ca="1">AX232</f>
        <v>0.14905774848423572</v>
      </c>
      <c r="Z23" s="30" t="s">
        <v>767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768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2.6089604836301832E-2</v>
      </c>
      <c r="AL26" s="353"/>
    </row>
    <row r="27" spans="2:46" ht="15" customHeight="1">
      <c r="S27" s="47" t="s">
        <v>41</v>
      </c>
      <c r="T27" s="55">
        <f ca="1">AX223</f>
        <v>0.14836418256455947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1.7203454592151482E-3</v>
      </c>
      <c r="AD28" s="47"/>
      <c r="AE28" s="392"/>
      <c r="AF28" s="56"/>
      <c r="AL28" s="353"/>
    </row>
    <row r="29" spans="2:46" ht="15" customHeight="1">
      <c r="S29" s="47" t="s">
        <v>769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9" t="s">
        <v>770</v>
      </c>
      <c r="T31" s="1060">
        <f ca="1">SUM(T21:T30)</f>
        <v>1.0000000000000002</v>
      </c>
    </row>
    <row r="36" spans="1:36" ht="15" customHeight="1">
      <c r="N36" s="634" t="s">
        <v>771</v>
      </c>
      <c r="O36" s="634"/>
      <c r="P36" s="1061" t="e">
        <f>VLOOKUP(LnkTXTSigla,Informacoes[],35,FALSE)</f>
        <v>#REF!</v>
      </c>
      <c r="Q36" s="1062">
        <f>DATE(2013,MONTH(DataRevRea),1)</f>
        <v>41518</v>
      </c>
    </row>
    <row r="37" spans="1:36" ht="15" customHeight="1">
      <c r="L37" s="353" t="s">
        <v>735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3"/>
      <c r="M38" s="1064">
        <f t="shared" ref="M38:V38" si="0">DATE(M37,MONTH(DataRevRea),1)</f>
        <v>41518</v>
      </c>
      <c r="N38" s="1064">
        <f t="shared" si="0"/>
        <v>41883</v>
      </c>
      <c r="O38" s="1064">
        <f t="shared" si="0"/>
        <v>42248</v>
      </c>
      <c r="P38" s="1064">
        <f t="shared" si="0"/>
        <v>42614</v>
      </c>
      <c r="Q38" s="1064">
        <f t="shared" si="0"/>
        <v>42979</v>
      </c>
      <c r="R38" s="1064">
        <f t="shared" si="0"/>
        <v>43344</v>
      </c>
      <c r="S38" s="1064">
        <f t="shared" si="0"/>
        <v>43709</v>
      </c>
      <c r="T38" s="1064">
        <f t="shared" si="0"/>
        <v>44075</v>
      </c>
      <c r="U38" s="1064">
        <f t="shared" si="0"/>
        <v>44440</v>
      </c>
      <c r="V38" s="1064">
        <f t="shared" si="0"/>
        <v>44805</v>
      </c>
      <c r="W38" s="1064" t="s">
        <v>705</v>
      </c>
    </row>
    <row r="39" spans="1:36" ht="15" customHeight="1">
      <c r="L39" s="65" t="str">
        <f>CAPA!C9</f>
        <v>Cermoful</v>
      </c>
      <c r="M39" s="401">
        <f>SUMIF(TAbtarifasb1[[#All],[Sigla]],LnkTXTSigla,TAbtarifasb1[[#All],[2013]])</f>
        <v>340.76</v>
      </c>
      <c r="N39" s="401">
        <f>SUMIF(TAbtarifasb1[[#All],[Sigla]],LnkTXTSigla,TAbtarifasb1[[#All],[2014]])</f>
        <v>300.83000000000004</v>
      </c>
      <c r="O39" s="401">
        <f>SUMIF(TAbtarifasb1[[#All],[Sigla]],LnkTXTSigla,TAbtarifasb1[[#All],[2015]])</f>
        <v>367.03999999999996</v>
      </c>
      <c r="P39" s="411">
        <f>SUMIF(TAbtarifasb1[[#All],[Sigla]],LnkTXTSigla,TAbtarifasb1[[#All],[2016]])</f>
        <v>352.81</v>
      </c>
      <c r="Q39" s="411">
        <f>SUMIF(TAbtarifasb1[[#All],[Sigla]],LnkTXTSigla,TAbtarifasb1[[#All],[2017]])</f>
        <v>417.12369966554775</v>
      </c>
      <c r="R39" s="755">
        <f>SUMIF(TAbtarifasb1[[#All],[Sigla]],LnkTXTSigla,TAbtarifasb1[[#All],[2018]])</f>
        <v>507.4</v>
      </c>
      <c r="S39" s="755">
        <f>SUMIF(TAbtarifasb1[[#All],[Sigla]],LnkTXTSigla,TAbtarifasb1[[#All],[2019]])</f>
        <v>562.51</v>
      </c>
      <c r="T39" s="413">
        <f>SUMIF(TAbtarifasb1[[#All],[Sigla]],LnkTXTSigla,TAbtarifasb1[[#All],[2020]])</f>
        <v>608.16999999999996</v>
      </c>
      <c r="U39" s="413">
        <f>SUMIF(TAbtarifasb1[[#All],[Sigla]],LnkTXTSigla,TAbtarifasb1[[#All],[2021]])</f>
        <v>651.74</v>
      </c>
      <c r="V39" s="413">
        <f>Resultado!L6</f>
        <v>726.83</v>
      </c>
      <c r="W39" s="743">
        <f>V39/M39-1</f>
        <v>1.1329674844465316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3">
        <f>V40/M40-1</f>
        <v>-1</v>
      </c>
    </row>
    <row r="41" spans="1:36" ht="15" customHeight="1">
      <c r="L41" s="65" t="s">
        <v>772</v>
      </c>
      <c r="M41" s="402">
        <f>M39</f>
        <v>340.76</v>
      </c>
      <c r="N41" s="402">
        <f>VLOOKUP(DATE(YEAR(O38),MONTH(O38)-1,1),Índices!$B:$F,2,FALSE)/VLOOKUP(DATE(YEAR(Q36),MONTH(Q36)-1,1),Índices!$B:$F,2,FALSE)*M41</f>
        <v>384.40959947819749</v>
      </c>
      <c r="O41" s="402">
        <f>VLOOKUP(DATE(YEAR(O38),MONTH(O38)-1,1),Índices!$B:$F,2,FALSE)/VLOOKUP(DATE(YEAR(N38),MONTH(N38)-1,1),Índices!$B:$F,2,FALSE)*N41</f>
        <v>413.44500580043388</v>
      </c>
      <c r="P41" s="402">
        <f>VLOOKUP(DATE(YEAR(P38),MONTH(P38)-1,1),Índices!$B:$F,2,FALSE)/VLOOKUP(DATE(YEAR(O38),MONTH(O38)-1,1),Índices!$B:$F,2,FALSE)*O41</f>
        <v>460.94560030197846</v>
      </c>
      <c r="Q41" s="402">
        <f>VLOOKUP(DATE(YEAR(Q38),MONTH(Q38)-1,1),Índices!$B:$F,2,FALSE)/VLOOKUP(DATE(YEAR(P38),MONTH(P38)-1,1),Índices!$B:$F,2,FALSE)*P41</f>
        <v>453.05766114104256</v>
      </c>
      <c r="R41" s="363">
        <f>IF(R37=YEAR(CAPA!$C$114),'Tabelas e Gráficos'!R39,(VLOOKUP(DATE(YEAR(R38),MONTH(R38)-1,1),Índices!$B:$F,2,FALSE)/VLOOKUP(DATE(YEAR(Q38),MONTH(Q38)-1,1),Índices!$B:$F,2,FALSE)*Q41))</f>
        <v>493.34035891149097</v>
      </c>
      <c r="S41" s="363">
        <f>IF(S37=YEAR(CAPA!$C$114),'Tabelas e Gráficos'!S39,(VLOOKUP(DATE(YEAR(S38),MONTH(S38)-1,1),Índices!$B:$F,2,FALSE)/VLOOKUP(DATE(YEAR(R38),MONTH(R38)-1,1),Índices!$B:$F,2,FALSE)*R41))</f>
        <v>517.75507389174754</v>
      </c>
      <c r="T41" s="363">
        <f>IF(T37=YEAR(CAPA!$C$114),'Tabelas e Gráficos'!T39,(VLOOKUP(DATE(YEAR(T38),MONTH(T38)-1,1),Índices!$B:$F,2,FALSE)/VLOOKUP(DATE(YEAR(S38),MONTH(S38)-1,1),Índices!$B:$F,2,FALSE)*S41))</f>
        <v>585.18890336536572</v>
      </c>
      <c r="U41" s="402">
        <f>VLOOKUP(DATE(YEAR(U38),MONTH(U38)-1,1),Índices!$B:$F,2,FALSE)/VLOOKUP(DATE(YEAR(T38),MONTH(T38)-1,1),Índices!$B:$F,2,FALSE)*T41</f>
        <v>767.27240635865348</v>
      </c>
      <c r="V41" s="402">
        <f>VLOOKUP(DATE(YEAR(V38),MONTH(V38)-1,1),Índices!$B:$F,2,FALSE)/VLOOKUP(DATE(YEAR(U38),MONTH(U38)-1,1),Índices!$B:$F,2,FALSE)*U41</f>
        <v>833.16155249716371</v>
      </c>
      <c r="W41" s="743">
        <f>V41/M41-1</f>
        <v>1.4450098382942942</v>
      </c>
    </row>
    <row r="42" spans="1:36" ht="15" customHeight="1">
      <c r="L42" s="1065" t="s">
        <v>773</v>
      </c>
      <c r="M42" s="1067">
        <f>M39</f>
        <v>340.76</v>
      </c>
      <c r="N42" s="1067">
        <f>VLOOKUP(DATE(YEAR(N38),MONTH(N38)-1,1),Índices!$B:$F,3,FALSE)/VLOOKUP(DATE(YEAR(Q36),MONTH(Q36)-1,1),Índices!$B:$F,3,FALSE)*M42</f>
        <v>362.95359604932975</v>
      </c>
      <c r="O42" s="1067">
        <f>VLOOKUP(DATE(YEAR(O38),MONTH(O38)-1,1),Índices!$B:$F,3,FALSE)/VLOOKUP(DATE(YEAR(N38),MONTH(N38)-1,1),Índices!$B:$F,3,FALSE)*N42</f>
        <v>397.52665870449147</v>
      </c>
      <c r="P42" s="1067">
        <f>VLOOKUP(DATE(YEAR(P38),MONTH(P38)-1,1),Índices!$B:$F,3,FALSE)/VLOOKUP(DATE(YEAR(O38),MONTH(O38)-1,1),Índices!$B:$F,3,FALSE)*O42</f>
        <v>433.20267915565154</v>
      </c>
      <c r="Q42" s="1067">
        <f>VLOOKUP(DATE(YEAR(Q38),MONTH(Q38)-1,1),Índices!$B:$F,3,FALSE)/VLOOKUP(DATE(YEAR(P38),MONTH(P38)-1,1),Índices!$B:$F,3,FALSE)*P42</f>
        <v>443.84174054939001</v>
      </c>
      <c r="R42" s="1066">
        <f>IF(R37=YEAR(CAPA!$C$114),'Tabelas e Gráficos'!R39,(VLOOKUP(DATE(YEAR(R38),MONTH(R38)-1,1),Índices!$B:$F,3,FALSE)/VLOOKUP(DATE(YEAR(Q38),MONTH(Q38)-1,1),Índices!$B:$F,3,FALSE)*'Tabelas e Gráficos'!Q42))</f>
        <v>462.45209559977997</v>
      </c>
      <c r="S42" s="1066">
        <f>IF(S37=YEAR(CAPA!$C$114),'Tabelas e Gráficos'!S39,(VLOOKUP(DATE(YEAR(S38),MONTH(S38)-1,1),Índices!$B:$F,3,FALSE)/VLOOKUP(DATE(YEAR(R38),MONTH(R38)-1,1),Índices!$B:$F,3,FALSE)*'Tabelas e Gráficos'!R42))</f>
        <v>478.30779983628338</v>
      </c>
      <c r="T42" s="1066">
        <f>IF(T37=YEAR(CAPA!$C$114),'Tabelas e Gráficos'!T39,(VLOOKUP(DATE(YEAR(T38),MONTH(T38)-1,1),Índices!$B:$F,3,FALSE)/VLOOKUP(DATE(YEAR(S38),MONTH(S38)-1,1),Índices!$B:$F,3,FALSE)*'Tabelas e Gráficos'!S42))</f>
        <v>489.97116697754939</v>
      </c>
      <c r="U42" s="1067">
        <f>VLOOKUP(DATE(YEAR(U38),MONTH(U38)-1,1),Índices!$B:$F,3,FALSE)/VLOOKUP(DATE(YEAR(T38),MONTH(T38)-1,1),Índices!$B:$F,3,FALSE)*T42</f>
        <v>537.39926676418099</v>
      </c>
      <c r="V42" s="1067">
        <f>VLOOKUP(DATE(YEAR(V38),MONTH(V38)-1,1),Índices!$B:$F,3,FALSE)/VLOOKUP(DATE(YEAR(U38),MONTH(U38)-1,1),Índices!$B:$F,3,FALSE)*U42</f>
        <v>584.29966617909531</v>
      </c>
      <c r="W42" s="743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5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730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732</v>
      </c>
      <c r="C50" s="303" t="s">
        <v>774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775</v>
      </c>
      <c r="C51" s="304" t="s">
        <v>776</v>
      </c>
      <c r="H51" s="23"/>
      <c r="K51" s="49"/>
      <c r="L51" s="1837"/>
      <c r="M51" s="1837"/>
      <c r="N51" s="1837"/>
      <c r="O51" s="49"/>
      <c r="P51" s="49"/>
    </row>
    <row r="52" spans="1:47" ht="15" customHeight="1">
      <c r="B52" s="305" t="s">
        <v>777</v>
      </c>
      <c r="C52" s="306">
        <f ca="1">Resultado!C5</f>
        <v>77753175.624853358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778</v>
      </c>
      <c r="C53" s="306">
        <f ca="1">Resultado!C6</f>
        <v>69453986.271459967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0.11949190822476519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725</v>
      </c>
      <c r="C55" s="309">
        <f ca="1">Resultado!C8</f>
        <v>-4.2500000000000003E-2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8" t="str">
        <f>Resultado!B9</f>
        <v>Variação econômica e financeira</v>
      </c>
      <c r="C56" s="1069">
        <f ca="1">C54+C55</f>
        <v>7.6991908224765176E-2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733</v>
      </c>
      <c r="F58" s="311"/>
      <c r="G58" s="303" t="s">
        <v>774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779</v>
      </c>
      <c r="F59" s="304" t="s">
        <v>780</v>
      </c>
      <c r="G59" s="304" t="s">
        <v>781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782</v>
      </c>
      <c r="F60" s="306">
        <f ca="1">Calc_Mercado!C8</f>
        <v>144897.01799999998</v>
      </c>
      <c r="G60" s="306">
        <f ca="1">Calc_Mercado!D8</f>
        <v>69453986.271459967</v>
      </c>
      <c r="H60" s="313" t="s">
        <v>783</v>
      </c>
    </row>
    <row r="61" spans="1:47" ht="15" hidden="1" customHeight="1">
      <c r="E61" s="305" t="s">
        <v>784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785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786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787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788</v>
      </c>
      <c r="F65" s="306">
        <f ca="1">Calc_Mercado!C13</f>
        <v>90384.587999999989</v>
      </c>
      <c r="G65" s="306">
        <f ca="1">Calc_Mercado!D13</f>
        <v>34749569.034319989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789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790</v>
      </c>
      <c r="F67" s="306">
        <f ca="1">Calc_Mercado!C15</f>
        <v>54512.429999999993</v>
      </c>
      <c r="G67" s="306">
        <f ca="1">Calc_Mercado!D15</f>
        <v>34704417.237139978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791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792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8" t="s">
        <v>770</v>
      </c>
      <c r="F70" s="1070">
        <f ca="1">Calc_Mercado!C25</f>
        <v>144897.01799999998</v>
      </c>
      <c r="G70" s="1070">
        <f ca="1">Calc_Mercado!D25</f>
        <v>69453986.271459967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734</v>
      </c>
      <c r="J72" s="311"/>
      <c r="K72" s="303" t="s">
        <v>774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793</v>
      </c>
      <c r="J73" s="296" t="s">
        <v>794</v>
      </c>
      <c r="K73" s="296" t="s">
        <v>795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9"/>
      <c r="D74" s="1839"/>
      <c r="E74" s="1839"/>
      <c r="I74" s="1071" t="s">
        <v>744</v>
      </c>
      <c r="J74" s="1072">
        <f ca="1">SUM(J75:J84)</f>
        <v>9411909.3534778766</v>
      </c>
      <c r="K74" s="1073">
        <f ca="1">SUM(K75:K84)</f>
        <v>0.1355128749081666</v>
      </c>
      <c r="L74" s="313" t="s">
        <v>783</v>
      </c>
      <c r="N74" s="34"/>
      <c r="AG74" s="49"/>
      <c r="AH74" s="1830"/>
      <c r="AI74" s="1830"/>
      <c r="AJ74" s="1830"/>
      <c r="AK74" s="637"/>
      <c r="AL74" s="49"/>
      <c r="AM74" s="49"/>
      <c r="AN74" s="49"/>
      <c r="AO74" s="49"/>
    </row>
    <row r="75" spans="2:43" ht="15" hidden="1" customHeight="1">
      <c r="B75" s="30"/>
      <c r="C75" s="1834"/>
      <c r="D75" s="1834"/>
      <c r="E75" s="1834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1"/>
      <c r="AI75" s="1831"/>
      <c r="AJ75" s="1831"/>
      <c r="AK75" s="638"/>
      <c r="AL75" s="417"/>
      <c r="AM75" s="49"/>
      <c r="AN75" s="49"/>
      <c r="AO75" s="49"/>
    </row>
    <row r="76" spans="2:43" ht="15" hidden="1" customHeight="1">
      <c r="B76" s="30"/>
      <c r="C76" s="1834"/>
      <c r="D76" s="1834"/>
      <c r="E76" s="1834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34"/>
      <c r="D77" s="1834"/>
      <c r="E77" s="1834"/>
      <c r="I77" s="35" t="str">
        <f>Resultado!B17</f>
        <v>Taxa de Fisc. de Serviços de E.E. – TFSEE</v>
      </c>
      <c r="J77" s="315">
        <f ca="1">Mercado_Faturado_Encargo_TFSEE_BRUTO</f>
        <v>120927.60719306121</v>
      </c>
      <c r="K77" s="36">
        <f ca="1">J77/$J$98</f>
        <v>1.7411183099040174E-3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34"/>
      <c r="D78" s="1834"/>
      <c r="E78" s="1834"/>
      <c r="I78" s="35" t="str">
        <f>Resultado!B18</f>
        <v>Conta de Desenvolvimento Energético – CDE</v>
      </c>
      <c r="J78" s="315">
        <f ca="1">Mercado_Faturado_Encargo_CDE_BRUTO</f>
        <v>7951526.9955657516</v>
      </c>
      <c r="K78" s="36">
        <f ca="1">J78/$J$98</f>
        <v>0.11448625805993792</v>
      </c>
      <c r="L78" s="313">
        <f t="shared" ref="L78:L95" ca="1" si="2">IF(J78=0,0,1)</f>
        <v>1</v>
      </c>
      <c r="N78" s="36"/>
      <c r="AG78" s="49"/>
      <c r="AH78" s="1831"/>
      <c r="AI78" s="1831"/>
      <c r="AJ78" s="1831"/>
      <c r="AK78" s="638"/>
      <c r="AL78" s="417"/>
      <c r="AM78" s="49"/>
      <c r="AN78" s="49"/>
      <c r="AO78" s="49"/>
    </row>
    <row r="79" spans="2:43" ht="15" hidden="1" customHeight="1">
      <c r="B79" s="30"/>
      <c r="C79" s="1834"/>
      <c r="D79" s="1834"/>
      <c r="E79" s="1834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1"/>
      <c r="D80" s="1721"/>
      <c r="E80" s="1721"/>
      <c r="I80" s="35" t="s">
        <v>2305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4"/>
      <c r="D81" s="1834"/>
      <c r="E81" s="1834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34"/>
      <c r="D82" s="1834"/>
      <c r="E82" s="1834"/>
      <c r="I82" s="35" t="str">
        <f>Resultado!B21</f>
        <v>PROINFA</v>
      </c>
      <c r="J82" s="315">
        <f ca="1">Mercado_Faturado_Encargo_PROINFA_BRUTO</f>
        <v>1339454.750719063</v>
      </c>
      <c r="K82" s="36">
        <f ca="1">J82/$J$98</f>
        <v>1.9285498538324671E-2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1"/>
      <c r="AI83" s="1831"/>
      <c r="AJ83" s="1831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1" t="s">
        <v>796</v>
      </c>
      <c r="J85" s="1072">
        <f ca="1">SUM(Calc_Mercado!C79:C85)</f>
        <v>21999785.028878268</v>
      </c>
      <c r="K85" s="1073">
        <f ca="1">SUM(K86)</f>
        <v>0.31675338176980089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797</v>
      </c>
      <c r="J86" s="315">
        <f ca="1">J85</f>
        <v>21999785.028878268</v>
      </c>
      <c r="K86" s="36">
        <f t="shared" ref="K86:K97" ca="1" si="3">J86/$J$98</f>
        <v>0.31675338176980089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3"/>
      <c r="C87" s="1833"/>
      <c r="D87" s="1833"/>
      <c r="E87" s="1833"/>
      <c r="F87" s="1833"/>
      <c r="G87" s="39"/>
      <c r="I87" s="1071" t="s">
        <v>798</v>
      </c>
      <c r="J87" s="1072">
        <f ca="1">Resultado!C24</f>
        <v>10588624.163059883</v>
      </c>
      <c r="K87" s="1073">
        <f t="shared" ca="1" si="3"/>
        <v>0.15245524024602977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2"/>
      <c r="C88" s="1832"/>
      <c r="D88" s="1832"/>
      <c r="E88" s="1832"/>
      <c r="F88" s="1832"/>
      <c r="G88" s="42"/>
      <c r="I88" s="37" t="s">
        <v>636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638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2"/>
      <c r="C90" s="1832"/>
      <c r="D90" s="1832"/>
      <c r="E90" s="1832"/>
      <c r="F90" s="1832"/>
      <c r="G90" s="42"/>
      <c r="I90" s="37" t="s">
        <v>719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720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721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722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639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3"/>
      <c r="C95" s="1833"/>
      <c r="D95" s="1833"/>
      <c r="E95" s="1833"/>
      <c r="F95" s="1833"/>
      <c r="G95" s="42"/>
      <c r="I95" s="37" t="s">
        <v>640</v>
      </c>
      <c r="J95" s="315">
        <f ca="1">Resultado!C32</f>
        <v>10588624.163059883</v>
      </c>
      <c r="K95" s="36">
        <f t="shared" ca="1" si="3"/>
        <v>0.15245524024602977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2"/>
      <c r="C96" s="1832"/>
      <c r="D96" s="1832"/>
      <c r="E96" s="1832"/>
      <c r="F96" s="1832"/>
      <c r="I96" s="1071" t="s">
        <v>799</v>
      </c>
      <c r="J96" s="1072">
        <f ca="1">J87+J85+J74</f>
        <v>42000318.545416027</v>
      </c>
      <c r="K96" s="1073">
        <f t="shared" ca="1" si="3"/>
        <v>0.60472149692399724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2"/>
      <c r="C97" s="1832"/>
      <c r="D97" s="1832"/>
      <c r="E97" s="1832"/>
      <c r="F97" s="1832"/>
      <c r="I97" s="1071" t="s">
        <v>800</v>
      </c>
      <c r="J97" s="1072">
        <f ca="1">J98-J96</f>
        <v>27453667.72604394</v>
      </c>
      <c r="K97" s="1073">
        <f t="shared" ca="1" si="3"/>
        <v>0.39527850307600271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3"/>
      <c r="C98" s="1833"/>
      <c r="D98" s="1833"/>
      <c r="E98" s="1833"/>
      <c r="F98" s="1833"/>
      <c r="G98" s="28"/>
      <c r="I98" s="1068" t="s">
        <v>801</v>
      </c>
      <c r="J98" s="1070">
        <f ca="1">Mercado_RA0_Reais</f>
        <v>69453986.271459967</v>
      </c>
      <c r="K98" s="1074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2"/>
      <c r="C99" s="1832"/>
      <c r="D99" s="1832"/>
      <c r="E99" s="1832"/>
      <c r="F99" s="1832"/>
      <c r="G99" s="42"/>
      <c r="M99" s="302" t="s">
        <v>736</v>
      </c>
      <c r="N99" s="303" t="s">
        <v>774</v>
      </c>
      <c r="AH99" s="418"/>
      <c r="AI99" s="419"/>
      <c r="AJ99" s="419"/>
      <c r="AL99" s="49"/>
      <c r="AM99" s="49"/>
      <c r="AN99" s="49"/>
    </row>
    <row r="100" spans="2:41" ht="15" customHeight="1">
      <c r="B100" s="1832"/>
      <c r="C100" s="1832"/>
      <c r="D100" s="1832"/>
      <c r="E100" s="1832"/>
      <c r="F100" s="1832"/>
      <c r="G100" s="42"/>
      <c r="M100" s="296" t="s">
        <v>744</v>
      </c>
      <c r="N100" s="296" t="s">
        <v>776</v>
      </c>
      <c r="O100" s="318" t="s">
        <v>783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133762.32262577442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11535786.343379999</v>
      </c>
      <c r="O104" s="319">
        <f t="shared" ca="1" si="4"/>
        <v>1</v>
      </c>
    </row>
    <row r="105" spans="2:41" ht="15" hidden="1" customHeight="1">
      <c r="B105" s="1832"/>
      <c r="C105" s="1832"/>
      <c r="D105" s="1832"/>
      <c r="E105" s="1832"/>
      <c r="F105" s="1832"/>
      <c r="G105" s="45"/>
      <c r="M105" s="35" t="s">
        <v>802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2056</v>
      </c>
      <c r="N106" s="315">
        <f>Encargos!I21</f>
        <v>0</v>
      </c>
      <c r="O106" s="1556">
        <f>IF(N106=0,0,1)</f>
        <v>0</v>
      </c>
    </row>
    <row r="107" spans="2:41" ht="15" hidden="1" customHeight="1">
      <c r="B107" s="1832"/>
      <c r="C107" s="1832"/>
      <c r="D107" s="1832"/>
      <c r="E107" s="1832"/>
      <c r="F107" s="1832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3"/>
      <c r="C108" s="1833"/>
      <c r="D108" s="1833"/>
      <c r="E108" s="1833"/>
      <c r="F108" s="1833"/>
      <c r="G108" s="39"/>
      <c r="M108" s="35" t="str">
        <f>Resultado!B21</f>
        <v>PROINFA</v>
      </c>
      <c r="N108" s="315">
        <f ca="1">Resultado!D21</f>
        <v>2028549.6268199999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8" t="s">
        <v>770</v>
      </c>
      <c r="N111" s="1070">
        <f ca="1">SUM(N101:N110)</f>
        <v>13698098.292825773</v>
      </c>
    </row>
    <row r="112" spans="2:41" ht="15" customHeight="1">
      <c r="B112" s="29"/>
      <c r="C112" s="29"/>
      <c r="D112" s="29"/>
      <c r="P112" s="321" t="s">
        <v>743</v>
      </c>
      <c r="Q112" s="303" t="s">
        <v>774</v>
      </c>
    </row>
    <row r="113" spans="2:44" ht="15" customHeight="1">
      <c r="B113" s="46"/>
      <c r="C113" s="307"/>
      <c r="D113" s="307"/>
      <c r="P113" s="296" t="s">
        <v>779</v>
      </c>
      <c r="Q113" s="296" t="s">
        <v>803</v>
      </c>
    </row>
    <row r="114" spans="2:44" ht="15" customHeight="1">
      <c r="B114" s="46"/>
      <c r="C114" s="307"/>
      <c r="D114" s="307"/>
      <c r="P114" s="35" t="s">
        <v>804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669</v>
      </c>
      <c r="Q115" s="1075">
        <f ca="1">Energia!N14</f>
        <v>5.664821645713991E-2</v>
      </c>
    </row>
    <row r="116" spans="2:44" ht="15" customHeight="1">
      <c r="B116" s="46"/>
      <c r="C116" s="307"/>
      <c r="D116" s="307"/>
      <c r="P116" s="1068" t="s">
        <v>770</v>
      </c>
      <c r="Q116" s="1074">
        <f ca="1">SUM(Q114:Q115)</f>
        <v>5.664821645713991E-2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805</v>
      </c>
      <c r="T119" s="303" t="s">
        <v>774</v>
      </c>
    </row>
    <row r="120" spans="2:44" ht="15" customHeight="1">
      <c r="B120" s="46"/>
      <c r="C120" s="307"/>
      <c r="D120" s="307"/>
      <c r="P120" s="44"/>
      <c r="Q120" s="307"/>
      <c r="S120" s="296" t="s">
        <v>779</v>
      </c>
      <c r="T120" s="296" t="s">
        <v>780</v>
      </c>
    </row>
    <row r="121" spans="2:44" ht="15" customHeight="1">
      <c r="B121" s="46"/>
      <c r="C121" s="307"/>
      <c r="D121" s="307"/>
      <c r="P121" s="44"/>
      <c r="Q121" s="307"/>
      <c r="S121" s="1076" t="s">
        <v>806</v>
      </c>
      <c r="T121" s="1077">
        <f ca="1">SUM(T122:T123)</f>
        <v>144897.01799999998</v>
      </c>
      <c r="U121" s="318" t="s">
        <v>783</v>
      </c>
    </row>
    <row r="122" spans="2:44" ht="15" customHeight="1">
      <c r="B122" s="46"/>
      <c r="C122" s="307"/>
      <c r="D122" s="307"/>
      <c r="P122" s="44"/>
      <c r="Q122" s="307"/>
      <c r="S122" s="47" t="s">
        <v>807</v>
      </c>
      <c r="T122" s="322">
        <f ca="1">Energia!D7</f>
        <v>144897.01799999998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808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6" t="s">
        <v>809</v>
      </c>
      <c r="T124" s="1078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810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811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8" t="s">
        <v>805</v>
      </c>
      <c r="T127" s="1079">
        <f ca="1">T121+T124</f>
        <v>144897.01799999998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0" t="s">
        <v>812</v>
      </c>
      <c r="W129" s="1080"/>
      <c r="X129" s="303" t="s">
        <v>774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3" t="s">
        <v>27</v>
      </c>
      <c r="W130" s="1081" t="s">
        <v>77</v>
      </c>
      <c r="X130" s="1063" t="s">
        <v>813</v>
      </c>
      <c r="Y130" s="318" t="s">
        <v>783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A3 ( 69 kV)</v>
      </c>
      <c r="X131" s="325">
        <f>Energia!H28</f>
        <v>147.026341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customHeight="1">
      <c r="B132" s="46"/>
      <c r="C132" s="307"/>
      <c r="D132" s="307"/>
      <c r="P132" s="44"/>
      <c r="Q132" s="307"/>
      <c r="S132" s="37"/>
      <c r="T132" s="323"/>
      <c r="V132" s="324" t="str">
        <f>Energia!B29</f>
        <v>CELESC DISTRIBUIÇÃO S.A</v>
      </c>
      <c r="W132" s="324" t="str">
        <f>Energia!C29</f>
        <v>A4 (2,3 a 25 kV)</v>
      </c>
      <c r="X132" s="325">
        <f>Energia!H29</f>
        <v>147.026341</v>
      </c>
      <c r="Y132" s="318">
        <f>IF(W132=0,0,1)</f>
        <v>1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2">
        <f>Energia!B32</f>
        <v>0</v>
      </c>
      <c r="W135" s="1082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3"/>
      <c r="W136" s="1084"/>
      <c r="X136" s="1085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0" t="s">
        <v>814</v>
      </c>
      <c r="AA138" s="1080"/>
      <c r="AB138" s="1080"/>
      <c r="AC138" s="303" t="s">
        <v>774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779</v>
      </c>
      <c r="AA139" s="296" t="s">
        <v>780</v>
      </c>
      <c r="AB139" s="296" t="s">
        <v>813</v>
      </c>
      <c r="AC139" s="296" t="s">
        <v>815</v>
      </c>
      <c r="AD139" s="329" t="s">
        <v>783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151224.20300000001</v>
      </c>
      <c r="AB140" s="331">
        <f>Energia!G35</f>
        <v>284.99000000000007</v>
      </c>
      <c r="AC140" s="332">
        <f>AA140*AB140</f>
        <v>43097385.612970009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6">
        <f>Energia!C20</f>
        <v>2416.7616097665855</v>
      </c>
      <c r="AB142" s="1087">
        <f>Energia!D20</f>
        <v>0</v>
      </c>
      <c r="AC142" s="1088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6" t="s">
        <v>816</v>
      </c>
      <c r="AA143" s="1089">
        <f ca="1">Energia!M30-Energia!L30</f>
        <v>-42.889609766600188</v>
      </c>
      <c r="AB143" s="1090">
        <f>Energia!M34</f>
        <v>0</v>
      </c>
      <c r="AC143" s="1090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8" t="s">
        <v>770</v>
      </c>
      <c r="AA144" s="1091">
        <f ca="1">SUM(AA140:AA143)</f>
        <v>153598.07499999998</v>
      </c>
      <c r="AB144" s="1092">
        <f ca="1">AC144/AA144</f>
        <v>280.58545403625675</v>
      </c>
      <c r="AC144" s="1092">
        <f ca="1">SUM(AC140:AC143)</f>
        <v>43097385.612970009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3" t="s">
        <v>754</v>
      </c>
      <c r="AF146" s="1093"/>
      <c r="AG146" s="1093"/>
      <c r="AH146" s="1093"/>
      <c r="AI146" s="1093"/>
      <c r="AJ146" s="1093"/>
      <c r="AK146" s="303" t="s">
        <v>774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3" t="s">
        <v>27</v>
      </c>
      <c r="AF147" s="1063" t="s">
        <v>77</v>
      </c>
      <c r="AG147" s="1063" t="s">
        <v>817</v>
      </c>
      <c r="AH147" s="1063" t="s">
        <v>818</v>
      </c>
      <c r="AI147" s="1063" t="s">
        <v>60</v>
      </c>
      <c r="AJ147" s="1063" t="s">
        <v>819</v>
      </c>
      <c r="AK147" s="1063" t="s">
        <v>815</v>
      </c>
      <c r="AL147" s="318" t="s">
        <v>783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A3 ( 69 kV)</v>
      </c>
      <c r="AG148" s="334" t="str">
        <f>CUSD!F6</f>
        <v>Potência</v>
      </c>
      <c r="AH148" s="334" t="str">
        <f>CUSD!F6</f>
        <v>Potência</v>
      </c>
      <c r="AI148" s="396">
        <f>CUSD!H6</f>
        <v>165327.4</v>
      </c>
      <c r="AJ148" s="397">
        <f>CUSD!J6</f>
        <v>13.18</v>
      </c>
      <c r="AK148" s="334">
        <f>IFERROR(AI148*AJ148,0)</f>
        <v>2179015.1319999998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A3 ( 69 kV)</v>
      </c>
      <c r="AG149" s="334" t="str">
        <f>CUSD!F7</f>
        <v>Potência</v>
      </c>
      <c r="AH149" s="334" t="str">
        <f>CUSD!F7</f>
        <v>Potência</v>
      </c>
      <c r="AI149" s="396">
        <f>CUSD!H7</f>
        <v>97521.2</v>
      </c>
      <c r="AJ149" s="397">
        <f>CUSD!J7</f>
        <v>23.96</v>
      </c>
      <c r="AK149" s="334">
        <f t="shared" ref="AK149:AK155" si="6">IFERROR(AI149*AJ149,0)</f>
        <v>2336607.952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A3 ( 69 kV)</v>
      </c>
      <c r="AG150" s="334" t="str">
        <f>CUSD!F8</f>
        <v>Energia</v>
      </c>
      <c r="AH150" s="334" t="str">
        <f>CUSD!F8</f>
        <v>Energia</v>
      </c>
      <c r="AI150" s="396">
        <f>CUSD!H8</f>
        <v>70087.532000000007</v>
      </c>
      <c r="AJ150" s="397">
        <f>CUSD!J8</f>
        <v>6.29</v>
      </c>
      <c r="AK150" s="334">
        <f t="shared" si="6"/>
        <v>440850.57628000004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A3 ( 69 kV)</v>
      </c>
      <c r="AG151" s="334" t="str">
        <f>CUSD!F9</f>
        <v>Energia</v>
      </c>
      <c r="AH151" s="334" t="str">
        <f>CUSD!F9</f>
        <v>Energia</v>
      </c>
      <c r="AI151" s="396">
        <f>CUSD!H9</f>
        <v>4257.0559999999996</v>
      </c>
      <c r="AJ151" s="397">
        <f>CUSD!J9</f>
        <v>6.29</v>
      </c>
      <c r="AK151" s="334">
        <f t="shared" si="6"/>
        <v>26776.882239999999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 t="str">
        <f>CUSD!B10</f>
        <v>CELESC DISTRIBUIÇÃO S.A</v>
      </c>
      <c r="AF152" s="382" t="str">
        <f>CUSD!C10</f>
        <v>A4 (2,3 a 25 kV)</v>
      </c>
      <c r="AG152" s="334" t="str">
        <f>CUSD!F10</f>
        <v>Potência</v>
      </c>
      <c r="AH152" s="334" t="str">
        <f>CUSD!F10</f>
        <v>Potência</v>
      </c>
      <c r="AI152" s="396">
        <f>CUSD!H10</f>
        <v>205388.68000000002</v>
      </c>
      <c r="AJ152" s="397">
        <f>CUSD!J10</f>
        <v>13.88</v>
      </c>
      <c r="AK152" s="334">
        <f t="shared" si="6"/>
        <v>2850794.8784000003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 t="str">
        <f>CUSD!B11</f>
        <v>CELESC DISTRIBUIÇÃO S.A</v>
      </c>
      <c r="AF153" s="382" t="str">
        <f>CUSD!C11</f>
        <v>A4 (2,3 a 25 kV)</v>
      </c>
      <c r="AG153" s="334" t="str">
        <f>CUSD!F11</f>
        <v>Potência</v>
      </c>
      <c r="AH153" s="334" t="str">
        <f>CUSD!F11</f>
        <v>Potência</v>
      </c>
      <c r="AI153" s="396">
        <f>CUSD!H11</f>
        <v>115936.68000000001</v>
      </c>
      <c r="AJ153" s="397">
        <f>CUSD!J11</f>
        <v>24.15</v>
      </c>
      <c r="AK153" s="334">
        <f t="shared" si="6"/>
        <v>2799870.8220000002</v>
      </c>
      <c r="AL153" s="398">
        <v>0</v>
      </c>
      <c r="AM153" s="397"/>
    </row>
    <row r="154" spans="2:44" ht="15" customHeight="1">
      <c r="B154" s="46"/>
      <c r="C154" s="307"/>
      <c r="D154" s="307"/>
      <c r="P154" s="44"/>
      <c r="Q154" s="307"/>
      <c r="AC154" s="49"/>
      <c r="AD154" s="49"/>
      <c r="AE154" s="382" t="str">
        <f>CUSD!B12</f>
        <v>CELESC DISTRIBUIÇÃO S.A</v>
      </c>
      <c r="AF154" s="382" t="str">
        <f>CUSD!C12</f>
        <v>A4 (2,3 a 25 kV)</v>
      </c>
      <c r="AG154" s="334" t="str">
        <f>CUSD!F12</f>
        <v>Energia</v>
      </c>
      <c r="AH154" s="334" t="str">
        <f>CUSD!F12</f>
        <v>Energia</v>
      </c>
      <c r="AI154" s="396">
        <f>CUSD!H12</f>
        <v>74279.467999999993</v>
      </c>
      <c r="AJ154" s="397">
        <f>CUSD!J12</f>
        <v>12.06</v>
      </c>
      <c r="AK154" s="334">
        <f t="shared" si="6"/>
        <v>895810.38407999999</v>
      </c>
      <c r="AL154" s="398">
        <f t="shared" si="5"/>
        <v>1</v>
      </c>
      <c r="AM154" s="397"/>
    </row>
    <row r="155" spans="2:44" ht="15" customHeight="1">
      <c r="B155" s="46"/>
      <c r="C155" s="307"/>
      <c r="D155" s="307"/>
      <c r="P155" s="44"/>
      <c r="Q155" s="307"/>
      <c r="AC155" s="49"/>
      <c r="AD155" s="49"/>
      <c r="AE155" s="382" t="str">
        <f>CUSD!B13</f>
        <v>CELESC DISTRIBUIÇÃO S.A</v>
      </c>
      <c r="AF155" s="382" t="str">
        <f>CUSD!C13</f>
        <v>A4 (2,3 a 25 kV)</v>
      </c>
      <c r="AG155" s="334" t="str">
        <f>CUSD!F13</f>
        <v>Energia</v>
      </c>
      <c r="AH155" s="334" t="str">
        <f>CUSD!F13</f>
        <v>Energia</v>
      </c>
      <c r="AI155" s="396">
        <f>CUSD!H13</f>
        <v>4974.0190000000002</v>
      </c>
      <c r="AJ155" s="397">
        <f>CUSD!J13</f>
        <v>12.06</v>
      </c>
      <c r="AK155" s="334">
        <f t="shared" si="6"/>
        <v>59986.669140000005</v>
      </c>
      <c r="AL155" s="398">
        <f t="shared" si="5"/>
        <v>1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8" t="s">
        <v>820</v>
      </c>
      <c r="AF163" s="1068"/>
      <c r="AG163" s="1068"/>
      <c r="AH163" s="1068"/>
      <c r="AI163" s="1094">
        <f>SUM(AI148:AI162)</f>
        <v>737772.03500000003</v>
      </c>
      <c r="AJ163" s="1070"/>
      <c r="AK163" s="1070">
        <f>SUM(AK148:AK162)</f>
        <v>11589713.29614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6" t="s">
        <v>821</v>
      </c>
      <c r="AN165" s="1757" t="s">
        <v>774</v>
      </c>
    </row>
    <row r="166" spans="2:42" ht="15" customHeight="1">
      <c r="B166" s="46"/>
      <c r="C166" s="307"/>
      <c r="D166" s="307"/>
      <c r="P166" s="44"/>
      <c r="Q166" s="307"/>
      <c r="AM166" s="1758" t="s">
        <v>725</v>
      </c>
      <c r="AN166" s="1722" t="s">
        <v>776</v>
      </c>
      <c r="AO166" s="23" t="s">
        <v>783</v>
      </c>
      <c r="AP166" s="651" t="s">
        <v>822</v>
      </c>
    </row>
    <row r="167" spans="2:42" ht="15" customHeight="1">
      <c r="B167" s="46"/>
      <c r="C167" s="307"/>
      <c r="D167" s="307"/>
      <c r="P167" s="44"/>
      <c r="Q167" s="307"/>
      <c r="AM167" s="923" t="s">
        <v>2306</v>
      </c>
      <c r="AN167" s="1759">
        <f ca="1">SUM(Financeiros!D9:D14)</f>
        <v>1120695.8526822417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3" t="s">
        <v>729</v>
      </c>
      <c r="AN168" s="1759">
        <f ca="1">SUM(Financeiros!D15:D19,D21)</f>
        <v>-415064.38209668017</v>
      </c>
      <c r="AO168" s="23">
        <f t="shared" ca="1" si="8"/>
        <v>1</v>
      </c>
      <c r="AP168" s="651"/>
    </row>
    <row r="169" spans="2:42" ht="15" customHeight="1">
      <c r="B169" s="46"/>
      <c r="C169" s="307"/>
      <c r="D169" s="307"/>
      <c r="P169" s="44"/>
      <c r="Q169" s="307"/>
      <c r="AM169" s="926" t="s">
        <v>2104</v>
      </c>
      <c r="AN169" s="927">
        <f ca="1">Financeiros!D20+Financeiros!D22</f>
        <v>0</v>
      </c>
      <c r="AO169" s="23">
        <f t="shared" ca="1" si="8"/>
        <v>0</v>
      </c>
      <c r="AP169" s="651"/>
    </row>
    <row r="170" spans="2:42" ht="15" customHeight="1">
      <c r="B170" s="46"/>
      <c r="C170" s="307"/>
      <c r="D170" s="307"/>
      <c r="P170" s="44"/>
      <c r="Q170" s="307"/>
      <c r="AM170" s="926" t="s">
        <v>2161</v>
      </c>
      <c r="AN170" s="927">
        <f ca="1">Financeiros!D23</f>
        <v>0</v>
      </c>
      <c r="AO170" s="651">
        <f ca="1">IF(AN170=0,0,1)</f>
        <v>0</v>
      </c>
      <c r="AP170" s="651"/>
    </row>
    <row r="171" spans="2:42" ht="15" customHeight="1">
      <c r="B171" s="46"/>
      <c r="C171" s="307"/>
      <c r="D171" s="307"/>
      <c r="P171" s="44"/>
      <c r="Q171" s="307"/>
      <c r="AM171" s="923" t="s">
        <v>2307</v>
      </c>
      <c r="AN171" s="1759">
        <f>SUM(Financeiros!D24:D25)</f>
        <v>0</v>
      </c>
      <c r="AO171" s="23">
        <f t="shared" si="8"/>
        <v>0</v>
      </c>
      <c r="AP171" s="651"/>
    </row>
    <row r="172" spans="2:42" ht="15" customHeight="1">
      <c r="B172" s="46"/>
      <c r="C172" s="307"/>
      <c r="D172" s="307"/>
      <c r="P172" s="44"/>
      <c r="Q172" s="307"/>
      <c r="AM172" s="923"/>
      <c r="AN172" s="1759"/>
      <c r="AO172" s="23">
        <f t="shared" si="8"/>
        <v>0</v>
      </c>
      <c r="AP172" s="651"/>
    </row>
    <row r="173" spans="2:42" ht="15" customHeight="1">
      <c r="B173" s="46"/>
      <c r="C173" s="307"/>
      <c r="D173" s="307"/>
      <c r="P173" s="44"/>
      <c r="Q173" s="307"/>
      <c r="AM173" s="923"/>
      <c r="AN173" s="1759"/>
      <c r="AO173" s="23">
        <f t="shared" si="8"/>
        <v>0</v>
      </c>
      <c r="AP173" s="651"/>
    </row>
    <row r="174" spans="2:42" ht="15" customHeight="1">
      <c r="B174" s="46"/>
      <c r="C174" s="307"/>
      <c r="D174" s="307"/>
      <c r="P174" s="44"/>
      <c r="Q174" s="307"/>
      <c r="AM174" s="923" t="str">
        <f>Financeiros!C26</f>
        <v>Manual de Contabilidade do Setor Elétrico</v>
      </c>
      <c r="AN174" s="1759">
        <f>LnkTxTSubvencaoCDE</f>
        <v>0</v>
      </c>
      <c r="AO174" s="23">
        <f t="shared" si="8"/>
        <v>0</v>
      </c>
      <c r="AP174" s="651"/>
    </row>
    <row r="175" spans="2:42" ht="15" customHeight="1">
      <c r="B175" s="46"/>
      <c r="C175" s="307"/>
      <c r="D175" s="307"/>
      <c r="P175" s="44"/>
      <c r="Q175" s="307"/>
      <c r="AM175" s="923" t="str">
        <f>Financeiros!C27</f>
        <v>Financeiro CDE Eletrobras</v>
      </c>
      <c r="AN175" s="1759">
        <f>LnkTXTBandeira</f>
        <v>0</v>
      </c>
      <c r="AO175" s="23">
        <f t="shared" si="8"/>
        <v>0</v>
      </c>
      <c r="AP175" s="651"/>
    </row>
    <row r="176" spans="2:42" ht="15" customHeight="1">
      <c r="B176" s="46"/>
      <c r="C176" s="307"/>
      <c r="D176" s="307"/>
      <c r="P176" s="44"/>
      <c r="Q176" s="307"/>
      <c r="AM176" s="923" t="s">
        <v>2309</v>
      </c>
      <c r="AN176" s="1759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3" t="str">
        <f>Financeiros!C29</f>
        <v>Compensação DIC FIC</v>
      </c>
      <c r="AN177" s="1759">
        <f>Financeiros!D29</f>
        <v>0</v>
      </c>
      <c r="AO177" s="651">
        <f>IF(AN177=0,0,1)</f>
        <v>0</v>
      </c>
      <c r="AP177" s="651"/>
    </row>
    <row r="178" spans="2:42" ht="15" customHeight="1">
      <c r="B178" s="46"/>
      <c r="C178" s="307"/>
      <c r="D178" s="307"/>
      <c r="P178" s="44"/>
      <c r="Q178" s="307"/>
      <c r="AM178" s="923" t="str">
        <f>Financeiros!C30</f>
        <v>Subvenção CDE</v>
      </c>
      <c r="AN178" s="1759">
        <f ca="1">Financeiros!D30</f>
        <v>-1327071.3845209642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3" t="str">
        <f>Financeiros!C31</f>
        <v>Retenção de Adicionais de Bandeiras Tarifárias</v>
      </c>
      <c r="AN179" s="1759">
        <f>Financeiros!D31</f>
        <v>-2333009.6764253709</v>
      </c>
      <c r="AO179" s="23">
        <f t="shared" si="8"/>
        <v>1</v>
      </c>
      <c r="AP179" s="651"/>
    </row>
    <row r="180" spans="2:42" ht="15" customHeight="1">
      <c r="B180" s="46"/>
      <c r="C180" s="307"/>
      <c r="D180" s="307"/>
      <c r="P180" s="44"/>
      <c r="Q180" s="307"/>
      <c r="AM180" s="923" t="str">
        <f>Financeiros!C32</f>
        <v>Multa LPT</v>
      </c>
      <c r="AN180" s="1759">
        <f>Financeiros!D32</f>
        <v>0</v>
      </c>
      <c r="AO180" s="1555">
        <f>IF(AN180=0,0,1)</f>
        <v>0</v>
      </c>
      <c r="AP180" s="1555"/>
    </row>
    <row r="181" spans="2:42" ht="15" customHeight="1">
      <c r="B181" s="46"/>
      <c r="C181" s="307"/>
      <c r="D181" s="307"/>
      <c r="P181" s="44"/>
      <c r="Q181" s="307"/>
      <c r="AM181" s="923" t="s">
        <v>2398</v>
      </c>
      <c r="AN181" s="1759">
        <f>Financeiros!D33+Financeiros!D34</f>
        <v>0</v>
      </c>
      <c r="AO181" s="23">
        <f t="shared" si="8"/>
        <v>0</v>
      </c>
      <c r="AP181" s="651"/>
    </row>
    <row r="182" spans="2:42" ht="15" customHeight="1">
      <c r="B182" s="46"/>
      <c r="C182" s="307"/>
      <c r="D182" s="307"/>
      <c r="P182" s="44"/>
      <c r="Q182" s="307"/>
      <c r="AM182" s="923"/>
      <c r="AN182" s="1759">
        <v>0</v>
      </c>
      <c r="AO182" s="23">
        <f t="shared" si="8"/>
        <v>0</v>
      </c>
      <c r="AP182" s="651"/>
    </row>
    <row r="183" spans="2:42" ht="15" customHeight="1">
      <c r="B183" s="46"/>
      <c r="C183" s="307"/>
      <c r="D183" s="307"/>
      <c r="P183" s="44"/>
      <c r="Q183" s="307"/>
      <c r="AM183" s="923" t="str">
        <f>Financeiros!C35</f>
        <v>Ressarcimento P&amp;D</v>
      </c>
      <c r="AN183" s="1759">
        <f>Financeiros!D35</f>
        <v>0</v>
      </c>
      <c r="AO183" s="23">
        <f t="shared" si="8"/>
        <v>0</v>
      </c>
      <c r="AP183" s="651"/>
    </row>
    <row r="184" spans="2:42" ht="15" customHeight="1">
      <c r="B184" s="46"/>
      <c r="C184" s="307"/>
      <c r="D184" s="307"/>
      <c r="P184" s="44"/>
      <c r="Q184" s="307"/>
      <c r="AM184" s="923" t="str">
        <f>Financeiros!C36</f>
        <v>Efeito Conta COVID</v>
      </c>
      <c r="AN184" s="1759">
        <f>Financeiros!D36</f>
        <v>0</v>
      </c>
      <c r="AO184" s="23">
        <f t="shared" ref="AO184:AO189" si="9">IF(AN184=0,0,1)</f>
        <v>0</v>
      </c>
      <c r="AP184" s="651"/>
    </row>
    <row r="185" spans="2:42" ht="15" customHeight="1">
      <c r="B185" s="46"/>
      <c r="C185" s="307"/>
      <c r="D185" s="307"/>
      <c r="P185" s="44"/>
      <c r="Q185" s="307"/>
      <c r="AM185" s="923" t="str">
        <f>Financeiros!C37</f>
        <v>Diferimento de Parcela B</v>
      </c>
      <c r="AN185" s="1759">
        <f>Financeiros!D37</f>
        <v>0</v>
      </c>
      <c r="AO185" s="23">
        <f t="shared" si="9"/>
        <v>0</v>
      </c>
      <c r="AP185" s="651"/>
    </row>
    <row r="186" spans="2:42" ht="15" customHeight="1">
      <c r="B186" s="46"/>
      <c r="C186" s="307"/>
      <c r="D186" s="307"/>
      <c r="P186" s="44"/>
      <c r="Q186" s="307"/>
      <c r="AM186" s="923" t="str">
        <f>Financeiros!C38</f>
        <v>Efeito COVID da Supridora</v>
      </c>
      <c r="AN186" s="1759">
        <f>Financeiros!D38</f>
        <v>0</v>
      </c>
      <c r="AO186" s="23">
        <f t="shared" si="9"/>
        <v>0</v>
      </c>
      <c r="AP186" s="651"/>
    </row>
    <row r="187" spans="2:42" ht="15" customHeight="1">
      <c r="B187" s="46"/>
      <c r="C187" s="307"/>
      <c r="D187" s="307"/>
      <c r="P187" s="44"/>
      <c r="Q187" s="307"/>
      <c r="AM187" s="923" t="str">
        <f>Financeiros!C39</f>
        <v>Crédito de Pis Cofins sobre ICMS</v>
      </c>
      <c r="AN187" s="1759">
        <f>Financeiros!D39</f>
        <v>0</v>
      </c>
      <c r="AO187" s="23">
        <f t="shared" si="9"/>
        <v>0</v>
      </c>
      <c r="AP187" s="651"/>
    </row>
    <row r="188" spans="2:42" ht="15" customHeight="1">
      <c r="B188" s="46"/>
      <c r="C188" s="307"/>
      <c r="D188" s="307"/>
      <c r="P188" s="44"/>
      <c r="Q188" s="307"/>
      <c r="AM188" s="923" t="s">
        <v>2399</v>
      </c>
      <c r="AN188" s="1759">
        <f>Financeiros!D40+Financeiros!D41</f>
        <v>0</v>
      </c>
      <c r="AO188" s="23">
        <f t="shared" si="9"/>
        <v>0</v>
      </c>
      <c r="AP188" s="914"/>
    </row>
    <row r="189" spans="2:42" ht="15" customHeight="1">
      <c r="B189" s="46"/>
      <c r="C189" s="307"/>
      <c r="D189" s="307"/>
      <c r="P189" s="44"/>
      <c r="Q189" s="307"/>
      <c r="AM189" s="923"/>
      <c r="AN189" s="1759">
        <v>0</v>
      </c>
      <c r="AO189" s="23">
        <f t="shared" si="9"/>
        <v>0</v>
      </c>
      <c r="AP189" s="914"/>
    </row>
    <row r="190" spans="2:42" ht="15" customHeight="1">
      <c r="B190" s="46"/>
      <c r="C190" s="307"/>
      <c r="D190" s="307"/>
      <c r="P190" s="44"/>
      <c r="Q190" s="307"/>
      <c r="AM190" s="923" t="str">
        <f>Financeiros!C42</f>
        <v>Financeiros associados ao §7º do Art. 88 da Ren 414/2021</v>
      </c>
      <c r="AN190" s="1759">
        <f>Financeiros!D42</f>
        <v>0</v>
      </c>
      <c r="AO190" s="23">
        <f t="shared" si="8"/>
        <v>0</v>
      </c>
      <c r="AP190" s="651"/>
    </row>
    <row r="191" spans="2:42" ht="15" customHeight="1">
      <c r="B191" s="46"/>
      <c r="C191" s="307"/>
      <c r="D191" s="307"/>
      <c r="P191" s="44"/>
      <c r="Q191" s="307"/>
      <c r="AM191" s="923" t="str">
        <f>Financeiros!C43</f>
        <v>Spread Conta Covid</v>
      </c>
      <c r="AN191" s="1759">
        <f>Financeiros!D43</f>
        <v>0</v>
      </c>
      <c r="AO191" s="23">
        <f t="shared" si="8"/>
        <v>0</v>
      </c>
      <c r="AP191" s="651"/>
    </row>
    <row r="192" spans="2:42" ht="15" customHeight="1">
      <c r="B192" s="46"/>
      <c r="C192" s="307"/>
      <c r="D192" s="307"/>
      <c r="P192" s="44"/>
      <c r="Q192" s="307"/>
      <c r="AM192" s="923" t="str">
        <f>Financeiros!C44</f>
        <v>Diferimento de Energia</v>
      </c>
      <c r="AN192" s="1759">
        <f>Financeiros!D44</f>
        <v>0</v>
      </c>
      <c r="AO192" s="23">
        <f>IF(AN192=0,0,1)</f>
        <v>0</v>
      </c>
      <c r="AP192" s="651"/>
    </row>
    <row r="193" spans="2:42" ht="15" customHeight="1">
      <c r="B193" s="46"/>
      <c r="C193" s="307"/>
      <c r="D193" s="307"/>
      <c r="P193" s="44"/>
      <c r="Q193" s="307"/>
      <c r="AM193" s="923" t="str">
        <f>Financeiros!C45</f>
        <v xml:space="preserve">Reversão do Diferimento de Compra de Energia </v>
      </c>
      <c r="AN193" s="1759">
        <f>Financeiros!D45</f>
        <v>0</v>
      </c>
      <c r="AO193" s="23">
        <f t="shared" ref="AO193:AO195" si="10">IF(AN193=0,0,1)</f>
        <v>0</v>
      </c>
      <c r="AP193" s="651"/>
    </row>
    <row r="194" spans="2:42" ht="15" customHeight="1">
      <c r="B194" s="46"/>
      <c r="C194" s="307"/>
      <c r="D194" s="307"/>
      <c r="P194" s="44"/>
      <c r="Q194" s="307"/>
      <c r="AM194" s="923" t="str">
        <f>Financeiros!C46</f>
        <v>Reversão do Diferimento de Parcela B</v>
      </c>
      <c r="AN194" s="1759">
        <f>Financeiros!D46</f>
        <v>0</v>
      </c>
      <c r="AO194" s="23">
        <f t="shared" si="10"/>
        <v>0</v>
      </c>
      <c r="AP194" s="651"/>
    </row>
    <row r="195" spans="2:42" ht="15" customHeight="1">
      <c r="B195" s="46"/>
      <c r="C195" s="307"/>
      <c r="D195" s="307"/>
      <c r="P195" s="44"/>
      <c r="Q195" s="307"/>
      <c r="AM195" s="923" t="s">
        <v>2406</v>
      </c>
      <c r="AN195" s="1759">
        <f>Financeiros!D47+Financeiros!D48</f>
        <v>0</v>
      </c>
      <c r="AO195" s="23">
        <f t="shared" si="10"/>
        <v>0</v>
      </c>
      <c r="AP195" s="651"/>
    </row>
    <row r="196" spans="2:42" ht="15" customHeight="1">
      <c r="B196" s="46"/>
      <c r="C196" s="307"/>
      <c r="D196" s="307"/>
      <c r="P196" s="44"/>
      <c r="Q196" s="307"/>
      <c r="AM196" s="923"/>
      <c r="AN196" s="1759">
        <v>0</v>
      </c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3" t="s">
        <v>2310</v>
      </c>
      <c r="AN197" s="1759">
        <f ca="1">SUM(Financeiros!D58:D62)</f>
        <v>0</v>
      </c>
      <c r="AO197" s="23">
        <f ca="1">IF(AN197=0,0,1)</f>
        <v>0</v>
      </c>
      <c r="AP197" s="651"/>
    </row>
    <row r="198" spans="2:42" ht="15" customHeight="1">
      <c r="B198" s="46"/>
      <c r="C198" s="307"/>
      <c r="D198" s="307"/>
      <c r="P198" s="44"/>
      <c r="Q198" s="307"/>
      <c r="AM198" s="923" t="s">
        <v>2311</v>
      </c>
      <c r="AN198" s="1759">
        <f>Financeiros!D65</f>
        <v>0</v>
      </c>
      <c r="AO198" s="23">
        <f>IF(AN198=0,0,1)</f>
        <v>0</v>
      </c>
      <c r="AP198" s="651"/>
    </row>
    <row r="199" spans="2:42" ht="15" customHeight="1">
      <c r="B199" s="46"/>
      <c r="C199" s="307"/>
      <c r="D199" s="307"/>
      <c r="P199" s="44"/>
      <c r="Q199" s="307"/>
      <c r="AM199" s="923" t="s">
        <v>2060</v>
      </c>
      <c r="AN199" s="1759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customHeight="1">
      <c r="B200" s="46"/>
      <c r="C200" s="307"/>
      <c r="D200" s="307"/>
      <c r="P200" s="44"/>
      <c r="Q200" s="307"/>
      <c r="AM200" s="923"/>
      <c r="AN200" s="1759">
        <v>0</v>
      </c>
      <c r="AO200" s="651">
        <f t="shared" si="11"/>
        <v>0</v>
      </c>
      <c r="AP200" s="651"/>
    </row>
    <row r="201" spans="2:42" ht="15" customHeight="1">
      <c r="B201" s="46"/>
      <c r="C201" s="307"/>
      <c r="D201" s="307"/>
      <c r="P201" s="44"/>
      <c r="Q201" s="307"/>
      <c r="AM201" s="923"/>
      <c r="AN201" s="1759">
        <v>0</v>
      </c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3" t="s">
        <v>2313</v>
      </c>
      <c r="AN202" s="1759"/>
      <c r="AO202" s="651">
        <f>IF(AN202=0,0,1)</f>
        <v>0</v>
      </c>
      <c r="AP202" s="651"/>
    </row>
    <row r="203" spans="2:42" ht="15" customHeight="1">
      <c r="B203" s="46"/>
      <c r="C203" s="307"/>
      <c r="D203" s="307"/>
      <c r="P203" s="44"/>
      <c r="Q203" s="307"/>
      <c r="AM203" s="923" t="s">
        <v>1307</v>
      </c>
      <c r="AN203" s="1759">
        <f ca="1">SUM(Financeiros!D82:D86)</f>
        <v>0</v>
      </c>
      <c r="AO203" s="651">
        <f ca="1">IF(AN203=0,0,1)</f>
        <v>0</v>
      </c>
      <c r="AP203" s="651"/>
    </row>
    <row r="204" spans="2:42" ht="15" customHeight="1">
      <c r="B204" s="46"/>
      <c r="C204" s="307"/>
      <c r="D204" s="307"/>
      <c r="P204" s="44"/>
      <c r="Q204" s="307"/>
      <c r="AM204" s="923" t="s">
        <v>2312</v>
      </c>
      <c r="AN204" s="1759">
        <f ca="1">SUM(Financeiros!D87:D91)</f>
        <v>0</v>
      </c>
      <c r="AO204" s="651">
        <f t="shared" ca="1" si="11"/>
        <v>0</v>
      </c>
      <c r="AP204" s="651"/>
    </row>
    <row r="205" spans="2:42" ht="15" customHeight="1">
      <c r="B205" s="46"/>
      <c r="C205" s="307"/>
      <c r="D205" s="307"/>
      <c r="P205" s="44"/>
      <c r="Q205" s="307"/>
      <c r="AM205" s="923"/>
      <c r="AN205" s="1759"/>
      <c r="AO205" s="651">
        <f t="shared" si="11"/>
        <v>0</v>
      </c>
      <c r="AP205" s="651"/>
    </row>
    <row r="206" spans="2:42" ht="15" customHeight="1">
      <c r="B206" s="46"/>
      <c r="C206" s="307"/>
      <c r="D206" s="307"/>
      <c r="P206" s="44"/>
      <c r="Q206" s="307"/>
      <c r="AM206" s="923"/>
      <c r="AN206" s="1759"/>
      <c r="AO206" s="651">
        <f t="shared" si="11"/>
        <v>0</v>
      </c>
      <c r="AP206" s="651"/>
    </row>
    <row r="207" spans="2:42" ht="15" customHeight="1">
      <c r="B207" s="46"/>
      <c r="C207" s="307"/>
      <c r="D207" s="307"/>
      <c r="P207" s="44"/>
      <c r="Q207" s="307"/>
      <c r="AM207" s="923"/>
      <c r="AN207" s="1759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23" t="s">
        <v>728</v>
      </c>
      <c r="AN208" s="1116">
        <f ca="1">SUM(AN167:AN207)</f>
        <v>-2954449.5903607737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3" t="s">
        <v>823</v>
      </c>
      <c r="AQ211" s="303" t="s">
        <v>774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1" t="s">
        <v>824</v>
      </c>
      <c r="AQ212" s="1063" t="s">
        <v>825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826</v>
      </c>
      <c r="AQ213" s="228">
        <f>LnkTXTEfeitoAT</f>
        <v>8.1930122491024271E-2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827</v>
      </c>
      <c r="AQ214" s="228">
        <f>LnkTXTEfeitoBT</f>
        <v>0.11849277988093276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8" t="s">
        <v>828</v>
      </c>
      <c r="AQ215" s="1074">
        <f>LnkTXTEfeito</f>
        <v>0.1000147813445591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3" t="s">
        <v>829</v>
      </c>
      <c r="AT217" s="30"/>
      <c r="AU217" s="30"/>
      <c r="AV217" s="30"/>
      <c r="AW217" s="30"/>
      <c r="AX217" s="303" t="s">
        <v>774</v>
      </c>
    </row>
    <row r="218" spans="2:54" ht="39" customHeight="1" thickBot="1">
      <c r="B218" s="54"/>
      <c r="C218" s="317"/>
      <c r="D218" s="54"/>
      <c r="AS218" s="916" t="s">
        <v>830</v>
      </c>
      <c r="AT218" s="916" t="s">
        <v>794</v>
      </c>
      <c r="AU218" s="916" t="s">
        <v>831</v>
      </c>
      <c r="AV218" s="916" t="s">
        <v>832</v>
      </c>
      <c r="AW218" s="916" t="s">
        <v>833</v>
      </c>
      <c r="AX218" s="916" t="s">
        <v>834</v>
      </c>
      <c r="AY218" s="318" t="s">
        <v>783</v>
      </c>
      <c r="BB218" s="403"/>
    </row>
    <row r="219" spans="2:54" ht="15" customHeight="1" thickTop="1">
      <c r="B219" s="54"/>
      <c r="C219" s="317"/>
      <c r="D219" s="54"/>
      <c r="AS219" s="1095" t="s">
        <v>835</v>
      </c>
      <c r="AT219" s="1096">
        <f ca="1">SUM(AT220:AT229)</f>
        <v>9411909.3534778766</v>
      </c>
      <c r="AU219" s="1096">
        <f ca="1">SUM(AU220:AU229)</f>
        <v>13698098.292825773</v>
      </c>
      <c r="AV219" s="1097">
        <f ca="1">IF(AU219=0,0,ROUND(AU219/AT219-1,4))</f>
        <v>0.45540000000000003</v>
      </c>
      <c r="AW219" s="1097">
        <f ca="1">SUM(AW220:AW229)</f>
        <v>6.1712641267203668E-2</v>
      </c>
      <c r="AX219" s="1097">
        <f t="shared" ref="AX219:AX224" ca="1" si="12">AU219/$AU$237</f>
        <v>0.17617413286007647</v>
      </c>
      <c r="AY219" s="318">
        <v>1</v>
      </c>
    </row>
    <row r="220" spans="2:54" ht="15" hidden="1" customHeight="1">
      <c r="AS220" s="917" t="str">
        <f t="shared" ref="AS220:AT223" si="13">I75</f>
        <v>Reserva Global de Reversão – RGR</v>
      </c>
      <c r="AT220" s="918">
        <f t="shared" si="13"/>
        <v>0</v>
      </c>
      <c r="AU220" s="918">
        <f>Resultado!D15</f>
        <v>0</v>
      </c>
      <c r="AV220" s="919">
        <f t="shared" ref="AV220:AV235" si="14">IF(AU220=0,0,ROUND(AU220/AT220-1,3))</f>
        <v>0</v>
      </c>
      <c r="AW220" s="919">
        <f ca="1">(AU220-AT220)/$AT$237</f>
        <v>0</v>
      </c>
      <c r="AX220" s="919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7" t="str">
        <f t="shared" si="13"/>
        <v>Conta de Consumo de Combustíveis – CCC</v>
      </c>
      <c r="AT221" s="918">
        <f t="shared" si="13"/>
        <v>0</v>
      </c>
      <c r="AU221" s="918">
        <f>Resultado!D16</f>
        <v>0</v>
      </c>
      <c r="AV221" s="919">
        <f t="shared" si="14"/>
        <v>0</v>
      </c>
      <c r="AW221" s="919">
        <f ca="1">(AU221-AT221)/$AT$237</f>
        <v>0</v>
      </c>
      <c r="AX221" s="919">
        <f t="shared" ca="1" si="12"/>
        <v>0</v>
      </c>
      <c r="AY221" s="318">
        <f t="shared" ref="AY221:AY287" ca="1" si="15">IF(AW221=0,0,1)</f>
        <v>0</v>
      </c>
    </row>
    <row r="222" spans="2:54" ht="15" customHeight="1">
      <c r="B222" s="29"/>
      <c r="C222" s="39"/>
      <c r="H222" s="23"/>
      <c r="AS222" s="917" t="str">
        <f t="shared" si="13"/>
        <v>Taxa de Fisc. de Serviços de E.E. – TFSEE</v>
      </c>
      <c r="AT222" s="918">
        <f t="shared" ca="1" si="13"/>
        <v>120927.60719306121</v>
      </c>
      <c r="AU222" s="918">
        <f ca="1">Resultado!D17</f>
        <v>133762.32262577442</v>
      </c>
      <c r="AV222" s="919">
        <f ca="1">IF(AU222=0,0,ROUND(AU222/AT222-1,4))</f>
        <v>0.1061</v>
      </c>
      <c r="AW222" s="919">
        <f ca="1">(AU222-AT222)/$AT$237</f>
        <v>1.8479451103855873E-4</v>
      </c>
      <c r="AX222" s="919">
        <f t="shared" ca="1" si="12"/>
        <v>1.7203454592151482E-3</v>
      </c>
      <c r="AY222" s="318">
        <f t="shared" ca="1" si="15"/>
        <v>1</v>
      </c>
    </row>
    <row r="223" spans="2:54" ht="15" customHeight="1">
      <c r="C223" s="28"/>
      <c r="H223" s="23"/>
      <c r="AS223" s="917" t="str">
        <f t="shared" si="13"/>
        <v>Conta de Desenvolvimento Energético – CDE</v>
      </c>
      <c r="AT223" s="918">
        <f t="shared" ca="1" si="13"/>
        <v>7951526.9955657516</v>
      </c>
      <c r="AU223" s="918">
        <f ca="1">Resultado!D18-Encargos!I20</f>
        <v>11535786.343379999</v>
      </c>
      <c r="AV223" s="919">
        <f t="shared" ref="AV223" ca="1" si="16">IF(AU223=0,0,ROUND(AU223/AT223-1,4))</f>
        <v>0.45079999999999998</v>
      </c>
      <c r="AW223" s="919">
        <f ca="1">(AU223-AT223)/$AT$237</f>
        <v>5.1606243791468179E-2</v>
      </c>
      <c r="AX223" s="919">
        <f t="shared" ca="1" si="12"/>
        <v>0.14836418256455947</v>
      </c>
      <c r="AY223" s="318">
        <f t="shared" ca="1" si="15"/>
        <v>1</v>
      </c>
    </row>
    <row r="224" spans="2:54" ht="15" hidden="1" customHeight="1">
      <c r="C224" s="28"/>
      <c r="H224" s="23"/>
      <c r="AS224" s="917" t="s">
        <v>836</v>
      </c>
      <c r="AT224" s="918">
        <f ca="1">J79</f>
        <v>0</v>
      </c>
      <c r="AU224" s="918">
        <f>Encargos!I20</f>
        <v>0</v>
      </c>
      <c r="AV224" s="919">
        <f>IFERROR(IF(AU224=0,0,ROUND(AU224/AT224-1,4)),0)</f>
        <v>0</v>
      </c>
      <c r="AW224" s="919">
        <f ca="1">(AU224-AT224)/$AT$237</f>
        <v>0</v>
      </c>
      <c r="AX224" s="919">
        <f t="shared" ca="1" si="12"/>
        <v>0</v>
      </c>
      <c r="AY224" s="318">
        <f t="shared" ca="1" si="15"/>
        <v>0</v>
      </c>
    </row>
    <row r="225" spans="2:51" ht="15" hidden="1" customHeight="1">
      <c r="C225" s="28"/>
      <c r="H225" s="23"/>
      <c r="AS225" s="917" t="s">
        <v>2073</v>
      </c>
      <c r="AT225" s="918"/>
      <c r="AU225" s="918">
        <f>Encargos!I21</f>
        <v>0</v>
      </c>
      <c r="AV225" s="919">
        <f t="shared" ref="AV225:AV226" si="17">IFERROR(IF(AU225=0,0,ROUND(AU225/AT225-1,4)),0)</f>
        <v>0</v>
      </c>
      <c r="AW225" s="919"/>
      <c r="AX225" s="919"/>
      <c r="AY225" s="912">
        <f>IF(AW225=0,0,1)</f>
        <v>0</v>
      </c>
    </row>
    <row r="226" spans="2:51" ht="12.75" hidden="1">
      <c r="C226" s="28"/>
      <c r="H226" s="23"/>
      <c r="AS226" s="917" t="str">
        <f t="shared" ref="AS226:AT229" si="18">I81</f>
        <v>Encargos Serv. Sist. - ESS e Energ. Reserv. – EER</v>
      </c>
      <c r="AT226" s="918">
        <f t="shared" ca="1" si="18"/>
        <v>0</v>
      </c>
      <c r="AU226" s="918">
        <f>Resultado!D20</f>
        <v>0</v>
      </c>
      <c r="AV226" s="919">
        <f t="shared" si="17"/>
        <v>0</v>
      </c>
      <c r="AW226" s="919">
        <f ca="1">(AU226-AT226)/$AT$237</f>
        <v>0</v>
      </c>
      <c r="AX226" s="919">
        <f t="shared" ref="AX226:AX239" ca="1" si="19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7" t="str">
        <f t="shared" si="18"/>
        <v>PROINFA</v>
      </c>
      <c r="AT227" s="918">
        <f t="shared" ca="1" si="18"/>
        <v>1339454.750719063</v>
      </c>
      <c r="AU227" s="918">
        <f ca="1">Resultado!D21</f>
        <v>2028549.6268199999</v>
      </c>
      <c r="AV227" s="919">
        <f ca="1">IF(AU227=0,0,ROUND(AU227/AT227-1,4))</f>
        <v>0.51449999999999996</v>
      </c>
      <c r="AW227" s="919">
        <f ca="1">(AU227-AT227)/$AT$237</f>
        <v>9.9216029646969281E-3</v>
      </c>
      <c r="AX227" s="919">
        <f t="shared" ca="1" si="19"/>
        <v>2.6089604836301832E-2</v>
      </c>
      <c r="AY227" s="318">
        <f t="shared" ca="1" si="15"/>
        <v>1</v>
      </c>
    </row>
    <row r="228" spans="2:51" ht="15" hidden="1" customHeight="1">
      <c r="B228" s="29"/>
      <c r="C228" s="39"/>
      <c r="H228" s="23"/>
      <c r="AS228" s="917" t="str">
        <f t="shared" si="18"/>
        <v>P&amp;D e Eficiência Energética</v>
      </c>
      <c r="AT228" s="918">
        <f t="shared" ca="1" si="18"/>
        <v>0</v>
      </c>
      <c r="AU228" s="918">
        <f>Resultado!D22</f>
        <v>0</v>
      </c>
      <c r="AV228" s="919">
        <f>IF(AU228=0,0,ROUND(AU228/AT228-1,4))</f>
        <v>0</v>
      </c>
      <c r="AW228" s="919">
        <f ca="1">(AU228-AT228)/$AT$237</f>
        <v>0</v>
      </c>
      <c r="AX228" s="919">
        <f t="shared" ca="1" si="19"/>
        <v>0</v>
      </c>
      <c r="AY228" s="318">
        <v>0</v>
      </c>
    </row>
    <row r="229" spans="2:51" ht="15" hidden="1" customHeight="1">
      <c r="C229" s="340"/>
      <c r="H229" s="23"/>
      <c r="AS229" s="917" t="str">
        <f t="shared" si="18"/>
        <v>ONS</v>
      </c>
      <c r="AT229" s="918">
        <f t="shared" ca="1" si="18"/>
        <v>0</v>
      </c>
      <c r="AU229" s="918">
        <f>Resultado!D23</f>
        <v>0</v>
      </c>
      <c r="AV229" s="919">
        <f t="shared" si="14"/>
        <v>0</v>
      </c>
      <c r="AW229" s="919">
        <f ca="1">(AU229-AT229)/$AT$237</f>
        <v>0</v>
      </c>
      <c r="AX229" s="919">
        <f t="shared" ca="1" si="19"/>
        <v>0</v>
      </c>
      <c r="AY229" s="318">
        <v>0</v>
      </c>
    </row>
    <row r="230" spans="2:51" ht="15" customHeight="1">
      <c r="C230" s="307"/>
      <c r="H230" s="23"/>
      <c r="AS230" s="1095" t="s">
        <v>837</v>
      </c>
      <c r="AT230" s="1096">
        <f ca="1">AT231</f>
        <v>21999785.028878268</v>
      </c>
      <c r="AU230" s="1096">
        <f ca="1">AU231</f>
        <v>22227635.335340325</v>
      </c>
      <c r="AV230" s="1097">
        <f ca="1">IF(AU230=0,0,ROUND(AU230/AT230-1,4))</f>
        <v>1.04E-2</v>
      </c>
      <c r="AW230" s="1097">
        <f ca="1">AW231</f>
        <v>3.2805936519108795E-3</v>
      </c>
      <c r="AX230" s="1097">
        <f t="shared" ca="1" si="19"/>
        <v>0.28587430875601932</v>
      </c>
      <c r="AY230" s="318">
        <f t="shared" ca="1" si="15"/>
        <v>1</v>
      </c>
    </row>
    <row r="231" spans="2:51" ht="15" customHeight="1">
      <c r="C231" s="307"/>
      <c r="H231" s="23"/>
      <c r="AS231" s="917" t="s">
        <v>797</v>
      </c>
      <c r="AT231" s="918">
        <f ca="1">J86</f>
        <v>21999785.028878268</v>
      </c>
      <c r="AU231" s="918">
        <f ca="1">Resultado!D33</f>
        <v>22227635.335340325</v>
      </c>
      <c r="AV231" s="919">
        <f ca="1">IF(AU231=0,0,ROUND(AU231/AT231-1,4))</f>
        <v>1.04E-2</v>
      </c>
      <c r="AW231" s="919">
        <f ca="1">(AU231-AT231)/$AT$237</f>
        <v>3.2805936519108795E-3</v>
      </c>
      <c r="AX231" s="919">
        <f t="shared" ca="1" si="19"/>
        <v>0.28587430875601932</v>
      </c>
      <c r="AY231" s="318">
        <f t="shared" ca="1" si="15"/>
        <v>1</v>
      </c>
    </row>
    <row r="232" spans="2:51" ht="15" customHeight="1">
      <c r="AS232" s="1095" t="s">
        <v>838</v>
      </c>
      <c r="AT232" s="1096">
        <f ca="1">SUM(AT233:AT236)</f>
        <v>10588624.163059883</v>
      </c>
      <c r="AU232" s="1096">
        <f>SUM(AU233:AU236)</f>
        <v>11589713.29614</v>
      </c>
      <c r="AV232" s="1097">
        <f ca="1">IF(AU232=0,0,ROUND(AU232/AT232-1,4))</f>
        <v>9.4500000000000001E-2</v>
      </c>
      <c r="AW232" s="1097">
        <f ca="1">SUM(AW233:AW236)</f>
        <v>1.4413703040274378E-2</v>
      </c>
      <c r="AX232" s="1097">
        <f t="shared" ca="1" si="19"/>
        <v>0.14905774848423572</v>
      </c>
      <c r="AY232" s="318">
        <f t="shared" ca="1" si="15"/>
        <v>1</v>
      </c>
    </row>
    <row r="233" spans="2:51" ht="15" hidden="1" customHeight="1">
      <c r="AS233" s="917" t="str">
        <f>Resultado!B25</f>
        <v>Rede Básica</v>
      </c>
      <c r="AT233" s="918">
        <f ca="1">J88</f>
        <v>0</v>
      </c>
      <c r="AU233" s="918">
        <f>Resultado!D25</f>
        <v>0</v>
      </c>
      <c r="AV233" s="919">
        <f>IF(AU233=0,0,ROUND(AU233/AT233-1,3))</f>
        <v>0</v>
      </c>
      <c r="AW233" s="919">
        <f ca="1">(AU233-AT233)/$AT$237</f>
        <v>0</v>
      </c>
      <c r="AX233" s="919">
        <f t="shared" ca="1" si="19"/>
        <v>0</v>
      </c>
      <c r="AY233" s="318">
        <f t="shared" ca="1" si="15"/>
        <v>0</v>
      </c>
    </row>
    <row r="234" spans="2:51" ht="15" hidden="1" customHeight="1">
      <c r="AS234" s="917" t="str">
        <f>Resultado!B26</f>
        <v>Rede Básica Fronteira</v>
      </c>
      <c r="AT234" s="918">
        <f ca="1">J89</f>
        <v>0</v>
      </c>
      <c r="AU234" s="918">
        <f>Resultado!D26</f>
        <v>0</v>
      </c>
      <c r="AV234" s="919">
        <f t="shared" si="14"/>
        <v>0</v>
      </c>
      <c r="AW234" s="919">
        <f ca="1">(AU234-AT234)/$AT$237</f>
        <v>0</v>
      </c>
      <c r="AX234" s="919">
        <f t="shared" ca="1" si="19"/>
        <v>0</v>
      </c>
      <c r="AY234" s="318">
        <f t="shared" ca="1" si="15"/>
        <v>0</v>
      </c>
    </row>
    <row r="235" spans="2:51" ht="15" hidden="1" customHeight="1">
      <c r="H235" s="23"/>
      <c r="AS235" s="917" t="str">
        <f>Resultado!B31</f>
        <v>Conexão</v>
      </c>
      <c r="AT235" s="918">
        <f ca="1">J94</f>
        <v>0</v>
      </c>
      <c r="AU235" s="918">
        <f>Resultado!D31</f>
        <v>0</v>
      </c>
      <c r="AV235" s="919">
        <f t="shared" si="14"/>
        <v>0</v>
      </c>
      <c r="AW235" s="919">
        <f ca="1">(AU235-AT235)/$AT$237</f>
        <v>0</v>
      </c>
      <c r="AX235" s="919">
        <f t="shared" ca="1" si="19"/>
        <v>0</v>
      </c>
      <c r="AY235" s="318">
        <f t="shared" ca="1" si="15"/>
        <v>0</v>
      </c>
    </row>
    <row r="236" spans="2:51" ht="15" customHeight="1">
      <c r="H236" s="23"/>
      <c r="AS236" s="917" t="str">
        <f>Resultado!B32</f>
        <v>Uso do sistema de distribuição</v>
      </c>
      <c r="AT236" s="918">
        <f ca="1">J95</f>
        <v>10588624.163059883</v>
      </c>
      <c r="AU236" s="918">
        <f>Resultado!D32</f>
        <v>11589713.29614</v>
      </c>
      <c r="AV236" s="919">
        <f ca="1">IF(AU236=0,0,ROUND(AU236/AT236-1,4))</f>
        <v>9.4500000000000001E-2</v>
      </c>
      <c r="AW236" s="919">
        <f ca="1">(AU236-AT236)/$AT$237</f>
        <v>1.4413703040274378E-2</v>
      </c>
      <c r="AX236" s="919">
        <f t="shared" ca="1" si="19"/>
        <v>0.14905774848423572</v>
      </c>
      <c r="AY236" s="318">
        <f t="shared" ca="1" si="15"/>
        <v>1</v>
      </c>
    </row>
    <row r="237" spans="2:51" ht="15" hidden="1" customHeight="1">
      <c r="C237" s="19"/>
      <c r="AS237" s="1095" t="s">
        <v>839</v>
      </c>
      <c r="AT237" s="1096">
        <f ca="1">Mercado_RA0_Reais</f>
        <v>69453986.271459967</v>
      </c>
      <c r="AU237" s="1096">
        <f ca="1">AU219+AU230+AU232+AU239</f>
        <v>77753175.624853358</v>
      </c>
      <c r="AV237" s="1098"/>
      <c r="AW237" s="1098"/>
      <c r="AX237" s="1097">
        <f t="shared" ca="1" si="19"/>
        <v>1</v>
      </c>
      <c r="AY237" s="318">
        <f t="shared" si="15"/>
        <v>0</v>
      </c>
    </row>
    <row r="238" spans="2:51" ht="15" customHeight="1">
      <c r="C238" s="19"/>
      <c r="AS238" s="1099" t="s">
        <v>840</v>
      </c>
      <c r="AT238" s="1100">
        <f ca="1">AT219+AT230+AT232</f>
        <v>42000318.545416027</v>
      </c>
      <c r="AU238" s="1100">
        <f ca="1">AU219+AU230+AU232</f>
        <v>47515446.924306095</v>
      </c>
      <c r="AV238" s="1101">
        <f ca="1">IF(AU238=0,0,ROUND(AU238/AT238-1,4))</f>
        <v>0.1313</v>
      </c>
      <c r="AW238" s="1101">
        <f ca="1">(AU238-AT238)/AT237</f>
        <v>7.9406937959388857E-2</v>
      </c>
      <c r="AX238" s="1101">
        <f t="shared" ca="1" si="19"/>
        <v>0.61110619010033151</v>
      </c>
      <c r="AY238" s="318">
        <f t="shared" ca="1" si="15"/>
        <v>1</v>
      </c>
    </row>
    <row r="239" spans="2:51" ht="15" customHeight="1">
      <c r="B239" s="28"/>
      <c r="C239" s="19"/>
      <c r="AS239" s="1099" t="s">
        <v>841</v>
      </c>
      <c r="AT239" s="1100">
        <f ca="1">AT237-AT238</f>
        <v>27453667.72604394</v>
      </c>
      <c r="AU239" s="1100">
        <f>Resultado!D39</f>
        <v>30237728.700547267</v>
      </c>
      <c r="AV239" s="1101">
        <f ca="1">IF(AU239=0,0,ROUND(AU239/AT239-1,4))</f>
        <v>0.1014</v>
      </c>
      <c r="AW239" s="1101">
        <f ca="1">(AU239-AT239)/AT237</f>
        <v>4.0084970265376309E-2</v>
      </c>
      <c r="AX239" s="1101">
        <f t="shared" ca="1" si="19"/>
        <v>0.3888938098996686</v>
      </c>
      <c r="AY239" s="318">
        <f t="shared" ca="1" si="15"/>
        <v>1</v>
      </c>
    </row>
    <row r="240" spans="2:51" ht="15" customHeight="1">
      <c r="AS240" s="1102" t="str">
        <f>Resultado!B7</f>
        <v>Variação econômica</v>
      </c>
      <c r="AT240" s="1102"/>
      <c r="AU240" s="1102"/>
      <c r="AV240" s="1103"/>
      <c r="AW240" s="1104">
        <f ca="1">ROUND((AU239+AU238)/(AT238+AT239)-1,4)</f>
        <v>0.1195</v>
      </c>
      <c r="AX240" s="1103"/>
      <c r="AY240" s="318">
        <v>1</v>
      </c>
    </row>
    <row r="241" spans="2:51" ht="15" hidden="1" customHeight="1">
      <c r="AS241" s="920"/>
      <c r="AT241" s="920"/>
      <c r="AU241" s="920"/>
      <c r="AV241" s="921"/>
      <c r="AW241" s="922"/>
      <c r="AX241" s="922"/>
      <c r="AY241" s="318">
        <f t="shared" si="15"/>
        <v>0</v>
      </c>
    </row>
    <row r="242" spans="2:51" ht="15" customHeight="1">
      <c r="AS242" s="1095" t="s">
        <v>842</v>
      </c>
      <c r="AT242" s="1105"/>
      <c r="AU242" s="1105"/>
      <c r="AV242" s="1106"/>
      <c r="AW242" s="1097" t="s">
        <v>843</v>
      </c>
      <c r="AX242" s="1097"/>
      <c r="AY242" s="318">
        <v>1</v>
      </c>
    </row>
    <row r="243" spans="2:51" ht="15" customHeight="1">
      <c r="AS243" s="923" t="str">
        <f>AM167</f>
        <v>Repasse de PIS COFINS</v>
      </c>
      <c r="AT243" s="923"/>
      <c r="AU243" s="924">
        <f ca="1">AN167</f>
        <v>1120695.8526822417</v>
      </c>
      <c r="AV243" s="925"/>
      <c r="AW243" s="925">
        <f ca="1">AU243/Financeiros!$D$4</f>
        <v>1.6135803182009124E-2</v>
      </c>
      <c r="AX243" s="922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3" t="str">
        <f t="shared" ref="AS244:AS271" si="20">AM168</f>
        <v>Neutralidade Encargos Setoriais</v>
      </c>
      <c r="AT244" s="923"/>
      <c r="AU244" s="924">
        <f t="shared" ref="AU244:AU283" ca="1" si="21">AN168</f>
        <v>-415064.38209668017</v>
      </c>
      <c r="AV244" s="925"/>
      <c r="AW244" s="925">
        <f ca="1">AU244/Financeiros!$D$4</f>
        <v>-5.97610597143275E-3</v>
      </c>
      <c r="AX244" s="922"/>
      <c r="AY244" s="318">
        <f t="shared" ref="AY244:AY252" ca="1" si="22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3" t="str">
        <f t="shared" si="20"/>
        <v>Neutralidade Financeiros e Encargos Conta Covid</v>
      </c>
      <c r="AT245" s="923"/>
      <c r="AU245" s="924">
        <f t="shared" ca="1" si="21"/>
        <v>0</v>
      </c>
      <c r="AV245" s="925"/>
      <c r="AW245" s="925">
        <f ca="1">AU245/Financeiros!$D$4</f>
        <v>0</v>
      </c>
      <c r="AX245" s="922"/>
      <c r="AY245" s="318">
        <f t="shared" ca="1" si="22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3" t="str">
        <f t="shared" si="20"/>
        <v>Neutralidades Crédito de Pis cofins</v>
      </c>
      <c r="AT246" s="923"/>
      <c r="AU246" s="924">
        <f t="shared" ca="1" si="21"/>
        <v>0</v>
      </c>
      <c r="AV246" s="925"/>
      <c r="AW246" s="925">
        <f ca="1">AU246/Financeiros!$D$4</f>
        <v>0</v>
      </c>
      <c r="AX246" s="922"/>
      <c r="AY246" s="318">
        <f t="shared" ca="1" si="22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3" t="str">
        <f t="shared" si="20"/>
        <v>Ajuste CUST RB + PIS Cofins</v>
      </c>
      <c r="AT247" s="923"/>
      <c r="AU247" s="924">
        <f t="shared" si="21"/>
        <v>0</v>
      </c>
      <c r="AV247" s="925"/>
      <c r="AW247" s="925">
        <f ca="1">AU247/Financeiros!$D$4</f>
        <v>0</v>
      </c>
      <c r="AX247" s="922"/>
      <c r="AY247" s="318">
        <f t="shared" ca="1" si="22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3">
        <f t="shared" si="20"/>
        <v>0</v>
      </c>
      <c r="AT248" s="923"/>
      <c r="AU248" s="924">
        <f t="shared" si="21"/>
        <v>0</v>
      </c>
      <c r="AV248" s="925"/>
      <c r="AW248" s="925">
        <f ca="1">AU248/Financeiros!$D$4</f>
        <v>0</v>
      </c>
      <c r="AX248" s="922"/>
      <c r="AY248" s="318">
        <f t="shared" ca="1" si="22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3">
        <f t="shared" si="20"/>
        <v>0</v>
      </c>
      <c r="AT249" s="923"/>
      <c r="AU249" s="924">
        <f t="shared" si="21"/>
        <v>0</v>
      </c>
      <c r="AV249" s="925"/>
      <c r="AW249" s="925">
        <f ca="1">AU249/Financeiros!$D$4</f>
        <v>0</v>
      </c>
      <c r="AX249" s="922"/>
      <c r="AY249" s="318">
        <f t="shared" ca="1" si="22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3" t="str">
        <f t="shared" si="20"/>
        <v>Manual de Contabilidade do Setor Elétrico</v>
      </c>
      <c r="AT250" s="923"/>
      <c r="AU250" s="924">
        <f t="shared" si="21"/>
        <v>0</v>
      </c>
      <c r="AV250" s="925"/>
      <c r="AW250" s="925">
        <f ca="1">AU250/Financeiros!$D$4</f>
        <v>0</v>
      </c>
      <c r="AX250" s="922"/>
      <c r="AY250" s="318">
        <f t="shared" ca="1" si="22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3" t="str">
        <f t="shared" si="20"/>
        <v>Financeiro CDE Eletrobras</v>
      </c>
      <c r="AT251" s="923"/>
      <c r="AU251" s="924">
        <f t="shared" si="21"/>
        <v>0</v>
      </c>
      <c r="AV251" s="925"/>
      <c r="AW251" s="925">
        <f ca="1">AU251/Financeiros!$D$4</f>
        <v>0</v>
      </c>
      <c r="AX251" s="922"/>
      <c r="AY251" s="318">
        <f t="shared" ca="1" si="22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3" t="str">
        <f t="shared" si="20"/>
        <v>Ajustes Processo Anterior</v>
      </c>
      <c r="AT252" s="923"/>
      <c r="AU252" s="924">
        <f t="shared" si="21"/>
        <v>0</v>
      </c>
      <c r="AV252" s="925"/>
      <c r="AW252" s="925">
        <f ca="1">AU252/Financeiros!$D$4</f>
        <v>0</v>
      </c>
      <c r="AX252" s="922"/>
      <c r="AY252" s="318">
        <f t="shared" ca="1" si="22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3" t="str">
        <f t="shared" si="20"/>
        <v>Compensação DIC FIC</v>
      </c>
      <c r="AT253" s="923"/>
      <c r="AU253" s="924">
        <f t="shared" si="21"/>
        <v>0</v>
      </c>
      <c r="AV253" s="925"/>
      <c r="AW253" s="925">
        <f ca="1">AU253/Financeiros!$D$4</f>
        <v>0</v>
      </c>
      <c r="AX253" s="922"/>
      <c r="AY253" s="912">
        <f ca="1">IF(AW253=0,0,1)</f>
        <v>0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3" t="str">
        <f t="shared" si="20"/>
        <v>Subvenção CDE</v>
      </c>
      <c r="AT254" s="923"/>
      <c r="AU254" s="924">
        <f t="shared" ca="1" si="21"/>
        <v>-1327071.3845209642</v>
      </c>
      <c r="AV254" s="925"/>
      <c r="AW254" s="925">
        <f ca="1">AU254/Financeiros!$D$4</f>
        <v>-1.91072025633507E-2</v>
      </c>
      <c r="AX254" s="922"/>
      <c r="AY254" s="912">
        <f t="shared" ref="AY254:AY256" ca="1" si="23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3" t="str">
        <f t="shared" si="20"/>
        <v>Retenção de Adicionais de Bandeiras Tarifárias</v>
      </c>
      <c r="AT255" s="923"/>
      <c r="AU255" s="924">
        <f t="shared" si="21"/>
        <v>-2333009.6764253709</v>
      </c>
      <c r="AV255" s="925"/>
      <c r="AW255" s="925">
        <f ca="1">AU255/Financeiros!$D$4</f>
        <v>-3.3590723897500049E-2</v>
      </c>
      <c r="AX255" s="922"/>
      <c r="AY255" s="912">
        <f t="shared" ca="1" si="23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3" t="str">
        <f t="shared" si="20"/>
        <v>Multa LPT</v>
      </c>
      <c r="AT256" s="923"/>
      <c r="AU256" s="924">
        <f t="shared" si="21"/>
        <v>0</v>
      </c>
      <c r="AV256" s="925"/>
      <c r="AW256" s="925">
        <f ca="1">AU256/Financeiros!$D$4</f>
        <v>0</v>
      </c>
      <c r="AX256" s="922"/>
      <c r="AY256" s="912">
        <f t="shared" ca="1" si="23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3" t="str">
        <f t="shared" si="20"/>
        <v>Repasse de ICMS</v>
      </c>
      <c r="AT257" s="923"/>
      <c r="AU257" s="924">
        <f t="shared" si="21"/>
        <v>0</v>
      </c>
      <c r="AV257" s="925"/>
      <c r="AW257" s="925">
        <f ca="1">AU257/Financeiros!$D$4</f>
        <v>0</v>
      </c>
      <c r="AX257" s="922"/>
      <c r="AY257" s="912">
        <f t="shared" ref="AY257:AY261" ca="1" si="24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3">
        <f t="shared" si="20"/>
        <v>0</v>
      </c>
      <c r="AT258" s="923"/>
      <c r="AU258" s="924">
        <f t="shared" si="21"/>
        <v>0</v>
      </c>
      <c r="AV258" s="925"/>
      <c r="AW258" s="925">
        <f ca="1">AU258/Financeiros!$D$4</f>
        <v>0</v>
      </c>
      <c r="AX258" s="922"/>
      <c r="AY258" s="912">
        <f t="shared" ref="AY258:AY260" ca="1" si="25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3" t="str">
        <f t="shared" si="20"/>
        <v>Ressarcimento P&amp;D</v>
      </c>
      <c r="AT259" s="923"/>
      <c r="AU259" s="924">
        <f t="shared" si="21"/>
        <v>0</v>
      </c>
      <c r="AV259" s="925"/>
      <c r="AW259" s="925">
        <f ca="1">AU259/Financeiros!$D$4</f>
        <v>0</v>
      </c>
      <c r="AX259" s="922"/>
      <c r="AY259" s="912">
        <f t="shared" ca="1" si="25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3" t="str">
        <f t="shared" si="20"/>
        <v>Efeito Conta COVID</v>
      </c>
      <c r="AT260" s="923"/>
      <c r="AU260" s="924">
        <f t="shared" si="21"/>
        <v>0</v>
      </c>
      <c r="AV260" s="925"/>
      <c r="AW260" s="925">
        <f ca="1">AU260/Financeiros!$D$4</f>
        <v>0</v>
      </c>
      <c r="AX260" s="922"/>
      <c r="AY260" s="912">
        <f t="shared" ca="1" si="25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3" t="str">
        <f t="shared" si="20"/>
        <v>Diferimento de Parcela B</v>
      </c>
      <c r="AT261" s="923"/>
      <c r="AU261" s="924">
        <f t="shared" si="21"/>
        <v>0</v>
      </c>
      <c r="AV261" s="925"/>
      <c r="AW261" s="925">
        <f ca="1">AU261/Financeiros!$D$4</f>
        <v>0</v>
      </c>
      <c r="AX261" s="922"/>
      <c r="AY261" s="912">
        <f t="shared" ca="1" si="24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3" t="str">
        <f t="shared" si="20"/>
        <v>Efeito COVID da Supridora</v>
      </c>
      <c r="AT262" s="923"/>
      <c r="AU262" s="924">
        <f t="shared" si="21"/>
        <v>0</v>
      </c>
      <c r="AV262" s="925"/>
      <c r="AW262" s="925">
        <f ca="1">AU262/Financeiros!$D$4</f>
        <v>0</v>
      </c>
      <c r="AX262" s="922"/>
      <c r="AY262" s="915">
        <f t="shared" ref="AY262:AY263" ca="1" si="26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3" t="str">
        <f t="shared" si="20"/>
        <v>Crédito de Pis Cofins sobre ICMS</v>
      </c>
      <c r="AT263" s="923"/>
      <c r="AU263" s="924">
        <f t="shared" si="21"/>
        <v>0</v>
      </c>
      <c r="AV263" s="925"/>
      <c r="AW263" s="925">
        <f ca="1">AU263/Financeiros!$D$4</f>
        <v>0</v>
      </c>
      <c r="AX263" s="922"/>
      <c r="AY263" s="915">
        <f t="shared" ca="1" si="26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3" t="str">
        <f t="shared" si="20"/>
        <v>Diferimento PIS Cofins</v>
      </c>
      <c r="AT264" s="923"/>
      <c r="AU264" s="924">
        <f t="shared" si="21"/>
        <v>0</v>
      </c>
      <c r="AV264" s="925"/>
      <c r="AW264" s="925">
        <f ca="1">AU264/Financeiros!$D$4</f>
        <v>0</v>
      </c>
      <c r="AX264" s="922"/>
      <c r="AY264" s="915">
        <f t="shared" ref="AY264:AY271" ca="1" si="27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3">
        <f t="shared" si="20"/>
        <v>0</v>
      </c>
      <c r="AT265" s="923"/>
      <c r="AU265" s="924">
        <f t="shared" si="21"/>
        <v>0</v>
      </c>
      <c r="AV265" s="925"/>
      <c r="AW265" s="925">
        <f ca="1">AU265/Financeiros!$D$4</f>
        <v>0</v>
      </c>
      <c r="AX265" s="922"/>
      <c r="AY265" s="915">
        <f t="shared" ca="1" si="27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3" t="str">
        <f t="shared" si="20"/>
        <v>Financeiros associados ao §7º do Art. 88 da Ren 414/2021</v>
      </c>
      <c r="AT266" s="923"/>
      <c r="AU266" s="924">
        <f t="shared" si="21"/>
        <v>0</v>
      </c>
      <c r="AV266" s="925"/>
      <c r="AW266" s="925">
        <f ca="1">AU266/Financeiros!$D$4</f>
        <v>0</v>
      </c>
      <c r="AX266" s="922"/>
      <c r="AY266" s="915">
        <f t="shared" ca="1" si="27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3" t="str">
        <f t="shared" si="20"/>
        <v>Spread Conta Covid</v>
      </c>
      <c r="AT267" s="923"/>
      <c r="AU267" s="924">
        <f t="shared" si="21"/>
        <v>0</v>
      </c>
      <c r="AV267" s="925"/>
      <c r="AW267" s="925">
        <f ca="1">AU267/Financeiros!$D$4</f>
        <v>0</v>
      </c>
      <c r="AX267" s="922"/>
      <c r="AY267" s="915">
        <f t="shared" ca="1" si="27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3" t="str">
        <f t="shared" si="20"/>
        <v>Diferimento de Energia</v>
      </c>
      <c r="AT268" s="923"/>
      <c r="AU268" s="924">
        <f t="shared" si="21"/>
        <v>0</v>
      </c>
      <c r="AV268" s="925"/>
      <c r="AW268" s="925">
        <f ca="1">AU268/Financeiros!$D$4</f>
        <v>0</v>
      </c>
      <c r="AX268" s="922"/>
      <c r="AY268" s="915">
        <f t="shared" ca="1" si="27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3" t="str">
        <f t="shared" si="20"/>
        <v xml:space="preserve">Reversão do Diferimento de Compra de Energia </v>
      </c>
      <c r="AT269" s="923"/>
      <c r="AU269" s="924">
        <f t="shared" si="21"/>
        <v>0</v>
      </c>
      <c r="AV269" s="925"/>
      <c r="AW269" s="925">
        <f ca="1">AU269/Financeiros!$D$4</f>
        <v>0</v>
      </c>
      <c r="AX269" s="922"/>
      <c r="AY269" s="915">
        <f t="shared" ca="1" si="27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3" t="str">
        <f t="shared" si="20"/>
        <v>Reversão do Diferimento de Parcela B</v>
      </c>
      <c r="AT270" s="923"/>
      <c r="AU270" s="924">
        <f t="shared" si="21"/>
        <v>0</v>
      </c>
      <c r="AV270" s="925"/>
      <c r="AW270" s="925">
        <f ca="1">AU270/Financeiros!$D$4</f>
        <v>0</v>
      </c>
      <c r="AX270" s="922"/>
      <c r="AY270" s="915">
        <f t="shared" ca="1" si="27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3" t="str">
        <f t="shared" si="20"/>
        <v>Reversão do Diferimento de Pis Cofins</v>
      </c>
      <c r="AT271" s="923"/>
      <c r="AU271" s="924">
        <f t="shared" si="21"/>
        <v>0</v>
      </c>
      <c r="AV271" s="925"/>
      <c r="AW271" s="925">
        <f ca="1">AU271/Financeiros!$D$4</f>
        <v>0</v>
      </c>
      <c r="AX271" s="922"/>
      <c r="AY271" s="915">
        <f t="shared" ca="1" si="27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3">
        <f t="shared" ref="AS272:AS276" si="28">AM196</f>
        <v>0</v>
      </c>
      <c r="AT272" s="923"/>
      <c r="AU272" s="924">
        <f t="shared" si="21"/>
        <v>0</v>
      </c>
      <c r="AV272" s="925"/>
      <c r="AW272" s="925">
        <f ca="1">AU272/Financeiros!$D$4</f>
        <v>0</v>
      </c>
      <c r="AX272" s="922"/>
      <c r="AY272" s="912">
        <f t="shared" ref="AY272:AY276" ca="1" si="29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3" t="str">
        <f t="shared" si="28"/>
        <v>CVE - Energia</v>
      </c>
      <c r="AT273" s="923"/>
      <c r="AU273" s="924">
        <f t="shared" ca="1" si="21"/>
        <v>0</v>
      </c>
      <c r="AV273" s="925"/>
      <c r="AW273" s="925">
        <f ca="1">AU273/Financeiros!$D$4</f>
        <v>0</v>
      </c>
      <c r="AX273" s="922"/>
      <c r="AY273" s="912">
        <f t="shared" ca="1" si="29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3" t="str">
        <f t="shared" si="28"/>
        <v>CVE - Encargos</v>
      </c>
      <c r="AT274" s="923"/>
      <c r="AU274" s="924">
        <f t="shared" si="21"/>
        <v>0</v>
      </c>
      <c r="AV274" s="925"/>
      <c r="AW274" s="925">
        <f ca="1">AU274/Financeiros!$D$4</f>
        <v>0</v>
      </c>
      <c r="AX274" s="922"/>
      <c r="AY274" s="912">
        <f t="shared" ca="1" si="29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3" t="str">
        <f t="shared" si="28"/>
        <v>Conta Escassez</v>
      </c>
      <c r="AT275" s="923"/>
      <c r="AU275" s="924">
        <f t="shared" ca="1" si="21"/>
        <v>0</v>
      </c>
      <c r="AV275" s="925"/>
      <c r="AW275" s="925">
        <f ca="1">AU275/Financeiros!$D$4</f>
        <v>0</v>
      </c>
      <c r="AX275" s="922"/>
      <c r="AY275" s="912">
        <f t="shared" ca="1" si="29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3">
        <f t="shared" si="28"/>
        <v>0</v>
      </c>
      <c r="AT276" s="923"/>
      <c r="AU276" s="924">
        <f t="shared" si="21"/>
        <v>0</v>
      </c>
      <c r="AV276" s="925"/>
      <c r="AW276" s="925">
        <f ca="1">AU276/Financeiros!$D$4</f>
        <v>0</v>
      </c>
      <c r="AX276" s="922"/>
      <c r="AY276" s="912">
        <f t="shared" ca="1" si="29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3">
        <f t="shared" ref="AS277:AS281" si="30">AM201</f>
        <v>0</v>
      </c>
      <c r="AT277" s="923"/>
      <c r="AU277" s="924">
        <f t="shared" si="21"/>
        <v>0</v>
      </c>
      <c r="AV277" s="925"/>
      <c r="AW277" s="925">
        <f ca="1">AU277/Financeiros!$D$4</f>
        <v>0</v>
      </c>
      <c r="AX277" s="922"/>
      <c r="AY277" s="912">
        <f t="shared" ref="AY277:AY281" ca="1" si="31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3" t="str">
        <f t="shared" si="30"/>
        <v>Sobrecontratação/Exposição de Energia</v>
      </c>
      <c r="AT278" s="923"/>
      <c r="AU278" s="924">
        <f t="shared" si="21"/>
        <v>0</v>
      </c>
      <c r="AV278" s="925"/>
      <c r="AW278" s="925">
        <f ca="1">AU278/Financeiros!$D$4</f>
        <v>0</v>
      </c>
      <c r="AX278" s="922"/>
      <c r="AY278" s="912">
        <f t="shared" ca="1" si="31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3" t="str">
        <f t="shared" si="30"/>
        <v>Reversão de Risco Hidrológico</v>
      </c>
      <c r="AT279" s="923"/>
      <c r="AU279" s="924">
        <f t="shared" ca="1" si="21"/>
        <v>0</v>
      </c>
      <c r="AV279" s="925"/>
      <c r="AW279" s="925">
        <f ca="1">AU279/Financeiros!$D$4</f>
        <v>0</v>
      </c>
      <c r="AX279" s="922"/>
      <c r="AY279" s="912">
        <f t="shared" ca="1" si="31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3" t="str">
        <f t="shared" si="30"/>
        <v>Previsão de Risco Hidrologico</v>
      </c>
      <c r="AT280" s="923"/>
      <c r="AU280" s="924">
        <f t="shared" ca="1" si="21"/>
        <v>0</v>
      </c>
      <c r="AV280" s="925"/>
      <c r="AW280" s="925">
        <f ca="1">AU280/Financeiros!$D$4</f>
        <v>0</v>
      </c>
      <c r="AX280" s="922"/>
      <c r="AY280" s="912">
        <f t="shared" ca="1" si="31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3">
        <f t="shared" si="30"/>
        <v>0</v>
      </c>
      <c r="AT281" s="923"/>
      <c r="AU281" s="924">
        <f t="shared" si="21"/>
        <v>0</v>
      </c>
      <c r="AV281" s="925"/>
      <c r="AW281" s="925">
        <f ca="1">AU281/Financeiros!$D$4</f>
        <v>0</v>
      </c>
      <c r="AX281" s="922"/>
      <c r="AY281" s="912">
        <f t="shared" ca="1" si="31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3">
        <f t="shared" ref="AS282:AS283" si="32">AM206</f>
        <v>0</v>
      </c>
      <c r="AT282" s="923"/>
      <c r="AU282" s="924">
        <f t="shared" si="21"/>
        <v>0</v>
      </c>
      <c r="AV282" s="925"/>
      <c r="AW282" s="925">
        <f ca="1">AU282/Financeiros!$D$4</f>
        <v>0</v>
      </c>
      <c r="AX282" s="922"/>
      <c r="AY282" s="912">
        <f t="shared" ref="AY282:AY283" ca="1" si="33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3">
        <f t="shared" si="32"/>
        <v>0</v>
      </c>
      <c r="AT283" s="923"/>
      <c r="AU283" s="924">
        <f t="shared" si="21"/>
        <v>0</v>
      </c>
      <c r="AV283" s="925"/>
      <c r="AW283" s="925">
        <f ca="1">AU283/Financeiros!$D$4</f>
        <v>0</v>
      </c>
      <c r="AX283" s="922"/>
      <c r="AY283" s="912">
        <f t="shared" ca="1" si="33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2" t="s">
        <v>844</v>
      </c>
      <c r="AT284" s="1102"/>
      <c r="AU284" s="1107">
        <f ca="1">SUM(AU243:AU283)</f>
        <v>-2954449.5903607737</v>
      </c>
      <c r="AV284" s="1108"/>
      <c r="AW284" s="1108">
        <f ca="1">ROUND(SUM(AW243:AW283),4)</f>
        <v>-4.2500000000000003E-2</v>
      </c>
      <c r="AX284" s="1108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9" t="str">
        <f>Resultado!B9</f>
        <v>Variação econômica e financeira</v>
      </c>
      <c r="AT285" s="1109"/>
      <c r="AU285" s="1109"/>
      <c r="AV285" s="1110"/>
      <c r="AW285" s="1110">
        <f ca="1">ROUND(AW240+AW284,4)</f>
        <v>7.6999999999999999E-2</v>
      </c>
      <c r="AX285" s="1110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2" t="s">
        <v>845</v>
      </c>
      <c r="AT286" s="1102"/>
      <c r="AU286" s="1102"/>
      <c r="AV286" s="1102"/>
      <c r="AW286" s="1111">
        <f ca="1">ROUND(AW288-AW285,4)</f>
        <v>2.3E-2</v>
      </c>
      <c r="AX286" s="1111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2" t="s">
        <v>846</v>
      </c>
      <c r="AT287" s="1112"/>
      <c r="AU287" s="1107"/>
      <c r="AV287" s="1107"/>
      <c r="AW287" s="1113">
        <v>0</v>
      </c>
      <c r="AX287" s="1114"/>
      <c r="AY287" s="318">
        <f t="shared" si="15"/>
        <v>0</v>
      </c>
      <c r="BA287" s="769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5" t="s">
        <v>847</v>
      </c>
      <c r="AT288" s="1835"/>
      <c r="AU288" s="1835"/>
      <c r="AV288" s="1835"/>
      <c r="AW288" s="1110">
        <f>Resultado!L5</f>
        <v>0.1000147813445591</v>
      </c>
      <c r="AX288" s="1110"/>
      <c r="AY288" s="318"/>
    </row>
    <row r="289" spans="2:84" ht="15" customHeight="1">
      <c r="AW289" s="771">
        <v>-0.1116</v>
      </c>
      <c r="BA289" s="1093" t="s">
        <v>848</v>
      </c>
      <c r="BB289" s="30" t="s">
        <v>849</v>
      </c>
      <c r="BC289" s="30"/>
      <c r="BD289" s="30"/>
      <c r="BE289" s="30"/>
      <c r="BF289" s="30"/>
      <c r="BG289" s="30"/>
      <c r="BH289" s="303" t="s">
        <v>774</v>
      </c>
      <c r="BI289" s="303" t="s">
        <v>774</v>
      </c>
    </row>
    <row r="290" spans="2:84" ht="45" customHeight="1">
      <c r="AU290" s="413"/>
      <c r="BA290" s="928" t="s">
        <v>850</v>
      </c>
      <c r="BB290" s="928" t="str">
        <f>"Cobertura "&amp;YEAR(CAPA!C14)&amp;"/"&amp;YEAR(CAPA!C14)+1</f>
        <v>Cobertura 2021/2022</v>
      </c>
      <c r="BC290" s="928" t="str">
        <f>"Cobertura "&amp;YEAR(CAPA!C14)&amp;"/"&amp;YEAR(CAPA!C14)+1&amp;" Atualizada"</f>
        <v>Cobertura 2021/2022 Atualizada</v>
      </c>
      <c r="BD290" s="928" t="s">
        <v>851</v>
      </c>
      <c r="BE290" s="928" t="s">
        <v>852</v>
      </c>
      <c r="BF290" s="928" t="s">
        <v>853</v>
      </c>
      <c r="BG290" s="928" t="str">
        <f>"Previsão "&amp;YEAR(CAPA!C14)+1&amp;"/"&amp;YEAR(CAPA!C14)+2</f>
        <v>Previsão 2022/2023</v>
      </c>
      <c r="BH290" s="928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727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29" t="e">
        <f>Indexador!#REF!</f>
        <v>#REF!</v>
      </c>
      <c r="BC291" s="929" t="e">
        <f>Indexador!#REF!</f>
        <v>#REF!</v>
      </c>
      <c r="BD291" s="929" t="e">
        <f>Indexador!#REF!</f>
        <v>#REF!</v>
      </c>
      <c r="BE291" s="929" t="e">
        <f>Indexador!#REF!</f>
        <v>#REF!</v>
      </c>
      <c r="BF291" s="929">
        <f>BP311</f>
        <v>0</v>
      </c>
      <c r="BG291" s="929">
        <f t="shared" ref="BG291:BH296" si="34">BQ311</f>
        <v>0</v>
      </c>
      <c r="BH291" s="929">
        <f t="shared" si="34"/>
        <v>0</v>
      </c>
      <c r="BI291" s="352" t="e">
        <f>Indexador!#REF!</f>
        <v>#REF!</v>
      </c>
      <c r="BJ291" s="333">
        <f t="shared" ref="BJ291:BJ297" si="35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6">BO312</f>
        <v>Subsidio Geração Fonte Incentivda</v>
      </c>
      <c r="BB292" s="929" t="e">
        <f>Indexador!#REF!</f>
        <v>#REF!</v>
      </c>
      <c r="BC292" s="929" t="e">
        <f>Indexador!#REF!</f>
        <v>#REF!</v>
      </c>
      <c r="BD292" s="929" t="e">
        <f>Indexador!#REF!</f>
        <v>#REF!</v>
      </c>
      <c r="BE292" s="929" t="e">
        <f>Indexador!#REF!</f>
        <v>#REF!</v>
      </c>
      <c r="BF292" s="930">
        <f t="shared" ref="BF292:BF296" si="37">BP312</f>
        <v>0</v>
      </c>
      <c r="BG292" s="930">
        <f t="shared" si="34"/>
        <v>0</v>
      </c>
      <c r="BH292" s="930">
        <f t="shared" si="34"/>
        <v>0</v>
      </c>
      <c r="BI292" s="352" t="e">
        <f>Indexador!#REF!</f>
        <v>#REF!</v>
      </c>
      <c r="BJ292" s="333">
        <f t="shared" si="35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6"/>
        <v>Subsidio Distribuição</v>
      </c>
      <c r="BB293" s="929" t="e">
        <f>Indexador!#REF!</f>
        <v>#REF!</v>
      </c>
      <c r="BC293" s="929" t="e">
        <f>Indexador!#REF!</f>
        <v>#REF!</v>
      </c>
      <c r="BD293" s="929" t="e">
        <f>Indexador!#REF!</f>
        <v>#REF!</v>
      </c>
      <c r="BE293" s="929" t="e">
        <f>Indexador!#REF!</f>
        <v>#REF!</v>
      </c>
      <c r="BF293" s="930">
        <f t="shared" si="37"/>
        <v>0</v>
      </c>
      <c r="BG293" s="930">
        <f t="shared" si="34"/>
        <v>0</v>
      </c>
      <c r="BH293" s="930">
        <f t="shared" si="34"/>
        <v>0</v>
      </c>
      <c r="BI293" s="352" t="e">
        <f>Indexador!#REF!</f>
        <v>#REF!</v>
      </c>
      <c r="BJ293" s="333">
        <f t="shared" si="35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6"/>
        <v>Subsidio Água, Esgoto e Saneamento</v>
      </c>
      <c r="BB294" s="929" t="e">
        <f>Indexador!#REF!</f>
        <v>#REF!</v>
      </c>
      <c r="BC294" s="929" t="e">
        <f>Indexador!#REF!</f>
        <v>#REF!</v>
      </c>
      <c r="BD294" s="929" t="e">
        <f>Indexador!#REF!</f>
        <v>#REF!</v>
      </c>
      <c r="BE294" s="929" t="e">
        <f>Indexador!#REF!</f>
        <v>#REF!</v>
      </c>
      <c r="BF294" s="930">
        <f t="shared" si="37"/>
        <v>289.1950146002817</v>
      </c>
      <c r="BG294" s="930">
        <f t="shared" si="34"/>
        <v>565.35926672927974</v>
      </c>
      <c r="BH294" s="930">
        <f t="shared" si="34"/>
        <v>854.55428132956149</v>
      </c>
      <c r="BI294" s="352" t="e">
        <f>Indexador!#REF!</f>
        <v>#REF!</v>
      </c>
      <c r="BJ294" s="333">
        <f t="shared" si="35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6"/>
        <v>Subsidio Rural</v>
      </c>
      <c r="BB295" s="929" t="e">
        <f>Indexador!#REF!</f>
        <v>#REF!</v>
      </c>
      <c r="BC295" s="929" t="e">
        <f>Indexador!#REF!</f>
        <v>#REF!</v>
      </c>
      <c r="BD295" s="929" t="e">
        <f>Indexador!#REF!</f>
        <v>#REF!</v>
      </c>
      <c r="BE295" s="929" t="e">
        <f>Indexador!#REF!</f>
        <v>#REF!</v>
      </c>
      <c r="BF295" s="930">
        <f t="shared" si="37"/>
        <v>-1668.8800040087615</v>
      </c>
      <c r="BG295" s="930">
        <f t="shared" si="34"/>
        <v>11911.676987739565</v>
      </c>
      <c r="BH295" s="930">
        <f t="shared" si="34"/>
        <v>10242.796983730805</v>
      </c>
      <c r="BI295" s="352" t="e">
        <f>Indexador!#REF!</f>
        <v>#REF!</v>
      </c>
      <c r="BJ295" s="333">
        <f t="shared" si="35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6"/>
        <v>Subsidio - Irrigante/Aquicultor</v>
      </c>
      <c r="BB296" s="929" t="e">
        <f>Indexador!#REF!</f>
        <v>#REF!</v>
      </c>
      <c r="BC296" s="929" t="e">
        <f>Indexador!#REF!</f>
        <v>#REF!</v>
      </c>
      <c r="BD296" s="929" t="e">
        <f>Indexador!#REF!</f>
        <v>#REF!</v>
      </c>
      <c r="BE296" s="929" t="e">
        <f>Indexador!#REF!</f>
        <v>#REF!</v>
      </c>
      <c r="BF296" s="930">
        <f t="shared" si="37"/>
        <v>-214.46186093767179</v>
      </c>
      <c r="BG296" s="930">
        <f t="shared" si="34"/>
        <v>356.90236450469638</v>
      </c>
      <c r="BH296" s="930">
        <f t="shared" si="34"/>
        <v>142.44050356702459</v>
      </c>
      <c r="BI296" s="352" t="e">
        <f>Indexador!#REF!</f>
        <v>#REF!</v>
      </c>
      <c r="BJ296" s="333">
        <f t="shared" si="35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2" t="s">
        <v>761</v>
      </c>
      <c r="BB297" s="1115" t="e">
        <f t="shared" ref="BB297:BI297" si="38">SUM(BB291:BB296)</f>
        <v>#REF!</v>
      </c>
      <c r="BC297" s="1115" t="e">
        <f t="shared" si="38"/>
        <v>#REF!</v>
      </c>
      <c r="BD297" s="1115" t="e">
        <f t="shared" si="38"/>
        <v>#REF!</v>
      </c>
      <c r="BE297" s="1115" t="e">
        <f t="shared" si="38"/>
        <v>#REF!</v>
      </c>
      <c r="BF297" s="1116">
        <f t="shared" si="38"/>
        <v>-1594.1468503461517</v>
      </c>
      <c r="BG297" s="1116">
        <f t="shared" si="38"/>
        <v>12833.938618973541</v>
      </c>
      <c r="BH297" s="1116">
        <f t="shared" si="38"/>
        <v>11239.79176862739</v>
      </c>
      <c r="BI297" s="1117" t="e">
        <f t="shared" si="38"/>
        <v>#REF!</v>
      </c>
      <c r="BJ297" s="335">
        <f t="shared" si="35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3" t="s">
        <v>636</v>
      </c>
      <c r="BL298" s="353"/>
      <c r="BM298" s="303" t="s">
        <v>774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8" t="s">
        <v>854</v>
      </c>
      <c r="BL299" s="1118" t="s">
        <v>794</v>
      </c>
      <c r="BM299" s="1118" t="s">
        <v>831</v>
      </c>
      <c r="BN299" s="462" t="s">
        <v>727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636</v>
      </c>
      <c r="BL300" s="355">
        <f ca="1">Resultado!C25</f>
        <v>0</v>
      </c>
      <c r="BM300" s="355">
        <f>Resultado!D25</f>
        <v>0</v>
      </c>
      <c r="BN300" s="333">
        <f t="shared" ref="BN300:BN307" si="39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638</v>
      </c>
      <c r="BL301" s="355">
        <f ca="1">Resultado!C26</f>
        <v>0</v>
      </c>
      <c r="BM301" s="355">
        <f>Resultado!D26</f>
        <v>0</v>
      </c>
      <c r="BN301" s="333">
        <f t="shared" si="39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719</v>
      </c>
      <c r="BL302" s="355"/>
      <c r="BM302" s="355"/>
      <c r="BN302" s="333">
        <f t="shared" si="39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720</v>
      </c>
      <c r="BL303" s="355"/>
      <c r="BM303" s="355"/>
      <c r="BN303" s="333">
        <f t="shared" si="39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721</v>
      </c>
      <c r="BL304" s="355"/>
      <c r="BM304" s="355"/>
      <c r="BN304" s="333">
        <f t="shared" si="39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722</v>
      </c>
      <c r="BL305" s="355"/>
      <c r="BM305" s="355"/>
      <c r="BN305" s="333">
        <f t="shared" si="39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639</v>
      </c>
      <c r="BL306" s="355">
        <f ca="1">Resultado!C31</f>
        <v>0</v>
      </c>
      <c r="BM306" s="355">
        <f>Resultado!D31</f>
        <v>0</v>
      </c>
      <c r="BN306" s="333">
        <f t="shared" si="39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640</v>
      </c>
      <c r="BL307" s="355">
        <f>Resultado!DJ285</f>
        <v>0</v>
      </c>
      <c r="BM307" s="355">
        <f>Resultado!DK285</f>
        <v>0</v>
      </c>
      <c r="BN307" s="335">
        <f t="shared" si="39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9" t="s">
        <v>855</v>
      </c>
      <c r="BL308" s="1117">
        <f ca="1">SUM(BL300:BL307)</f>
        <v>0</v>
      </c>
      <c r="BM308" s="1117">
        <f>SUM(BM300:BM307)</f>
        <v>0</v>
      </c>
      <c r="BN308" s="333">
        <f ca="1">IF(BL308=0,0,1)</f>
        <v>0</v>
      </c>
      <c r="BO308" s="1093" t="s">
        <v>856</v>
      </c>
      <c r="BP308" s="353"/>
      <c r="BQ308" s="353"/>
      <c r="BR308" s="303" t="s">
        <v>774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(Cermoful).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0" t="s">
        <v>857</v>
      </c>
      <c r="BP310" s="1120" t="s">
        <v>858</v>
      </c>
      <c r="BQ310" s="1120" t="s">
        <v>859</v>
      </c>
      <c r="BR310" s="1121" t="s">
        <v>860</v>
      </c>
      <c r="BS310" s="404" t="s">
        <v>727</v>
      </c>
      <c r="BU310" s="353"/>
      <c r="BV310" s="353"/>
      <c r="BW310" s="303" t="s">
        <v>774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2" t="s">
        <v>861</v>
      </c>
      <c r="BP311" s="1123">
        <f>IFERROR(Aj.Subsídio!L5,0)</f>
        <v>0</v>
      </c>
      <c r="BQ311" s="1123">
        <f>IFERROR(Aj.Subsídio!M5,0)</f>
        <v>0</v>
      </c>
      <c r="BR311" s="1123">
        <f t="shared" ref="BR311:BR317" si="40">BP311+BQ311</f>
        <v>0</v>
      </c>
      <c r="BS311" s="405">
        <f t="shared" ref="BS311:BS317" si="41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2" t="s">
        <v>862</v>
      </c>
      <c r="BP312" s="1123">
        <f>IFERROR(Aj.Subsídio!L6,0)</f>
        <v>0</v>
      </c>
      <c r="BQ312" s="1123">
        <f>IFERROR(Aj.Subsídio!M6,0)</f>
        <v>0</v>
      </c>
      <c r="BR312" s="1124">
        <f t="shared" si="40"/>
        <v>0</v>
      </c>
      <c r="BS312" s="358">
        <f t="shared" si="41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2" t="s">
        <v>863</v>
      </c>
      <c r="BP313" s="1123">
        <f>IFERROR(Aj.Subsídio!L7,0)</f>
        <v>0</v>
      </c>
      <c r="BQ313" s="1123">
        <f>IFERROR(Aj.Subsídio!M7,0)</f>
        <v>0</v>
      </c>
      <c r="BR313" s="1124">
        <f t="shared" si="40"/>
        <v>0</v>
      </c>
      <c r="BS313" s="358">
        <f t="shared" si="41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2" t="s">
        <v>864</v>
      </c>
      <c r="BP314" s="1123">
        <f>IFERROR(Aj.Subsídio!L8,0)</f>
        <v>289.1950146002817</v>
      </c>
      <c r="BQ314" s="1123">
        <f>IFERROR(Aj.Subsídio!M8,0)</f>
        <v>565.35926672927974</v>
      </c>
      <c r="BR314" s="1124">
        <f t="shared" si="40"/>
        <v>854.55428132956149</v>
      </c>
      <c r="BS314" s="358">
        <f t="shared" si="41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2" t="s">
        <v>865</v>
      </c>
      <c r="BP315" s="1123">
        <f>IFERROR(Aj.Subsídio!L9,0)</f>
        <v>-1668.8800040087615</v>
      </c>
      <c r="BQ315" s="1123">
        <f>IFERROR(Aj.Subsídio!M9,0)</f>
        <v>11911.676987739565</v>
      </c>
      <c r="BR315" s="1124">
        <f t="shared" si="40"/>
        <v>10242.796983730805</v>
      </c>
      <c r="BS315" s="358">
        <f t="shared" si="41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2" t="s">
        <v>866</v>
      </c>
      <c r="BP316" s="1123">
        <f>IFERROR(Aj.Subsídio!L10,0)</f>
        <v>-214.46186093767179</v>
      </c>
      <c r="BQ316" s="1123">
        <f>IFERROR(Aj.Subsídio!M10,0)</f>
        <v>356.90236450469638</v>
      </c>
      <c r="BR316" s="1124">
        <f t="shared" si="40"/>
        <v>142.44050356702459</v>
      </c>
      <c r="BS316" s="358">
        <f t="shared" si="41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5" t="s">
        <v>770</v>
      </c>
      <c r="BP317" s="1123">
        <f>SUM(BP311:BP316)</f>
        <v>-1594.1468503461517</v>
      </c>
      <c r="BQ317" s="1123">
        <f>SUM(BQ311:BQ316)</f>
        <v>12833.938618973541</v>
      </c>
      <c r="BR317" s="1124">
        <f t="shared" si="40"/>
        <v>11239.79176862739</v>
      </c>
      <c r="BS317" s="405">
        <f t="shared" si="41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867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868</v>
      </c>
      <c r="BW319" s="60" t="s">
        <v>869</v>
      </c>
      <c r="BY319" s="23" t="s">
        <v>727</v>
      </c>
      <c r="BZ319" s="651" t="s">
        <v>870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A3 ( 69 kV)</v>
      </c>
      <c r="BV320" s="420">
        <f>Energia!I28</f>
        <v>0.53969999999999996</v>
      </c>
      <c r="BW320" s="420">
        <f>Energia!F28</f>
        <v>0.48409999999999997</v>
      </c>
      <c r="BY320" s="23">
        <f t="shared" ref="BY320:BY326" si="42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 t="str">
        <f>Energia!B29</f>
        <v>CELESC DISTRIBUIÇÃO S.A</v>
      </c>
      <c r="BU321" s="306" t="str">
        <f>Energia!C29</f>
        <v>A4 (2,3 a 25 kV)</v>
      </c>
      <c r="BV321" s="420">
        <f>Energia!I29</f>
        <v>0.53969999999999996</v>
      </c>
      <c r="BW321" s="420">
        <f>Energia!F29</f>
        <v>0.48409999999999997</v>
      </c>
      <c r="BY321" s="23">
        <f t="shared" si="42"/>
        <v>1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2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2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2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2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2"/>
        <v>#REF!</v>
      </c>
      <c r="BZ326" s="652" t="s">
        <v>634</v>
      </c>
      <c r="CB326" s="303" t="s">
        <v>774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6" t="s">
        <v>634</v>
      </c>
      <c r="CA327" s="1127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871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8" t="s">
        <v>872</v>
      </c>
      <c r="CA329" s="1129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29"/>
      <c r="C338" s="1829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29"/>
      <c r="C344" s="1829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29"/>
      <c r="C353" s="1829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10" zoomScale="85" zoomScaleNormal="85" workbookViewId="0">
      <selection activeCell="D40" sqref="D40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6" customWidth="1"/>
    <col min="6" max="6" width="31.42578125" style="1600" customWidth="1"/>
    <col min="7" max="7" width="47.85546875" style="1600" bestFit="1" customWidth="1"/>
    <col min="8" max="13" width="16.28515625" style="906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1" t="s">
        <v>725</v>
      </c>
      <c r="D1" s="1303"/>
      <c r="E1" s="1304"/>
      <c r="F1" s="1593"/>
      <c r="G1" s="1717"/>
      <c r="H1" s="1716"/>
      <c r="I1" s="1591"/>
      <c r="J1" s="1602" t="s">
        <v>874</v>
      </c>
      <c r="K1" s="1230">
        <f ca="1">LnkTXTIRTEco</f>
        <v>0.1195</v>
      </c>
      <c r="L1" s="1591"/>
      <c r="M1" s="1591"/>
    </row>
    <row r="2" spans="3:23" ht="16.5">
      <c r="C2" s="620" t="str">
        <f>CAPA!B2</f>
        <v>Cermoful</v>
      </c>
      <c r="D2" s="622"/>
      <c r="E2" s="902"/>
      <c r="F2" s="1594"/>
      <c r="G2" s="1713" t="s">
        <v>2259</v>
      </c>
      <c r="H2" s="1718">
        <f ca="1">LnkTXTEV/LnkTXTER</f>
        <v>0.9433517835428602</v>
      </c>
      <c r="I2" s="902"/>
      <c r="J2" s="1603" t="s">
        <v>878</v>
      </c>
      <c r="K2" s="1604">
        <f ca="1">LnkTXTIRTTotal</f>
        <v>7.6999999999999999E-2</v>
      </c>
      <c r="L2" s="902"/>
      <c r="M2" s="902"/>
    </row>
    <row r="3" spans="3:23" ht="16.5">
      <c r="C3" s="624"/>
      <c r="D3" s="622"/>
      <c r="E3" s="902"/>
      <c r="F3" s="1594"/>
      <c r="G3" s="1714" t="s">
        <v>2261</v>
      </c>
      <c r="H3" s="1719">
        <f ca="1">Energia!D10/LnkTXTER</f>
        <v>0</v>
      </c>
      <c r="I3" s="902"/>
      <c r="J3" s="902"/>
      <c r="K3" s="902"/>
      <c r="L3" s="902"/>
      <c r="M3" s="902"/>
    </row>
    <row r="4" spans="3:23" ht="16.5">
      <c r="C4" s="1305" t="s">
        <v>1278</v>
      </c>
      <c r="D4" s="1306">
        <f ca="1">LnkTXTRA0</f>
        <v>69453986.271459967</v>
      </c>
      <c r="E4" s="903"/>
      <c r="F4" s="1595"/>
      <c r="G4" s="1714" t="s">
        <v>2264</v>
      </c>
      <c r="H4" s="1719">
        <f ca="1">Energia!D11/LnkTXTER</f>
        <v>5.664821645713991E-2</v>
      </c>
      <c r="I4" s="903"/>
      <c r="J4" s="903"/>
      <c r="K4" s="903"/>
      <c r="L4" s="903"/>
      <c r="M4" s="903"/>
    </row>
    <row r="5" spans="3:23" ht="16.5">
      <c r="C5" s="1307" t="s">
        <v>1279</v>
      </c>
      <c r="D5" s="1308">
        <f ca="1">D7</f>
        <v>-2954449.5903607737</v>
      </c>
      <c r="E5" s="904"/>
      <c r="F5" s="1596"/>
      <c r="G5" s="1714" t="s">
        <v>2262</v>
      </c>
      <c r="H5" s="1719">
        <f ca="1">Energia!D12/LnkTXTER</f>
        <v>0</v>
      </c>
      <c r="I5" s="904"/>
      <c r="J5" s="904"/>
      <c r="K5" s="904"/>
      <c r="L5" s="904"/>
      <c r="M5" s="904"/>
    </row>
    <row r="6" spans="3:23" ht="16.5">
      <c r="C6" s="623"/>
      <c r="D6" s="1309"/>
      <c r="E6" s="905"/>
      <c r="F6" s="1597"/>
      <c r="G6" s="1715" t="s">
        <v>2263</v>
      </c>
      <c r="H6" s="1720">
        <f ca="1">Energia!D13/LnkTXTER</f>
        <v>0</v>
      </c>
      <c r="I6" s="905"/>
      <c r="J6" s="905"/>
      <c r="K6" s="905"/>
      <c r="L6" s="905"/>
      <c r="M6" s="905"/>
    </row>
    <row r="7" spans="3:23" ht="17.25" thickBot="1">
      <c r="C7" s="1310" t="s">
        <v>1280</v>
      </c>
      <c r="D7" s="1311">
        <f ca="1">SUM(D9:D100)</f>
        <v>-2954449.5903607737</v>
      </c>
      <c r="E7" s="1312">
        <f ca="1">SUM(E9:E100)</f>
        <v>-4.2538229250274374E-2</v>
      </c>
      <c r="F7" s="1598"/>
      <c r="G7" s="1598"/>
      <c r="H7" s="1592"/>
      <c r="I7" s="1592"/>
      <c r="J7" s="1592"/>
      <c r="K7" s="1592"/>
      <c r="L7" s="1592"/>
      <c r="M7" s="1592"/>
    </row>
    <row r="8" spans="3:23" ht="16.5">
      <c r="C8" s="1313" t="s">
        <v>1281</v>
      </c>
      <c r="D8" s="1314" t="s">
        <v>37</v>
      </c>
      <c r="E8" s="1315" t="s">
        <v>1282</v>
      </c>
      <c r="F8" s="1599" t="s">
        <v>22</v>
      </c>
      <c r="G8" s="1599" t="s">
        <v>2278</v>
      </c>
      <c r="H8" s="1605" t="s">
        <v>1283</v>
      </c>
      <c r="I8" s="1605" t="s">
        <v>1284</v>
      </c>
      <c r="J8" s="1605" t="s">
        <v>1285</v>
      </c>
      <c r="K8" s="1605" t="s">
        <v>1286</v>
      </c>
      <c r="L8" s="1605" t="s">
        <v>1287</v>
      </c>
      <c r="M8" s="1605" t="s">
        <v>1288</v>
      </c>
      <c r="O8" s="1584" t="s">
        <v>22</v>
      </c>
      <c r="P8" s="1585" t="s">
        <v>1410</v>
      </c>
      <c r="Q8" s="1586" t="s">
        <v>1411</v>
      </c>
      <c r="R8" s="1586" t="s">
        <v>1412</v>
      </c>
      <c r="T8" s="1567" t="s">
        <v>22</v>
      </c>
      <c r="U8" s="1567" t="s">
        <v>1286</v>
      </c>
      <c r="V8" s="1567" t="s">
        <v>1287</v>
      </c>
      <c r="W8" s="1567" t="s">
        <v>1288</v>
      </c>
    </row>
    <row r="9" spans="3:23" ht="16.5">
      <c r="C9" s="1649" t="s">
        <v>1289</v>
      </c>
      <c r="D9" s="1650">
        <f>IFERROR(ABS(Indexador!$D$49)*'Tributos suprimento'!$C$41,0)</f>
        <v>365137.38193692808</v>
      </c>
      <c r="E9" s="1625">
        <f ca="1">IF(ISERROR(D9/$D$4),0,D9/$D$4)</f>
        <v>5.257255940786373E-3</v>
      </c>
      <c r="F9" s="1613" t="s">
        <v>2239</v>
      </c>
      <c r="G9" s="1632" t="s">
        <v>2271</v>
      </c>
      <c r="H9" s="1614">
        <f>IFERROR(VLOOKUP(Financeiros[[#This Row],[Tipo]],RefTabTipo[],2,FALSE),0)</f>
        <v>22</v>
      </c>
      <c r="I9" s="1638">
        <f>IFERROR(VLOOKUP(Financeiros[[#This Row],[Tipo]],RefTabTipo[],3,FALSE),0)</f>
        <v>60</v>
      </c>
      <c r="J9" s="1615">
        <f>IFERROR(VLOOKUP(Financeiros[[#This Row],[Tipo]],RefTabTipo[],4,FALSE),0)</f>
        <v>999</v>
      </c>
      <c r="K9" s="1644">
        <f>IFERROR(VLOOKUP(Financeiros[[#This Row],[Grupo Tarifário]],RefTabGrupoTarifa[],2,FALSE),0)</f>
        <v>1</v>
      </c>
      <c r="L9" s="1614">
        <f>IFERROR(VLOOKUP(Financeiros[[#This Row],[Grupo Tarifário]],RefTabGrupoTarifa[],3,FALSE),0)</f>
        <v>7</v>
      </c>
      <c r="M9" s="1644">
        <f>IFERROR(VLOOKUP(Financeiros[[#This Row],[Grupo Tarifário]],RefTabGrupoTarifa[],4,FALSE),0)</f>
        <v>9</v>
      </c>
      <c r="O9" s="1587" t="s">
        <v>2232</v>
      </c>
      <c r="P9" s="1588">
        <v>22</v>
      </c>
      <c r="Q9" s="1588">
        <v>60</v>
      </c>
      <c r="R9" s="1589">
        <v>235</v>
      </c>
      <c r="T9" s="846" t="s">
        <v>2243</v>
      </c>
      <c r="U9" s="1459">
        <v>99</v>
      </c>
      <c r="V9" s="1459">
        <v>999</v>
      </c>
      <c r="W9" s="1459">
        <v>2</v>
      </c>
    </row>
    <row r="10" spans="3:23" ht="16.5">
      <c r="C10" s="1649" t="s">
        <v>2290</v>
      </c>
      <c r="D10" s="1650">
        <f ca="1">IFERROR(ABS(Indexador!$D$49)*'Tributos suprimento'!$D$41*H2,0)</f>
        <v>712757.43094850751</v>
      </c>
      <c r="E10" s="1625">
        <f ca="1">IF(ISERROR(D10/$D$4),0,D10/$D$4)</f>
        <v>1.0262296942362742E-2</v>
      </c>
      <c r="F10" s="1613" t="s">
        <v>2239</v>
      </c>
      <c r="G10" s="1632" t="s">
        <v>2259</v>
      </c>
      <c r="H10" s="1614">
        <f>IFERROR(VLOOKUP(Financeiros[[#This Row],[Tipo]],RefTabTipo[],2,FALSE),0)</f>
        <v>22</v>
      </c>
      <c r="I10" s="1638">
        <f>IFERROR(VLOOKUP(Financeiros[[#This Row],[Tipo]],RefTabTipo[],3,FALSE),0)</f>
        <v>60</v>
      </c>
      <c r="J10" s="1615">
        <f>IFERROR(VLOOKUP(Financeiros[[#This Row],[Tipo]],RefTabTipo[],4,FALSE),0)</f>
        <v>999</v>
      </c>
      <c r="K10" s="1644">
        <f>IFERROR(VLOOKUP(Financeiros[[#This Row],[Grupo Tarifário]],RefTabGrupoTarifa[],2,FALSE),0)</f>
        <v>2</v>
      </c>
      <c r="L10" s="1614">
        <f>IFERROR(VLOOKUP(Financeiros[[#This Row],[Grupo Tarifário]],RefTabGrupoTarifa[],3,FALSE),0)</f>
        <v>11</v>
      </c>
      <c r="M10" s="1644">
        <f>IFERROR(VLOOKUP(Financeiros[[#This Row],[Grupo Tarifário]],RefTabGrupoTarifa[],4,FALSE),0)</f>
        <v>9</v>
      </c>
      <c r="O10" s="1587" t="s">
        <v>2233</v>
      </c>
      <c r="P10" s="1588">
        <v>20</v>
      </c>
      <c r="Q10" s="1588">
        <v>60</v>
      </c>
      <c r="R10" s="1589">
        <v>234</v>
      </c>
      <c r="T10" s="846" t="s">
        <v>2244</v>
      </c>
      <c r="U10" s="1459">
        <v>99</v>
      </c>
      <c r="V10" s="1459">
        <v>999</v>
      </c>
      <c r="W10" s="1459">
        <v>1</v>
      </c>
    </row>
    <row r="11" spans="3:23" ht="16.5">
      <c r="C11" s="1649" t="s">
        <v>2291</v>
      </c>
      <c r="D11" s="1650">
        <f ca="1">IFERROR(ABS(Indexador!$D$49)*'Tributos suprimento'!$D$41*H3,0)</f>
        <v>0</v>
      </c>
      <c r="E11" s="1625">
        <f t="shared" ref="E11:E14" ca="1" si="0">IF(ISERROR(D11/$D$4),0,D11/$D$4)</f>
        <v>0</v>
      </c>
      <c r="F11" s="1613" t="s">
        <v>2239</v>
      </c>
      <c r="G11" s="1632" t="s">
        <v>2261</v>
      </c>
      <c r="H11" s="1614">
        <f>IFERROR(VLOOKUP(Financeiros[[#This Row],[Tipo]],RefTabTipo[],2,FALSE),0)</f>
        <v>22</v>
      </c>
      <c r="I11" s="1638">
        <f>IFERROR(VLOOKUP(Financeiros[[#This Row],[Tipo]],RefTabTipo[],3,FALSE),0)</f>
        <v>60</v>
      </c>
      <c r="J11" s="1615">
        <f>IFERROR(VLOOKUP(Financeiros[[#This Row],[Tipo]],RefTabTipo[],4,FALSE),0)</f>
        <v>999</v>
      </c>
      <c r="K11" s="1644">
        <f>IFERROR(VLOOKUP(Financeiros[[#This Row],[Grupo Tarifário]],RefTabGrupoTarifa[],2,FALSE),0)</f>
        <v>2</v>
      </c>
      <c r="L11" s="1614">
        <f>IFERROR(VLOOKUP(Financeiros[[#This Row],[Grupo Tarifário]],RefTabGrupoTarifa[],3,FALSE),0)</f>
        <v>9</v>
      </c>
      <c r="M11" s="1644">
        <f>IFERROR(VLOOKUP(Financeiros[[#This Row],[Grupo Tarifário]],RefTabGrupoTarifa[],4,FALSE),0)</f>
        <v>9</v>
      </c>
      <c r="O11" s="1587" t="s">
        <v>2234</v>
      </c>
      <c r="P11" s="1588">
        <v>22</v>
      </c>
      <c r="Q11" s="1588">
        <v>60</v>
      </c>
      <c r="R11" s="1589">
        <v>167</v>
      </c>
      <c r="T11" s="846" t="s">
        <v>2245</v>
      </c>
      <c r="U11" s="1459">
        <v>99</v>
      </c>
      <c r="V11" s="1459">
        <v>999</v>
      </c>
      <c r="W11" s="1459">
        <v>3</v>
      </c>
    </row>
    <row r="12" spans="3:23" ht="16.5">
      <c r="C12" s="1649" t="s">
        <v>2292</v>
      </c>
      <c r="D12" s="1650">
        <f ca="1">IFERROR(ABS(Indexador!$D$49)*'Tributos suprimento'!$D$41*H4,0)</f>
        <v>42801.039796806137</v>
      </c>
      <c r="E12" s="1625">
        <f t="shared" ca="1" si="0"/>
        <v>6.1625029886000862E-4</v>
      </c>
      <c r="F12" s="1613" t="s">
        <v>2239</v>
      </c>
      <c r="G12" s="1632" t="s">
        <v>2264</v>
      </c>
      <c r="H12" s="1614">
        <f>IFERROR(VLOOKUP(Financeiros[[#This Row],[Tipo]],RefTabTipo[],2,FALSE),0)</f>
        <v>22</v>
      </c>
      <c r="I12" s="1638">
        <f>IFERROR(VLOOKUP(Financeiros[[#This Row],[Tipo]],RefTabTipo[],3,FALSE),0)</f>
        <v>60</v>
      </c>
      <c r="J12" s="1615">
        <f>IFERROR(VLOOKUP(Financeiros[[#This Row],[Tipo]],RefTabTipo[],4,FALSE),0)</f>
        <v>999</v>
      </c>
      <c r="K12" s="1644">
        <f>IFERROR(VLOOKUP(Financeiros[[#This Row],[Grupo Tarifário]],RefTabGrupoTarifa[],2,FALSE),0)</f>
        <v>2</v>
      </c>
      <c r="L12" s="1614">
        <f>IFERROR(VLOOKUP(Financeiros[[#This Row],[Grupo Tarifário]],RefTabGrupoTarifa[],3,FALSE),0)</f>
        <v>8</v>
      </c>
      <c r="M12" s="1644">
        <f>IFERROR(VLOOKUP(Financeiros[[#This Row],[Grupo Tarifário]],RefTabGrupoTarifa[],4,FALSE),0)</f>
        <v>9</v>
      </c>
      <c r="O12" s="1587" t="s">
        <v>2235</v>
      </c>
      <c r="P12" s="1588">
        <v>22</v>
      </c>
      <c r="Q12" s="1588">
        <v>60</v>
      </c>
      <c r="R12" s="1589">
        <v>241</v>
      </c>
      <c r="T12" s="846" t="s">
        <v>2246</v>
      </c>
      <c r="U12" s="846">
        <v>3</v>
      </c>
      <c r="V12" s="846">
        <v>17</v>
      </c>
      <c r="W12" s="846">
        <v>9</v>
      </c>
    </row>
    <row r="13" spans="3:23" ht="16.5">
      <c r="C13" s="1649" t="s">
        <v>2293</v>
      </c>
      <c r="D13" s="1650">
        <f ca="1">IFERROR(ABS(Indexador!$D$49)*'Tributos suprimento'!$D$41*H5,0)</f>
        <v>0</v>
      </c>
      <c r="E13" s="1625">
        <f t="shared" ca="1" si="0"/>
        <v>0</v>
      </c>
      <c r="F13" s="1613" t="s">
        <v>2239</v>
      </c>
      <c r="G13" s="1632" t="s">
        <v>2262</v>
      </c>
      <c r="H13" s="1614">
        <f>IFERROR(VLOOKUP(Financeiros[[#This Row],[Tipo]],RefTabTipo[],2,FALSE),0)</f>
        <v>22</v>
      </c>
      <c r="I13" s="1638">
        <f>IFERROR(VLOOKUP(Financeiros[[#This Row],[Tipo]],RefTabTipo[],3,FALSE),0)</f>
        <v>60</v>
      </c>
      <c r="J13" s="1615">
        <f>IFERROR(VLOOKUP(Financeiros[[#This Row],[Tipo]],RefTabTipo[],4,FALSE),0)</f>
        <v>999</v>
      </c>
      <c r="K13" s="1644">
        <f>IFERROR(VLOOKUP(Financeiros[[#This Row],[Grupo Tarifário]],RefTabGrupoTarifa[],2,FALSE),0)</f>
        <v>2</v>
      </c>
      <c r="L13" s="1614">
        <f>IFERROR(VLOOKUP(Financeiros[[#This Row],[Grupo Tarifário]],RefTabGrupoTarifa[],3,FALSE),0)</f>
        <v>10</v>
      </c>
      <c r="M13" s="1644">
        <f>IFERROR(VLOOKUP(Financeiros[[#This Row],[Grupo Tarifário]],RefTabGrupoTarifa[],4,FALSE),0)</f>
        <v>9</v>
      </c>
      <c r="O13" s="1587" t="s">
        <v>2236</v>
      </c>
      <c r="P13" s="1588">
        <v>22</v>
      </c>
      <c r="Q13" s="1588">
        <v>60</v>
      </c>
      <c r="R13" s="1589">
        <v>120</v>
      </c>
      <c r="T13" s="846" t="s">
        <v>2247</v>
      </c>
      <c r="U13" s="846">
        <v>3</v>
      </c>
      <c r="V13" s="846">
        <v>13</v>
      </c>
      <c r="W13" s="846">
        <v>9</v>
      </c>
    </row>
    <row r="14" spans="3:23" ht="16.5">
      <c r="C14" s="1649" t="s">
        <v>2294</v>
      </c>
      <c r="D14" s="1650">
        <f ca="1">IFERROR(ABS(Indexador!$D$49)*'Tributos suprimento'!$D$41*H6,0)</f>
        <v>0</v>
      </c>
      <c r="E14" s="1625">
        <f t="shared" ca="1" si="0"/>
        <v>0</v>
      </c>
      <c r="F14" s="1613" t="s">
        <v>2239</v>
      </c>
      <c r="G14" s="1632" t="s">
        <v>2263</v>
      </c>
      <c r="H14" s="1614">
        <f>IFERROR(VLOOKUP(Financeiros[[#This Row],[Tipo]],RefTabTipo[],2,FALSE),0)</f>
        <v>22</v>
      </c>
      <c r="I14" s="1638">
        <f>IFERROR(VLOOKUP(Financeiros[[#This Row],[Tipo]],RefTabTipo[],3,FALSE),0)</f>
        <v>60</v>
      </c>
      <c r="J14" s="1615">
        <f>IFERROR(VLOOKUP(Financeiros[[#This Row],[Tipo]],RefTabTipo[],4,FALSE),0)</f>
        <v>999</v>
      </c>
      <c r="K14" s="1644">
        <f>IFERROR(VLOOKUP(Financeiros[[#This Row],[Grupo Tarifário]],RefTabGrupoTarifa[],2,FALSE),0)</f>
        <v>2</v>
      </c>
      <c r="L14" s="1614">
        <f>IFERROR(VLOOKUP(Financeiros[[#This Row],[Grupo Tarifário]],RefTabGrupoTarifa[],3,FALSE),0)</f>
        <v>24</v>
      </c>
      <c r="M14" s="1644">
        <f>IFERROR(VLOOKUP(Financeiros[[#This Row],[Grupo Tarifário]],RefTabGrupoTarifa[],4,FALSE),0)</f>
        <v>9</v>
      </c>
      <c r="O14" s="1587" t="s">
        <v>2237</v>
      </c>
      <c r="P14" s="1588">
        <v>22</v>
      </c>
      <c r="Q14" s="1588">
        <v>60</v>
      </c>
      <c r="R14" s="1589">
        <v>240</v>
      </c>
      <c r="T14" s="846" t="s">
        <v>2248</v>
      </c>
      <c r="U14" s="846">
        <v>3</v>
      </c>
      <c r="V14" s="846">
        <v>25</v>
      </c>
      <c r="W14" s="846">
        <v>9</v>
      </c>
    </row>
    <row r="15" spans="3:23" ht="16.5">
      <c r="C15" s="1620" t="str">
        <f>"(Neutralidade) "&amp;Encargos!L31</f>
        <v>(Neutralidade) TFSEE</v>
      </c>
      <c r="D15" s="1616">
        <f ca="1">Encargos!$M$31</f>
        <v>-3652.6782808927237</v>
      </c>
      <c r="E15" s="1623">
        <f t="shared" ref="E15" ca="1" si="1">IF(ISERROR(D15/$D$4),0,D15/$D$4)</f>
        <v>-5.2591341073157129E-5</v>
      </c>
      <c r="F15" s="1617" t="s">
        <v>107</v>
      </c>
      <c r="G15" s="1630" t="s">
        <v>2258</v>
      </c>
      <c r="H15" s="1618">
        <f>IFERROR(VLOOKUP(Financeiros[[#This Row],[Tipo]],RefTabTipo[],2,FALSE),0)</f>
        <v>20</v>
      </c>
      <c r="I15" s="1636">
        <f>IFERROR(VLOOKUP(Financeiros[[#This Row],[Tipo]],RefTabTipo[],3,FALSE),0)</f>
        <v>60</v>
      </c>
      <c r="J15" s="1619">
        <f>IFERROR(VLOOKUP(Financeiros[[#This Row],[Tipo]],RefTabTipo[],4,FALSE),0)</f>
        <v>999</v>
      </c>
      <c r="K15" s="1643">
        <f>IFERROR(VLOOKUP(Financeiros[[#This Row],[Grupo Tarifário]],RefTabGrupoTarifa[],2,FALSE),0)</f>
        <v>3</v>
      </c>
      <c r="L15" s="1618">
        <f>IFERROR(VLOOKUP(Financeiros[[#This Row],[Grupo Tarifário]],RefTabGrupoTarifa[],3,FALSE),0)</f>
        <v>14</v>
      </c>
      <c r="M15" s="1643">
        <f>IFERROR(VLOOKUP(Financeiros[[#This Row],[Grupo Tarifário]],RefTabGrupoTarifa[],4,FALSE),0)</f>
        <v>9</v>
      </c>
      <c r="O15" s="1587" t="s">
        <v>2238</v>
      </c>
      <c r="P15" s="1588">
        <v>22</v>
      </c>
      <c r="Q15" s="1588">
        <v>60</v>
      </c>
      <c r="R15" s="1589">
        <v>179</v>
      </c>
      <c r="T15" s="846" t="s">
        <v>2249</v>
      </c>
      <c r="U15" s="846">
        <v>3</v>
      </c>
      <c r="V15" s="846">
        <v>15</v>
      </c>
      <c r="W15" s="846">
        <v>9</v>
      </c>
    </row>
    <row r="16" spans="3:23" ht="16.5">
      <c r="C16" s="1620" t="str">
        <f>"(Neutralidade) "&amp;Encargos!L32</f>
        <v>(Neutralidade) CDE</v>
      </c>
      <c r="D16" s="1616">
        <f ca="1">IFERROR(Encargos!$M$32,0)</f>
        <v>-349542.0553979844</v>
      </c>
      <c r="E16" s="1623">
        <f ca="1">IF(ISERROR(D16/$D$4),0,D16/$D$4)</f>
        <v>-5.03271409119419E-3</v>
      </c>
      <c r="F16" s="1617" t="s">
        <v>107</v>
      </c>
      <c r="G16" s="1630" t="s">
        <v>2249</v>
      </c>
      <c r="H16" s="1618">
        <f>IFERROR(VLOOKUP(Financeiros[[#This Row],[Tipo]],RefTabTipo[],2,FALSE),0)</f>
        <v>20</v>
      </c>
      <c r="I16" s="1636">
        <f>IFERROR(VLOOKUP(Financeiros[[#This Row],[Tipo]],RefTabTipo[],3,FALSE),0)</f>
        <v>60</v>
      </c>
      <c r="J16" s="1619">
        <f>IFERROR(VLOOKUP(Financeiros[[#This Row],[Tipo]],RefTabTipo[],4,FALSE),0)</f>
        <v>999</v>
      </c>
      <c r="K16" s="1643">
        <f>IFERROR(VLOOKUP(Financeiros[[#This Row],[Grupo Tarifário]],RefTabGrupoTarifa[],2,FALSE),0)</f>
        <v>3</v>
      </c>
      <c r="L16" s="1618">
        <f>IFERROR(VLOOKUP(Financeiros[[#This Row],[Grupo Tarifário]],RefTabGrupoTarifa[],3,FALSE),0)</f>
        <v>15</v>
      </c>
      <c r="M16" s="1643">
        <f>IFERROR(VLOOKUP(Financeiros[[#This Row],[Grupo Tarifário]],RefTabGrupoTarifa[],4,FALSE),0)</f>
        <v>9</v>
      </c>
      <c r="O16" s="1587" t="s">
        <v>2239</v>
      </c>
      <c r="P16" s="1588">
        <v>22</v>
      </c>
      <c r="Q16" s="1588">
        <v>60</v>
      </c>
      <c r="R16" s="1589">
        <v>999</v>
      </c>
      <c r="T16" s="846" t="s">
        <v>2250</v>
      </c>
      <c r="U16" s="1459">
        <v>3</v>
      </c>
      <c r="V16" s="1459">
        <v>25</v>
      </c>
      <c r="W16" s="1459">
        <v>9</v>
      </c>
    </row>
    <row r="17" spans="3:23" ht="16.5">
      <c r="C17" s="1620" t="str">
        <f>"(Neutralidade) "&amp;Encargos!L33</f>
        <v>(Neutralidade) CFURH</v>
      </c>
      <c r="D17" s="1616">
        <f>Encargos!$M$33</f>
        <v>0</v>
      </c>
      <c r="E17" s="1623">
        <f t="shared" ref="E17" ca="1" si="2">IF(ISERROR(D17/$D$4),0,D17/$D$4)</f>
        <v>0</v>
      </c>
      <c r="F17" s="1617" t="s">
        <v>107</v>
      </c>
      <c r="G17" s="1630" t="s">
        <v>2253</v>
      </c>
      <c r="H17" s="1618">
        <f>IFERROR(VLOOKUP(Financeiros[[#This Row],[Tipo]],RefTabTipo[],2,FALSE),0)</f>
        <v>20</v>
      </c>
      <c r="I17" s="1636">
        <f>IFERROR(VLOOKUP(Financeiros[[#This Row],[Tipo]],RefTabTipo[],3,FALSE),0)</f>
        <v>60</v>
      </c>
      <c r="J17" s="1619">
        <f>IFERROR(VLOOKUP(Financeiros[[#This Row],[Tipo]],RefTabTipo[],4,FALSE),0)</f>
        <v>999</v>
      </c>
      <c r="K17" s="1643">
        <f>IFERROR(VLOOKUP(Financeiros[[#This Row],[Grupo Tarifário]],RefTabGrupoTarifa[],2,FALSE),0)</f>
        <v>3</v>
      </c>
      <c r="L17" s="1618">
        <f>IFERROR(VLOOKUP(Financeiros[[#This Row],[Grupo Tarifário]],RefTabGrupoTarifa[],3,FALSE),0)</f>
        <v>16</v>
      </c>
      <c r="M17" s="1643">
        <f>IFERROR(VLOOKUP(Financeiros[[#This Row],[Grupo Tarifário]],RefTabGrupoTarifa[],4,FALSE),0)</f>
        <v>9</v>
      </c>
      <c r="O17" s="1587" t="s">
        <v>107</v>
      </c>
      <c r="P17" s="1588">
        <v>20</v>
      </c>
      <c r="Q17" s="1588">
        <v>60</v>
      </c>
      <c r="R17" s="1589">
        <v>999</v>
      </c>
      <c r="T17" s="846" t="s">
        <v>2251</v>
      </c>
      <c r="U17" s="1459">
        <v>3</v>
      </c>
      <c r="V17" s="1459">
        <v>12</v>
      </c>
      <c r="W17" s="1459">
        <v>9</v>
      </c>
    </row>
    <row r="18" spans="3:23" ht="16.5">
      <c r="C18" s="1620" t="str">
        <f>"(Neutralidade) "&amp;Encargos!L34</f>
        <v>(Neutralidade) ESS/ERR</v>
      </c>
      <c r="D18" s="1616">
        <f ca="1">Encargos!$M$34</f>
        <v>0</v>
      </c>
      <c r="E18" s="1623">
        <f t="shared" ref="E18:E20" ca="1" si="3">IF(ISERROR(D18/$D$4),0,D18/$D$4)</f>
        <v>0</v>
      </c>
      <c r="F18" s="1617" t="s">
        <v>107</v>
      </c>
      <c r="G18" s="1630" t="s">
        <v>2246</v>
      </c>
      <c r="H18" s="1618">
        <f>IFERROR(VLOOKUP(Financeiros[[#This Row],[Tipo]],RefTabTipo[],2,FALSE),0)</f>
        <v>20</v>
      </c>
      <c r="I18" s="1636">
        <f>IFERROR(VLOOKUP(Financeiros[[#This Row],[Tipo]],RefTabTipo[],3,FALSE),0)</f>
        <v>60</v>
      </c>
      <c r="J18" s="1619">
        <f>IFERROR(VLOOKUP(Financeiros[[#This Row],[Tipo]],RefTabTipo[],4,FALSE),0)</f>
        <v>999</v>
      </c>
      <c r="K18" s="1643">
        <f>IFERROR(VLOOKUP(Financeiros[[#This Row],[Grupo Tarifário]],RefTabGrupoTarifa[],2,FALSE),0)</f>
        <v>3</v>
      </c>
      <c r="L18" s="1618">
        <f>IFERROR(VLOOKUP(Financeiros[[#This Row],[Grupo Tarifário]],RefTabGrupoTarifa[],3,FALSE),0)</f>
        <v>17</v>
      </c>
      <c r="M18" s="1643">
        <f>IFERROR(VLOOKUP(Financeiros[[#This Row],[Grupo Tarifário]],RefTabGrupoTarifa[],4,FALSE),0)</f>
        <v>9</v>
      </c>
      <c r="O18" s="1587" t="s">
        <v>2240</v>
      </c>
      <c r="P18" s="1588">
        <v>20</v>
      </c>
      <c r="Q18" s="1588">
        <v>60</v>
      </c>
      <c r="R18" s="1589">
        <v>179</v>
      </c>
      <c r="T18" s="846" t="s">
        <v>2252</v>
      </c>
      <c r="U18" s="1459">
        <v>3</v>
      </c>
      <c r="V18" s="1459">
        <v>28</v>
      </c>
      <c r="W18" s="1459">
        <v>9</v>
      </c>
    </row>
    <row r="19" spans="3:23" ht="16.5">
      <c r="C19" s="1620" t="str">
        <f>"(Neutralidade) "&amp;Encargos!L35</f>
        <v>(Neutralidade) PROINFA</v>
      </c>
      <c r="D19" s="1616">
        <f ca="1">Encargos!$M$35</f>
        <v>-61869.648417803073</v>
      </c>
      <c r="E19" s="1623">
        <f t="shared" ca="1" si="3"/>
        <v>-8.9080053916540348E-4</v>
      </c>
      <c r="F19" s="1617" t="s">
        <v>107</v>
      </c>
      <c r="G19" s="1630" t="s">
        <v>2256</v>
      </c>
      <c r="H19" s="1618">
        <f>IFERROR(VLOOKUP(Financeiros[[#This Row],[Tipo]],RefTabTipo[],2,FALSE),0)</f>
        <v>20</v>
      </c>
      <c r="I19" s="1636">
        <f>IFERROR(VLOOKUP(Financeiros[[#This Row],[Tipo]],RefTabTipo[],3,FALSE),0)</f>
        <v>60</v>
      </c>
      <c r="J19" s="1619">
        <f>IFERROR(VLOOKUP(Financeiros[[#This Row],[Tipo]],RefTabTipo[],4,FALSE),0)</f>
        <v>999</v>
      </c>
      <c r="K19" s="1643">
        <f>IFERROR(VLOOKUP(Financeiros[[#This Row],[Grupo Tarifário]],RefTabGrupoTarifa[],2,FALSE),0)</f>
        <v>3</v>
      </c>
      <c r="L19" s="1618">
        <f>IFERROR(VLOOKUP(Financeiros[[#This Row],[Grupo Tarifário]],RefTabGrupoTarifa[],3,FALSE),0)</f>
        <v>18</v>
      </c>
      <c r="M19" s="1643">
        <f>IFERROR(VLOOKUP(Financeiros[[#This Row],[Grupo Tarifário]],RefTabGrupoTarifa[],4,FALSE),0)</f>
        <v>9</v>
      </c>
      <c r="O19" s="68" t="s">
        <v>2280</v>
      </c>
      <c r="P19" s="1661">
        <v>22</v>
      </c>
      <c r="Q19" s="1661">
        <v>60</v>
      </c>
      <c r="R19" s="1661">
        <v>220</v>
      </c>
      <c r="T19" s="846" t="s">
        <v>2253</v>
      </c>
      <c r="U19" s="846">
        <v>3</v>
      </c>
      <c r="V19" s="846">
        <v>16</v>
      </c>
      <c r="W19" s="846">
        <v>9</v>
      </c>
    </row>
    <row r="20" spans="3:23" ht="16.5">
      <c r="C20" s="1620" t="str">
        <f>"(Neutralidade) "&amp;Encargos!L36</f>
        <v>(Neutralidade) CDE COVID</v>
      </c>
      <c r="D20" s="1616">
        <f ca="1">Encargos!$M$36</f>
        <v>0</v>
      </c>
      <c r="E20" s="1623">
        <f t="shared" ca="1" si="3"/>
        <v>0</v>
      </c>
      <c r="F20" s="1617" t="s">
        <v>107</v>
      </c>
      <c r="G20" s="1630" t="s">
        <v>2251</v>
      </c>
      <c r="H20" s="1618">
        <f>IFERROR(VLOOKUP(Financeiros[[#This Row],[Tipo]],RefTabTipo[],2,FALSE),0)</f>
        <v>20</v>
      </c>
      <c r="I20" s="1636">
        <f>IFERROR(VLOOKUP(Financeiros[[#This Row],[Tipo]],RefTabTipo[],3,FALSE),0)</f>
        <v>60</v>
      </c>
      <c r="J20" s="1619">
        <f>IFERROR(VLOOKUP(Financeiros[[#This Row],[Tipo]],RefTabTipo[],4,FALSE),0)</f>
        <v>999</v>
      </c>
      <c r="K20" s="1643">
        <f>IFERROR(VLOOKUP(Financeiros[[#This Row],[Grupo Tarifário]],RefTabGrupoTarifa[],2,FALSE),0)</f>
        <v>3</v>
      </c>
      <c r="L20" s="1618">
        <f>IFERROR(VLOOKUP(Financeiros[[#This Row],[Grupo Tarifário]],RefTabGrupoTarifa[],3,FALSE),0)</f>
        <v>12</v>
      </c>
      <c r="M20" s="1643">
        <f>IFERROR(VLOOKUP(Financeiros[[#This Row],[Grupo Tarifário]],RefTabGrupoTarifa[],4,FALSE),0)</f>
        <v>9</v>
      </c>
      <c r="O20" s="1662" t="s">
        <v>2241</v>
      </c>
      <c r="P20" s="1663">
        <v>22</v>
      </c>
      <c r="Q20" s="1663">
        <v>60</v>
      </c>
      <c r="R20" s="1663">
        <v>178</v>
      </c>
      <c r="T20" s="846" t="s">
        <v>2254</v>
      </c>
      <c r="U20" s="846">
        <v>3</v>
      </c>
      <c r="V20" s="846">
        <v>20</v>
      </c>
      <c r="W20" s="846">
        <v>9</v>
      </c>
    </row>
    <row r="21" spans="3:23" ht="16.5">
      <c r="C21" s="1620" t="str">
        <f>"(Neutralidade) "&amp;Encargos!L37</f>
        <v>(Neutralidade) P&amp;D</v>
      </c>
      <c r="D21" s="1616">
        <f ca="1">Encargos!$M$37</f>
        <v>0</v>
      </c>
      <c r="E21" s="1623">
        <f t="shared" ref="E21:E23" ca="1" si="4">IF(ISERROR(D21/$D$4),0,D21/$D$4)</f>
        <v>0</v>
      </c>
      <c r="F21" s="1617" t="s">
        <v>107</v>
      </c>
      <c r="G21" s="1630" t="s">
        <v>2255</v>
      </c>
      <c r="H21" s="1618">
        <f>IFERROR(VLOOKUP(Financeiros[[#This Row],[Tipo]],RefTabTipo[],2,FALSE),0)</f>
        <v>20</v>
      </c>
      <c r="I21" s="1636">
        <f>IFERROR(VLOOKUP(Financeiros[[#This Row],[Tipo]],RefTabTipo[],3,FALSE),0)</f>
        <v>60</v>
      </c>
      <c r="J21" s="1619">
        <f>IFERROR(VLOOKUP(Financeiros[[#This Row],[Tipo]],RefTabTipo[],4,FALSE),0)</f>
        <v>999</v>
      </c>
      <c r="K21" s="1643">
        <f>IFERROR(VLOOKUP(Financeiros[[#This Row],[Grupo Tarifário]],RefTabGrupoTarifa[],2,FALSE),0)</f>
        <v>3</v>
      </c>
      <c r="L21" s="1618">
        <f>IFERROR(VLOOKUP(Financeiros[[#This Row],[Grupo Tarifário]],RefTabGrupoTarifa[],3,FALSE),0)</f>
        <v>19</v>
      </c>
      <c r="M21" s="1643">
        <f>IFERROR(VLOOKUP(Financeiros[[#This Row],[Grupo Tarifário]],RefTabGrupoTarifa[],4,FALSE),0)</f>
        <v>9</v>
      </c>
      <c r="O21" s="1662" t="s">
        <v>1307</v>
      </c>
      <c r="P21" s="1663">
        <v>22</v>
      </c>
      <c r="Q21" s="1663">
        <v>62</v>
      </c>
      <c r="R21" s="1663">
        <v>220</v>
      </c>
      <c r="T21" s="846" t="s">
        <v>2255</v>
      </c>
      <c r="U21" s="846">
        <v>3</v>
      </c>
      <c r="V21" s="846">
        <v>19</v>
      </c>
      <c r="W21" s="846">
        <v>9</v>
      </c>
    </row>
    <row r="22" spans="3:23" ht="16.5">
      <c r="C22" s="1620" t="str">
        <f>"(Neutralidade)" &amp; Encargos!L41</f>
        <v>(Neutralidade)Financeiro Covid</v>
      </c>
      <c r="D22" s="1616">
        <f ca="1">Encargos!$M$41</f>
        <v>0</v>
      </c>
      <c r="E22" s="1623">
        <f t="shared" ca="1" si="4"/>
        <v>0</v>
      </c>
      <c r="F22" s="1617" t="s">
        <v>107</v>
      </c>
      <c r="G22" s="1630" t="s">
        <v>104</v>
      </c>
      <c r="H22" s="1618">
        <f>IFERROR(VLOOKUP(Financeiros[[#This Row],[Tipo]],RefTabTipo[],2,FALSE),0)</f>
        <v>20</v>
      </c>
      <c r="I22" s="1636">
        <f>IFERROR(VLOOKUP(Financeiros[[#This Row],[Tipo]],RefTabTipo[],3,FALSE),0)</f>
        <v>60</v>
      </c>
      <c r="J22" s="1619">
        <f>IFERROR(VLOOKUP(Financeiros[[#This Row],[Tipo]],RefTabTipo[],4,FALSE),0)</f>
        <v>999</v>
      </c>
      <c r="K22" s="1643">
        <f>IFERROR(VLOOKUP(Financeiros[[#This Row],[Grupo Tarifário]],RefTabGrupoTarifa[],2,FALSE),0)</f>
        <v>4</v>
      </c>
      <c r="L22" s="1618">
        <f>IFERROR(VLOOKUP(Financeiros[[#This Row],[Grupo Tarifário]],RefTabGrupoTarifa[],3,FALSE),0)</f>
        <v>999</v>
      </c>
      <c r="M22" s="1643">
        <f>IFERROR(VLOOKUP(Financeiros[[#This Row],[Grupo Tarifário]],RefTabGrupoTarifa[],4,FALSE),0)</f>
        <v>9</v>
      </c>
      <c r="O22" s="1587" t="s">
        <v>2242</v>
      </c>
      <c r="P22" s="1590">
        <v>22</v>
      </c>
      <c r="Q22" s="1590">
        <v>60</v>
      </c>
      <c r="R22" s="1590">
        <v>106</v>
      </c>
      <c r="T22" s="846" t="s">
        <v>2256</v>
      </c>
      <c r="U22" s="846">
        <v>3</v>
      </c>
      <c r="V22" s="846">
        <v>18</v>
      </c>
      <c r="W22" s="846">
        <v>9</v>
      </c>
    </row>
    <row r="23" spans="3:23" ht="16.5">
      <c r="C23" s="1620" t="str">
        <f>"(Neutralidade)" &amp; Encargos!L42</f>
        <v>(Neutralidade)Crédito Pis Cofins</v>
      </c>
      <c r="D23" s="1616">
        <f ca="1">Encargos!$M$42</f>
        <v>0</v>
      </c>
      <c r="E23" s="1623">
        <f t="shared" ca="1" si="4"/>
        <v>0</v>
      </c>
      <c r="F23" s="1617" t="s">
        <v>2240</v>
      </c>
      <c r="G23" s="1630" t="s">
        <v>2245</v>
      </c>
      <c r="H23" s="1618">
        <f>IFERROR(VLOOKUP(Financeiros[[#This Row],[Tipo]],RefTabTipo[],2,FALSE),0)</f>
        <v>20</v>
      </c>
      <c r="I23" s="1636">
        <f>IFERROR(VLOOKUP(Financeiros[[#This Row],[Tipo]],RefTabTipo[],3,FALSE),0)</f>
        <v>60</v>
      </c>
      <c r="J23" s="1619">
        <f>IFERROR(VLOOKUP(Financeiros[[#This Row],[Tipo]],RefTabTipo[],4,FALSE),0)</f>
        <v>179</v>
      </c>
      <c r="K23" s="1643">
        <f>IFERROR(VLOOKUP(Financeiros[[#This Row],[Grupo Tarifário]],RefTabGrupoTarifa[],2,FALSE),0)</f>
        <v>99</v>
      </c>
      <c r="L23" s="1618">
        <f>IFERROR(VLOOKUP(Financeiros[[#This Row],[Grupo Tarifário]],RefTabGrupoTarifa[],3,FALSE),0)</f>
        <v>999</v>
      </c>
      <c r="M23" s="1643">
        <f>IFERROR(VLOOKUP(Financeiros[[#This Row],[Grupo Tarifário]],RefTabGrupoTarifa[],4,FALSE),0)</f>
        <v>3</v>
      </c>
      <c r="T23" s="846" t="s">
        <v>2257</v>
      </c>
      <c r="U23" s="846">
        <v>3</v>
      </c>
      <c r="V23" s="846">
        <v>12</v>
      </c>
      <c r="W23" s="846">
        <v>9</v>
      </c>
    </row>
    <row r="24" spans="3:23" ht="16.5">
      <c r="C24" s="1651" t="s">
        <v>1291</v>
      </c>
      <c r="D24" s="1652">
        <f>IFERROR((Indexador!J49+Indexador!P49)*Resultado!D25/(Resultado!D25+Resultado!D26),0)</f>
        <v>0</v>
      </c>
      <c r="E24" s="1653">
        <f ca="1">IF(ISERROR(D24/$D$4),0,D24/$D$4)</f>
        <v>0</v>
      </c>
      <c r="F24" s="1654" t="s">
        <v>2239</v>
      </c>
      <c r="G24" s="1655" t="s">
        <v>2274</v>
      </c>
      <c r="H24" s="1656">
        <f>IFERROR(VLOOKUP(Financeiros[[#This Row],[Tipo]],RefTabTipo[],2,FALSE),0)</f>
        <v>22</v>
      </c>
      <c r="I24" s="1657">
        <f>IFERROR(VLOOKUP(Financeiros[[#This Row],[Tipo]],RefTabTipo[],3,FALSE),0)</f>
        <v>60</v>
      </c>
      <c r="J24" s="1658">
        <f>IFERROR(VLOOKUP(Financeiros[[#This Row],[Tipo]],RefTabTipo[],4,FALSE),0)</f>
        <v>999</v>
      </c>
      <c r="K24" s="1659">
        <f>IFERROR(VLOOKUP(Financeiros[[#This Row],[Grupo Tarifário]],RefTabGrupoTarifa[],2,FALSE),0)</f>
        <v>1</v>
      </c>
      <c r="L24" s="1656">
        <f>IFERROR(VLOOKUP(Financeiros[[#This Row],[Grupo Tarifário]],RefTabGrupoTarifa[],3,FALSE),0)</f>
        <v>1</v>
      </c>
      <c r="M24" s="1659">
        <f>IFERROR(VLOOKUP(Financeiros[[#This Row],[Grupo Tarifário]],RefTabGrupoTarifa[],4,FALSE),0)</f>
        <v>9</v>
      </c>
      <c r="T24" s="846" t="s">
        <v>2258</v>
      </c>
      <c r="U24" s="846">
        <v>3</v>
      </c>
      <c r="V24" s="846">
        <v>14</v>
      </c>
      <c r="W24" s="846">
        <v>9</v>
      </c>
    </row>
    <row r="25" spans="3:23" ht="16.5">
      <c r="C25" s="1651" t="s">
        <v>1292</v>
      </c>
      <c r="D25" s="1652">
        <f>IFERROR((Indexador!J49+Indexador!P49)*Resultado!D26/(Resultado!D25+Resultado!D26),0)</f>
        <v>0</v>
      </c>
      <c r="E25" s="1653">
        <f ca="1">IF(ISERROR(D25/$D$4),0,D25/$D$4)</f>
        <v>0</v>
      </c>
      <c r="F25" s="1654" t="s">
        <v>2239</v>
      </c>
      <c r="G25" s="1655" t="s">
        <v>2273</v>
      </c>
      <c r="H25" s="1656">
        <f>IFERROR(VLOOKUP(Financeiros[[#This Row],[Tipo]],RefTabTipo[],2,FALSE),0)</f>
        <v>22</v>
      </c>
      <c r="I25" s="1657">
        <f>IFERROR(VLOOKUP(Financeiros[[#This Row],[Tipo]],RefTabTipo[],3,FALSE),0)</f>
        <v>60</v>
      </c>
      <c r="J25" s="1658">
        <f>IFERROR(VLOOKUP(Financeiros[[#This Row],[Tipo]],RefTabTipo[],4,FALSE),0)</f>
        <v>999</v>
      </c>
      <c r="K25" s="1659">
        <f>IFERROR(VLOOKUP(Financeiros[[#This Row],[Grupo Tarifário]],RefTabGrupoTarifa[],2,FALSE),0)</f>
        <v>1</v>
      </c>
      <c r="L25" s="1656">
        <f>IFERROR(VLOOKUP(Financeiros[[#This Row],[Grupo Tarifário]],RefTabGrupoTarifa[],3,FALSE),0)</f>
        <v>2</v>
      </c>
      <c r="M25" s="1659">
        <f>IFERROR(VLOOKUP(Financeiros[[#This Row],[Grupo Tarifário]],RefTabGrupoTarifa[],4,FALSE),0)</f>
        <v>9</v>
      </c>
      <c r="T25" s="846" t="s">
        <v>2259</v>
      </c>
      <c r="U25" s="846">
        <v>2</v>
      </c>
      <c r="V25" s="846">
        <v>11</v>
      </c>
      <c r="W25" s="846">
        <v>9</v>
      </c>
    </row>
    <row r="26" spans="3:23" ht="16.5">
      <c r="C26" s="1664" t="s">
        <v>1293</v>
      </c>
      <c r="D26" s="1665">
        <v>0</v>
      </c>
      <c r="E26" s="1627">
        <f t="shared" ref="E26:E27" ca="1" si="5">IF(ISERROR(D26/$D$4),0,D26/$D$4)</f>
        <v>0</v>
      </c>
      <c r="F26" s="1607" t="s">
        <v>2234</v>
      </c>
      <c r="G26" s="1634" t="s">
        <v>104</v>
      </c>
      <c r="H26" s="1608">
        <f>IFERROR(VLOOKUP(Financeiros[[#This Row],[Tipo]],RefTabTipo[],2,FALSE),0)</f>
        <v>22</v>
      </c>
      <c r="I26" s="1640">
        <f>IFERROR(VLOOKUP(Financeiros[[#This Row],[Tipo]],RefTabTipo[],3,FALSE),0)</f>
        <v>60</v>
      </c>
      <c r="J26" s="1609">
        <f>IFERROR(VLOOKUP(Financeiros[[#This Row],[Tipo]],RefTabTipo[],4,FALSE),0)</f>
        <v>167</v>
      </c>
      <c r="K26" s="1646">
        <f>IFERROR(VLOOKUP(Financeiros[[#This Row],[Grupo Tarifário]],RefTabGrupoTarifa[],2,FALSE),0)</f>
        <v>4</v>
      </c>
      <c r="L26" s="1608">
        <f>IFERROR(VLOOKUP(Financeiros[[#This Row],[Grupo Tarifário]],RefTabGrupoTarifa[],3,FALSE),0)</f>
        <v>999</v>
      </c>
      <c r="M26" s="1646">
        <f>IFERROR(VLOOKUP(Financeiros[[#This Row],[Grupo Tarifário]],RefTabGrupoTarifa[],4,FALSE),0)</f>
        <v>9</v>
      </c>
      <c r="T26" s="846" t="s">
        <v>2260</v>
      </c>
      <c r="U26" s="846">
        <v>2</v>
      </c>
      <c r="V26" s="846">
        <v>30</v>
      </c>
      <c r="W26" s="846">
        <v>9</v>
      </c>
    </row>
    <row r="27" spans="3:23" ht="16.5">
      <c r="C27" s="1664" t="s">
        <v>2070</v>
      </c>
      <c r="D27" s="1665"/>
      <c r="E27" s="1627">
        <f t="shared" ca="1" si="5"/>
        <v>0</v>
      </c>
      <c r="F27" s="1607" t="s">
        <v>2239</v>
      </c>
      <c r="G27" s="1634" t="s">
        <v>2252</v>
      </c>
      <c r="H27" s="1608">
        <f>IFERROR(VLOOKUP(Financeiros[[#This Row],[Tipo]],RefTabTipo[],2,FALSE),0)</f>
        <v>22</v>
      </c>
      <c r="I27" s="1640">
        <f>IFERROR(VLOOKUP(Financeiros[[#This Row],[Tipo]],RefTabTipo[],3,FALSE),0)</f>
        <v>60</v>
      </c>
      <c r="J27" s="1609">
        <f>IFERROR(VLOOKUP(Financeiros[[#This Row],[Tipo]],RefTabTipo[],4,FALSE),0)</f>
        <v>999</v>
      </c>
      <c r="K27" s="1646">
        <f>IFERROR(VLOOKUP(Financeiros[[#This Row],[Grupo Tarifário]],RefTabGrupoTarifa[],2,FALSE),0)</f>
        <v>3</v>
      </c>
      <c r="L27" s="1608">
        <f>IFERROR(VLOOKUP(Financeiros[[#This Row],[Grupo Tarifário]],RefTabGrupoTarifa[],3,FALSE),0)</f>
        <v>28</v>
      </c>
      <c r="M27" s="1646">
        <f>IFERROR(VLOOKUP(Financeiros[[#This Row],[Grupo Tarifário]],RefTabGrupoTarifa[],4,FALSE),0)</f>
        <v>9</v>
      </c>
      <c r="T27" s="846" t="s">
        <v>2261</v>
      </c>
      <c r="U27" s="846">
        <v>2</v>
      </c>
      <c r="V27" s="846">
        <v>9</v>
      </c>
      <c r="W27" s="846">
        <v>9</v>
      </c>
    </row>
    <row r="28" spans="3:23" ht="16.5">
      <c r="C28" s="1621" t="s">
        <v>2048</v>
      </c>
      <c r="D28" s="1449"/>
      <c r="E28" s="1624">
        <f ca="1">IF(ISERROR(D28/$D$4),0,D28/$D$4)</f>
        <v>0</v>
      </c>
      <c r="F28" s="1601" t="s">
        <v>2239</v>
      </c>
      <c r="G28" s="1631" t="s">
        <v>2260</v>
      </c>
      <c r="H28" s="1606">
        <f>IFERROR(VLOOKUP(Financeiros[[#This Row],[Tipo]],RefTabTipo[],2,FALSE),0)</f>
        <v>22</v>
      </c>
      <c r="I28" s="1637">
        <f>IFERROR(VLOOKUP(Financeiros[[#This Row],[Tipo]],RefTabTipo[],3,FALSE),0)</f>
        <v>60</v>
      </c>
      <c r="J28" s="1606">
        <f>IFERROR(VLOOKUP(Financeiros[[#This Row],[Tipo]],RefTabTipo[],4,FALSE),0)</f>
        <v>999</v>
      </c>
      <c r="K28" s="1637">
        <f>IFERROR(VLOOKUP(Financeiros[[#This Row],[Grupo Tarifário]],RefTabGrupoTarifa[],2,FALSE),0)</f>
        <v>2</v>
      </c>
      <c r="L28" s="1606">
        <f>IFERROR(VLOOKUP(Financeiros[[#This Row],[Grupo Tarifário]],RefTabGrupoTarifa[],3,FALSE),0)</f>
        <v>30</v>
      </c>
      <c r="M28" s="1637">
        <f>IFERROR(VLOOKUP(Financeiros[[#This Row],[Grupo Tarifário]],RefTabGrupoTarifa[],4,FALSE),0)</f>
        <v>9</v>
      </c>
      <c r="T28" s="846" t="s">
        <v>2262</v>
      </c>
      <c r="U28" s="846">
        <v>2</v>
      </c>
      <c r="V28" s="846">
        <v>10</v>
      </c>
      <c r="W28" s="846">
        <v>9</v>
      </c>
    </row>
    <row r="29" spans="3:23" ht="16.5">
      <c r="C29" s="1622" t="s">
        <v>1294</v>
      </c>
      <c r="D29" s="1449">
        <f>(Indexador!H49)</f>
        <v>0</v>
      </c>
      <c r="E29" s="1624">
        <f t="shared" ref="E29" ca="1" si="6">IF(ISERROR(D29/$D$4),0,D29/$D$4)</f>
        <v>0</v>
      </c>
      <c r="F29" s="1673" t="s">
        <v>2241</v>
      </c>
      <c r="G29" s="1674" t="s">
        <v>2271</v>
      </c>
      <c r="H29" s="1675">
        <f>IFERROR(VLOOKUP(Financeiros[[#This Row],[Tipo]],RefTabTipo[],2,FALSE),0)</f>
        <v>22</v>
      </c>
      <c r="I29" s="1637">
        <f>IFERROR(VLOOKUP(Financeiros[[#This Row],[Tipo]],RefTabTipo[],3,FALSE),0)</f>
        <v>60</v>
      </c>
      <c r="J29" s="1606">
        <f>IFERROR(VLOOKUP(Financeiros[[#This Row],[Tipo]],RefTabTipo[],4,FALSE),0)</f>
        <v>178</v>
      </c>
      <c r="K29" s="1676">
        <f>IFERROR(VLOOKUP(Financeiros[[#This Row],[Grupo Tarifário]],RefTabGrupoTarifa[],2,FALSE),0)</f>
        <v>1</v>
      </c>
      <c r="L29" s="1675">
        <f>IFERROR(VLOOKUP(Financeiros[[#This Row],[Grupo Tarifário]],RefTabGrupoTarifa[],3,FALSE),0)</f>
        <v>7</v>
      </c>
      <c r="M29" s="1676">
        <f>IFERROR(VLOOKUP(Financeiros[[#This Row],[Grupo Tarifário]],RefTabGrupoTarifa[],4,FALSE),0)</f>
        <v>9</v>
      </c>
      <c r="T29" s="846" t="s">
        <v>2263</v>
      </c>
      <c r="U29" s="846">
        <v>2</v>
      </c>
      <c r="V29" s="846">
        <v>24</v>
      </c>
      <c r="W29" s="846">
        <v>9</v>
      </c>
    </row>
    <row r="30" spans="3:23" ht="16.5">
      <c r="C30" s="1622" t="s">
        <v>1295</v>
      </c>
      <c r="D30" s="1449">
        <f ca="1">-LnkTXTISubvencaoPB</f>
        <v>-1327071.3845209642</v>
      </c>
      <c r="E30" s="1624">
        <f ca="1">IF(ISERROR(D30/$D$4),0,D30/$D$4)</f>
        <v>-1.91072025633507E-2</v>
      </c>
      <c r="F30" s="1673" t="s">
        <v>2239</v>
      </c>
      <c r="G30" s="1674" t="s">
        <v>104</v>
      </c>
      <c r="H30" s="1675">
        <f>IFERROR(VLOOKUP(Financeiros[[#This Row],[Tipo]],RefTabTipo[],2,FALSE),0)</f>
        <v>22</v>
      </c>
      <c r="I30" s="1637">
        <f>IFERROR(VLOOKUP(Financeiros[[#This Row],[Tipo]],RefTabTipo[],3,FALSE),0)</f>
        <v>60</v>
      </c>
      <c r="J30" s="1606">
        <f>IFERROR(VLOOKUP(Financeiros[[#This Row],[Tipo]],RefTabTipo[],4,FALSE),0)</f>
        <v>999</v>
      </c>
      <c r="K30" s="1676">
        <f>IFERROR(VLOOKUP(Financeiros[[#This Row],[Grupo Tarifário]],RefTabGrupoTarifa[],2,FALSE),0)</f>
        <v>4</v>
      </c>
      <c r="L30" s="1675">
        <f>IFERROR(VLOOKUP(Financeiros[[#This Row],[Grupo Tarifário]],RefTabGrupoTarifa[],3,FALSE),0)</f>
        <v>999</v>
      </c>
      <c r="M30" s="1676">
        <f>IFERROR(VLOOKUP(Financeiros[[#This Row],[Grupo Tarifário]],RefTabGrupoTarifa[],4,FALSE),0)</f>
        <v>9</v>
      </c>
      <c r="T30" s="846" t="s">
        <v>2264</v>
      </c>
      <c r="U30" s="846">
        <v>2</v>
      </c>
      <c r="V30" s="846">
        <v>8</v>
      </c>
      <c r="W30" s="846">
        <v>9</v>
      </c>
    </row>
    <row r="31" spans="3:23" ht="16.5">
      <c r="C31" s="1621" t="s">
        <v>1296</v>
      </c>
      <c r="D31" s="1449">
        <f>IFERROR(-ABS(Indexador!$L$49),0)</f>
        <v>-2333009.6764253709</v>
      </c>
      <c r="E31" s="1624">
        <f t="shared" ref="E31:E32" ca="1" si="7">IF(ISERROR(D31/$D$4),0,D31/$D$4)</f>
        <v>-3.3590723897500049E-2</v>
      </c>
      <c r="F31" s="1673" t="s">
        <v>2239</v>
      </c>
      <c r="G31" s="1674" t="s">
        <v>2260</v>
      </c>
      <c r="H31" s="1675">
        <f>IFERROR(VLOOKUP(Financeiros[[#This Row],[Tipo]],RefTabTipo[],2,FALSE),0)</f>
        <v>22</v>
      </c>
      <c r="I31" s="1637">
        <f>IFERROR(VLOOKUP(Financeiros[[#This Row],[Tipo]],RefTabTipo[],3,FALSE),0)</f>
        <v>60</v>
      </c>
      <c r="J31" s="1606">
        <f>IFERROR(VLOOKUP(Financeiros[[#This Row],[Tipo]],RefTabTipo[],4,FALSE),0)</f>
        <v>999</v>
      </c>
      <c r="K31" s="1676">
        <f>IFERROR(VLOOKUP(Financeiros[[#This Row],[Grupo Tarifário]],RefTabGrupoTarifa[],2,FALSE),0)</f>
        <v>2</v>
      </c>
      <c r="L31" s="1675">
        <f>IFERROR(VLOOKUP(Financeiros[[#This Row],[Grupo Tarifário]],RefTabGrupoTarifa[],3,FALSE),0)</f>
        <v>30</v>
      </c>
      <c r="M31" s="1676">
        <f>IFERROR(VLOOKUP(Financeiros[[#This Row],[Grupo Tarifário]],RefTabGrupoTarifa[],4,FALSE),0)</f>
        <v>9</v>
      </c>
      <c r="N31" s="92"/>
      <c r="T31" s="846" t="s">
        <v>2265</v>
      </c>
      <c r="U31" s="846">
        <v>3</v>
      </c>
      <c r="V31" s="846">
        <v>40</v>
      </c>
      <c r="W31" s="846">
        <v>9</v>
      </c>
    </row>
    <row r="32" spans="3:23" ht="16.5">
      <c r="C32" s="1621" t="s">
        <v>1297</v>
      </c>
      <c r="D32" s="1449"/>
      <c r="E32" s="1624">
        <f t="shared" ca="1" si="7"/>
        <v>0</v>
      </c>
      <c r="F32" s="1673" t="s">
        <v>2236</v>
      </c>
      <c r="G32" s="1674" t="s">
        <v>104</v>
      </c>
      <c r="H32" s="1675">
        <f>IFERROR(VLOOKUP(Financeiros[[#This Row],[Tipo]],RefTabTipo[],2,FALSE),0)</f>
        <v>22</v>
      </c>
      <c r="I32" s="1637">
        <f>IFERROR(VLOOKUP(Financeiros[[#This Row],[Tipo]],RefTabTipo[],3,FALSE),0)</f>
        <v>60</v>
      </c>
      <c r="J32" s="1606">
        <f>IFERROR(VLOOKUP(Financeiros[[#This Row],[Tipo]],RefTabTipo[],4,FALSE),0)</f>
        <v>120</v>
      </c>
      <c r="K32" s="1676">
        <f>IFERROR(VLOOKUP(Financeiros[[#This Row],[Grupo Tarifário]],RefTabGrupoTarifa[],2,FALSE),0)</f>
        <v>4</v>
      </c>
      <c r="L32" s="1675">
        <f>IFERROR(VLOOKUP(Financeiros[[#This Row],[Grupo Tarifário]],RefTabGrupoTarifa[],3,FALSE),0)</f>
        <v>999</v>
      </c>
      <c r="M32" s="1676">
        <f>IFERROR(VLOOKUP(Financeiros[[#This Row],[Grupo Tarifário]],RefTabGrupoTarifa[],4,FALSE),0)</f>
        <v>9</v>
      </c>
      <c r="N32" s="92"/>
      <c r="T32" s="846" t="s">
        <v>104</v>
      </c>
      <c r="U32" s="846">
        <v>4</v>
      </c>
      <c r="V32" s="846">
        <v>999</v>
      </c>
      <c r="W32" s="846">
        <v>9</v>
      </c>
    </row>
    <row r="33" spans="3:23" ht="16.5">
      <c r="C33" s="1622" t="s">
        <v>1298</v>
      </c>
      <c r="D33" s="1449">
        <f>'Tributos suprimento'!$E$18</f>
        <v>0</v>
      </c>
      <c r="E33" s="1624">
        <f ca="1">IF(ISERROR(D33/$D$4),0,D33/$D$4)</f>
        <v>0</v>
      </c>
      <c r="F33" s="1673" t="s">
        <v>2239</v>
      </c>
      <c r="G33" s="1674" t="s">
        <v>2271</v>
      </c>
      <c r="H33" s="1675">
        <f>IFERROR(VLOOKUP(Financeiros[[#This Row],[Tipo]],RefTabTipo[],2,FALSE),0)</f>
        <v>22</v>
      </c>
      <c r="I33" s="1637">
        <f>IFERROR(VLOOKUP(Financeiros[[#This Row],[Tipo]],RefTabTipo[],3,FALSE),0)</f>
        <v>60</v>
      </c>
      <c r="J33" s="1606">
        <f>IFERROR(VLOOKUP(Financeiros[[#This Row],[Tipo]],RefTabTipo[],4,FALSE),0)</f>
        <v>999</v>
      </c>
      <c r="K33" s="1676">
        <f>IFERROR(VLOOKUP(Financeiros[[#This Row],[Grupo Tarifário]],RefTabGrupoTarifa[],2,FALSE),0)</f>
        <v>1</v>
      </c>
      <c r="L33" s="1675">
        <f>IFERROR(VLOOKUP(Financeiros[[#This Row],[Grupo Tarifário]],RefTabGrupoTarifa[],3,FALSE),0)</f>
        <v>7</v>
      </c>
      <c r="M33" s="1676">
        <f>IFERROR(VLOOKUP(Financeiros[[#This Row],[Grupo Tarifário]],RefTabGrupoTarifa[],4,FALSE),0)</f>
        <v>9</v>
      </c>
      <c r="N33" s="92"/>
      <c r="T33" s="846" t="s">
        <v>2266</v>
      </c>
      <c r="U33" s="846">
        <v>5</v>
      </c>
      <c r="V33" s="846">
        <v>999</v>
      </c>
      <c r="W33" s="846">
        <v>9</v>
      </c>
    </row>
    <row r="34" spans="3:23" ht="16.5">
      <c r="C34" s="1622" t="s">
        <v>1299</v>
      </c>
      <c r="D34" s="1449">
        <f>'Tributos suprimento'!$E$19</f>
        <v>0</v>
      </c>
      <c r="E34" s="1624">
        <f ca="1">IF(ISERROR(D34/$D$4),0,D34/$D$4)</f>
        <v>0</v>
      </c>
      <c r="F34" s="1673" t="s">
        <v>2239</v>
      </c>
      <c r="G34" s="1674" t="s">
        <v>2260</v>
      </c>
      <c r="H34" s="1675">
        <f>IFERROR(VLOOKUP(Financeiros[[#This Row],[Tipo]],RefTabTipo[],2,FALSE),0)</f>
        <v>22</v>
      </c>
      <c r="I34" s="1637">
        <f>IFERROR(VLOOKUP(Financeiros[[#This Row],[Tipo]],RefTabTipo[],3,FALSE),0)</f>
        <v>60</v>
      </c>
      <c r="J34" s="1606">
        <f>IFERROR(VLOOKUP(Financeiros[[#This Row],[Tipo]],RefTabTipo[],4,FALSE),0)</f>
        <v>999</v>
      </c>
      <c r="K34" s="1676">
        <f>IFERROR(VLOOKUP(Financeiros[[#This Row],[Grupo Tarifário]],RefTabGrupoTarifa[],2,FALSE),0)</f>
        <v>2</v>
      </c>
      <c r="L34" s="1675">
        <f>IFERROR(VLOOKUP(Financeiros[[#This Row],[Grupo Tarifário]],RefTabGrupoTarifa[],3,FALSE),0)</f>
        <v>30</v>
      </c>
      <c r="M34" s="1676">
        <f>IFERROR(VLOOKUP(Financeiros[[#This Row],[Grupo Tarifário]],RefTabGrupoTarifa[],4,FALSE),0)</f>
        <v>9</v>
      </c>
      <c r="T34" s="846" t="s">
        <v>2267</v>
      </c>
      <c r="U34" s="846">
        <v>1</v>
      </c>
      <c r="V34" s="846">
        <v>1</v>
      </c>
      <c r="W34" s="846">
        <v>9</v>
      </c>
    </row>
    <row r="35" spans="3:23" ht="16.5">
      <c r="C35" s="1622" t="s">
        <v>1300</v>
      </c>
      <c r="D35" s="625"/>
      <c r="E35" s="1624">
        <f t="shared" ref="E35:E36" ca="1" si="8">IF(ISERROR(D35/$D$4),0,D35/$D$4)</f>
        <v>0</v>
      </c>
      <c r="F35" s="1673" t="s">
        <v>2239</v>
      </c>
      <c r="G35" s="1674" t="s">
        <v>2255</v>
      </c>
      <c r="H35" s="1675">
        <f>IFERROR(VLOOKUP(Financeiros[[#This Row],[Tipo]],RefTabTipo[],2,FALSE),0)</f>
        <v>22</v>
      </c>
      <c r="I35" s="1637">
        <f>IFERROR(VLOOKUP(Financeiros[[#This Row],[Tipo]],RefTabTipo[],3,FALSE),0)</f>
        <v>60</v>
      </c>
      <c r="J35" s="1606">
        <f>IFERROR(VLOOKUP(Financeiros[[#This Row],[Tipo]],RefTabTipo[],4,FALSE),0)</f>
        <v>999</v>
      </c>
      <c r="K35" s="1676">
        <f>IFERROR(VLOOKUP(Financeiros[[#This Row],[Grupo Tarifário]],RefTabGrupoTarifa[],2,FALSE),0)</f>
        <v>3</v>
      </c>
      <c r="L35" s="1675">
        <f>IFERROR(VLOOKUP(Financeiros[[#This Row],[Grupo Tarifário]],RefTabGrupoTarifa[],3,FALSE),0)</f>
        <v>19</v>
      </c>
      <c r="M35" s="1676">
        <f>IFERROR(VLOOKUP(Financeiros[[#This Row],[Grupo Tarifário]],RefTabGrupoTarifa[],4,FALSE),0)</f>
        <v>9</v>
      </c>
      <c r="T35" s="846" t="s">
        <v>2268</v>
      </c>
      <c r="U35" s="846">
        <v>1</v>
      </c>
      <c r="V35" s="846">
        <v>22</v>
      </c>
      <c r="W35" s="846">
        <v>9</v>
      </c>
    </row>
    <row r="36" spans="3:23" ht="16.5">
      <c r="C36" s="1622" t="s">
        <v>1301</v>
      </c>
      <c r="D36" s="1677"/>
      <c r="E36" s="1624">
        <f t="shared" ca="1" si="8"/>
        <v>0</v>
      </c>
      <c r="F36" s="1673" t="s">
        <v>2239</v>
      </c>
      <c r="G36" s="1674" t="s">
        <v>104</v>
      </c>
      <c r="H36" s="1675">
        <f>IFERROR(VLOOKUP(Financeiros[[#This Row],[Tipo]],RefTabTipo[],2,FALSE),0)</f>
        <v>22</v>
      </c>
      <c r="I36" s="1637">
        <f>IFERROR(VLOOKUP(Financeiros[[#This Row],[Tipo]],RefTabTipo[],3,FALSE),0)</f>
        <v>60</v>
      </c>
      <c r="J36" s="1606">
        <f>IFERROR(VLOOKUP(Financeiros[[#This Row],[Tipo]],RefTabTipo[],4,FALSE),0)</f>
        <v>999</v>
      </c>
      <c r="K36" s="1676">
        <f>IFERROR(VLOOKUP(Financeiros[[#This Row],[Grupo Tarifário]],RefTabGrupoTarifa[],2,FALSE),0)</f>
        <v>4</v>
      </c>
      <c r="L36" s="1675">
        <f>IFERROR(VLOOKUP(Financeiros[[#This Row],[Grupo Tarifário]],RefTabGrupoTarifa[],3,FALSE),0)</f>
        <v>999</v>
      </c>
      <c r="M36" s="1676">
        <f>IFERROR(VLOOKUP(Financeiros[[#This Row],[Grupo Tarifário]],RefTabGrupoTarifa[],4,FALSE),0)</f>
        <v>9</v>
      </c>
      <c r="T36" s="846" t="s">
        <v>2269</v>
      </c>
      <c r="U36" s="846">
        <v>1</v>
      </c>
      <c r="V36" s="846">
        <v>4</v>
      </c>
      <c r="W36" s="846">
        <v>9</v>
      </c>
    </row>
    <row r="37" spans="3:23" ht="16.5">
      <c r="C37" s="1768" t="s">
        <v>2396</v>
      </c>
      <c r="D37" s="1678"/>
      <c r="E37" s="1624"/>
      <c r="F37" s="1673"/>
      <c r="G37" s="1674"/>
      <c r="H37" s="1675"/>
      <c r="I37" s="1637"/>
      <c r="J37" s="1606"/>
      <c r="K37" s="1676"/>
      <c r="L37" s="1675"/>
      <c r="M37" s="1676"/>
      <c r="T37" s="846" t="s">
        <v>2270</v>
      </c>
      <c r="U37" s="846">
        <v>1</v>
      </c>
      <c r="V37" s="846">
        <v>3</v>
      </c>
      <c r="W37" s="846">
        <v>9</v>
      </c>
    </row>
    <row r="38" spans="3:23" ht="16.5">
      <c r="C38" s="1622" t="s">
        <v>1302</v>
      </c>
      <c r="D38" s="625"/>
      <c r="E38" s="1624">
        <f t="shared" ref="E38:E42" ca="1" si="9">IF(ISERROR(D38/$D$4),0,D38/$D$4)</f>
        <v>0</v>
      </c>
      <c r="F38" s="1673" t="s">
        <v>2239</v>
      </c>
      <c r="G38" s="1674" t="s">
        <v>2260</v>
      </c>
      <c r="H38" s="1675">
        <f>IFERROR(VLOOKUP(Financeiros[[#This Row],[Tipo]],RefTabTipo[],2,FALSE),0)</f>
        <v>22</v>
      </c>
      <c r="I38" s="1637">
        <f>IFERROR(VLOOKUP(Financeiros[[#This Row],[Tipo]],RefTabTipo[],3,FALSE),0)</f>
        <v>60</v>
      </c>
      <c r="J38" s="1606">
        <f>IFERROR(VLOOKUP(Financeiros[[#This Row],[Tipo]],RefTabTipo[],4,FALSE),0)</f>
        <v>999</v>
      </c>
      <c r="K38" s="1676">
        <f>IFERROR(VLOOKUP(Financeiros[[#This Row],[Grupo Tarifário]],RefTabGrupoTarifa[],2,FALSE),0)</f>
        <v>2</v>
      </c>
      <c r="L38" s="1675">
        <f>IFERROR(VLOOKUP(Financeiros[[#This Row],[Grupo Tarifário]],RefTabGrupoTarifa[],3,FALSE),0)</f>
        <v>30</v>
      </c>
      <c r="M38" s="1676">
        <f>IFERROR(VLOOKUP(Financeiros[[#This Row],[Grupo Tarifário]],RefTabGrupoTarifa[],4,FALSE),0)</f>
        <v>9</v>
      </c>
      <c r="T38" s="846" t="s">
        <v>2271</v>
      </c>
      <c r="U38" s="846">
        <v>1</v>
      </c>
      <c r="V38" s="846">
        <v>7</v>
      </c>
      <c r="W38" s="846">
        <v>9</v>
      </c>
    </row>
    <row r="39" spans="3:23" ht="16.5">
      <c r="C39" s="1622" t="s">
        <v>1303</v>
      </c>
      <c r="D39" s="625">
        <f>-ABS(PIS_COFINS!$R$4)</f>
        <v>0</v>
      </c>
      <c r="E39" s="1624">
        <f t="shared" ca="1" si="9"/>
        <v>0</v>
      </c>
      <c r="F39" s="1673" t="s">
        <v>2238</v>
      </c>
      <c r="G39" s="1674" t="s">
        <v>2245</v>
      </c>
      <c r="H39" s="1675">
        <f>IFERROR(VLOOKUP(Financeiros[[#This Row],[Tipo]],RefTabTipo[],2,FALSE),0)</f>
        <v>22</v>
      </c>
      <c r="I39" s="1637">
        <f>IFERROR(VLOOKUP(Financeiros[[#This Row],[Tipo]],RefTabTipo[],3,FALSE),0)</f>
        <v>60</v>
      </c>
      <c r="J39" s="1606">
        <f>IFERROR(VLOOKUP(Financeiros[[#This Row],[Tipo]],RefTabTipo[],4,FALSE),0)</f>
        <v>179</v>
      </c>
      <c r="K39" s="1676">
        <f>IFERROR(VLOOKUP(Financeiros[[#This Row],[Grupo Tarifário]],RefTabGrupoTarifa[],2,FALSE),0)</f>
        <v>99</v>
      </c>
      <c r="L39" s="1675">
        <f>IFERROR(VLOOKUP(Financeiros[[#This Row],[Grupo Tarifário]],RefTabGrupoTarifa[],3,FALSE),0)</f>
        <v>999</v>
      </c>
      <c r="M39" s="1676">
        <f>IFERROR(VLOOKUP(Financeiros[[#This Row],[Grupo Tarifário]],RefTabGrupoTarifa[],4,FALSE),0)</f>
        <v>3</v>
      </c>
      <c r="T39" s="846" t="s">
        <v>2272</v>
      </c>
      <c r="U39" s="846">
        <v>1</v>
      </c>
      <c r="V39" s="846">
        <v>23</v>
      </c>
      <c r="W39" s="846">
        <v>9</v>
      </c>
    </row>
    <row r="40" spans="3:23" ht="16.5">
      <c r="C40" s="1620" t="s">
        <v>1304</v>
      </c>
      <c r="D40" s="625"/>
      <c r="E40" s="1624">
        <f t="shared" ca="1" si="9"/>
        <v>0</v>
      </c>
      <c r="F40" s="1673" t="s">
        <v>2239</v>
      </c>
      <c r="G40" s="1674" t="s">
        <v>2271</v>
      </c>
      <c r="H40" s="1675">
        <f>IFERROR(VLOOKUP(Financeiros[[#This Row],[Tipo]],RefTabTipo[],2,FALSE),0)</f>
        <v>22</v>
      </c>
      <c r="I40" s="1637">
        <f>IFERROR(VLOOKUP(Financeiros[[#This Row],[Tipo]],RefTabTipo[],3,FALSE),0)</f>
        <v>60</v>
      </c>
      <c r="J40" s="1606">
        <f>IFERROR(VLOOKUP(Financeiros[[#This Row],[Tipo]],RefTabTipo[],4,FALSE),0)</f>
        <v>999</v>
      </c>
      <c r="K40" s="1676">
        <f>IFERROR(VLOOKUP(Financeiros[[#This Row],[Grupo Tarifário]],RefTabGrupoTarifa[],2,FALSE),0)</f>
        <v>1</v>
      </c>
      <c r="L40" s="1675">
        <f>IFERROR(VLOOKUP(Financeiros[[#This Row],[Grupo Tarifário]],RefTabGrupoTarifa[],3,FALSE),0)</f>
        <v>7</v>
      </c>
      <c r="M40" s="1676">
        <f>IFERROR(VLOOKUP(Financeiros[[#This Row],[Grupo Tarifário]],RefTabGrupoTarifa[],4,FALSE),0)</f>
        <v>9</v>
      </c>
      <c r="T40" s="846" t="s">
        <v>2273</v>
      </c>
      <c r="U40" s="846">
        <v>1</v>
      </c>
      <c r="V40" s="846">
        <v>2</v>
      </c>
      <c r="W40" s="846">
        <v>9</v>
      </c>
    </row>
    <row r="41" spans="3:23" ht="16.5">
      <c r="C41" s="1620" t="s">
        <v>1305</v>
      </c>
      <c r="D41" s="625"/>
      <c r="E41" s="1624">
        <f t="shared" ca="1" si="9"/>
        <v>0</v>
      </c>
      <c r="F41" s="1673" t="s">
        <v>2239</v>
      </c>
      <c r="G41" s="1674" t="s">
        <v>2260</v>
      </c>
      <c r="H41" s="1675">
        <f>IFERROR(VLOOKUP(Financeiros[[#This Row],[Tipo]],RefTabTipo[],2,FALSE),0)</f>
        <v>22</v>
      </c>
      <c r="I41" s="1637">
        <f>IFERROR(VLOOKUP(Financeiros[[#This Row],[Tipo]],RefTabTipo[],3,FALSE),0)</f>
        <v>60</v>
      </c>
      <c r="J41" s="1606">
        <f>IFERROR(VLOOKUP(Financeiros[[#This Row],[Tipo]],RefTabTipo[],4,FALSE),0)</f>
        <v>999</v>
      </c>
      <c r="K41" s="1676">
        <f>IFERROR(VLOOKUP(Financeiros[[#This Row],[Grupo Tarifário]],RefTabGrupoTarifa[],2,FALSE),0)</f>
        <v>2</v>
      </c>
      <c r="L41" s="1675">
        <f>IFERROR(VLOOKUP(Financeiros[[#This Row],[Grupo Tarifário]],RefTabGrupoTarifa[],3,FALSE),0)</f>
        <v>30</v>
      </c>
      <c r="M41" s="1676">
        <f>IFERROR(VLOOKUP(Financeiros[[#This Row],[Grupo Tarifário]],RefTabGrupoTarifa[],4,FALSE),0)</f>
        <v>9</v>
      </c>
      <c r="T41" s="846" t="s">
        <v>2274</v>
      </c>
      <c r="U41" s="846">
        <v>1</v>
      </c>
      <c r="V41" s="846">
        <v>1</v>
      </c>
      <c r="W41" s="846">
        <v>9</v>
      </c>
    </row>
    <row r="42" spans="3:23" ht="16.5">
      <c r="C42" s="1622" t="s">
        <v>1306</v>
      </c>
      <c r="D42" s="625">
        <f>'Financeiros Mitigação'!$D$12</f>
        <v>0</v>
      </c>
      <c r="E42" s="1624">
        <f t="shared" ca="1" si="9"/>
        <v>0</v>
      </c>
      <c r="F42" s="1673" t="s">
        <v>2239</v>
      </c>
      <c r="G42" s="1674" t="s">
        <v>104</v>
      </c>
      <c r="H42" s="1675">
        <f>IFERROR(VLOOKUP(Financeiros[[#This Row],[Tipo]],RefTabTipo[],2,FALSE),0)</f>
        <v>22</v>
      </c>
      <c r="I42" s="1637">
        <f>IFERROR(VLOOKUP(Financeiros[[#This Row],[Tipo]],RefTabTipo[],3,FALSE),0)</f>
        <v>60</v>
      </c>
      <c r="J42" s="1606">
        <f>IFERROR(VLOOKUP(Financeiros[[#This Row],[Tipo]],RefTabTipo[],4,FALSE),0)</f>
        <v>999</v>
      </c>
      <c r="K42" s="1676">
        <f>IFERROR(VLOOKUP(Financeiros[[#This Row],[Grupo Tarifário]],RefTabGrupoTarifa[],2,FALSE),0)</f>
        <v>4</v>
      </c>
      <c r="L42" s="1675">
        <f>IFERROR(VLOOKUP(Financeiros[[#This Row],[Grupo Tarifário]],RefTabGrupoTarifa[],3,FALSE),0)</f>
        <v>999</v>
      </c>
      <c r="M42" s="1676">
        <f>IFERROR(VLOOKUP(Financeiros[[#This Row],[Grupo Tarifário]],RefTabGrupoTarifa[],4,FALSE),0)</f>
        <v>9</v>
      </c>
      <c r="T42" s="846" t="s">
        <v>2275</v>
      </c>
      <c r="U42" s="846">
        <v>1</v>
      </c>
      <c r="V42" s="846">
        <v>21</v>
      </c>
      <c r="W42" s="846">
        <v>9</v>
      </c>
    </row>
    <row r="43" spans="3:23" ht="16.5">
      <c r="C43" s="1622" t="s">
        <v>2279</v>
      </c>
      <c r="D43" s="1666"/>
      <c r="E43" s="1679">
        <f>IF(ISERROR(D43/#REF!),0,D43/#REF!)</f>
        <v>0</v>
      </c>
      <c r="F43" s="1673" t="s">
        <v>2232</v>
      </c>
      <c r="G43" s="1674" t="s">
        <v>104</v>
      </c>
      <c r="H43" s="1680">
        <f>IFERROR(VLOOKUP(Financeiros[[#This Row],[Tipo]],RefTabTipo[],2,FALSE),0)</f>
        <v>22</v>
      </c>
      <c r="I43" s="1637">
        <f>IFERROR(VLOOKUP(Financeiros[[#This Row],[Tipo]],RefTabTipo[],3,FALSE),0)</f>
        <v>60</v>
      </c>
      <c r="J43" s="1606">
        <f>IFERROR(VLOOKUP(Financeiros[[#This Row],[Tipo]],RefTabTipo[],4,FALSE),0)</f>
        <v>235</v>
      </c>
      <c r="K43" s="1681">
        <f>IFERROR(VLOOKUP(Financeiros[[#This Row],[Grupo Tarifário]],RefTabGrupoTarifa[],2,FALSE),0)</f>
        <v>4</v>
      </c>
      <c r="L43" s="1680">
        <f>IFERROR(VLOOKUP(Financeiros[[#This Row],[Grupo Tarifário]],RefTabGrupoTarifa[],3,FALSE),0)</f>
        <v>999</v>
      </c>
      <c r="M43" s="1681">
        <f>IFERROR(VLOOKUP(Financeiros[[#This Row],[Grupo Tarifário]],RefTabGrupoTarifa[],4,FALSE),0)</f>
        <v>9</v>
      </c>
      <c r="T43" s="846" t="s">
        <v>2276</v>
      </c>
      <c r="U43" s="846">
        <v>1</v>
      </c>
      <c r="V43" s="846">
        <v>5</v>
      </c>
      <c r="W43" s="846">
        <v>9</v>
      </c>
    </row>
    <row r="44" spans="3:23" ht="16.5">
      <c r="C44" s="1769" t="s">
        <v>2397</v>
      </c>
      <c r="D44" s="1666"/>
      <c r="E44" s="1679">
        <f>IF(ISERROR(D44/#REF!),0,D44/#REF!)</f>
        <v>0</v>
      </c>
      <c r="F44" s="1673"/>
      <c r="G44" s="1674"/>
      <c r="H44" s="1680">
        <f>IFERROR(VLOOKUP(Financeiros[[#This Row],[Tipo]],RefTabTipo[],2,FALSE),0)</f>
        <v>0</v>
      </c>
      <c r="I44" s="1637">
        <f>IFERROR(VLOOKUP(Financeiros[[#This Row],[Tipo]],RefTabTipo[],3,FALSE),0)</f>
        <v>0</v>
      </c>
      <c r="J44" s="1606">
        <f>IFERROR(VLOOKUP(Financeiros[[#This Row],[Tipo]],RefTabTipo[],4,FALSE),0)</f>
        <v>0</v>
      </c>
      <c r="K44" s="1681">
        <f>IFERROR(VLOOKUP(Financeiros[[#This Row],[Grupo Tarifário]],RefTabGrupoTarifa[],2,FALSE),0)</f>
        <v>0</v>
      </c>
      <c r="L44" s="1680">
        <f>IFERROR(VLOOKUP(Financeiros[[#This Row],[Grupo Tarifário]],RefTabGrupoTarifa[],3,FALSE),0)</f>
        <v>0</v>
      </c>
      <c r="M44" s="1681">
        <f>IFERROR(VLOOKUP(Financeiros[[#This Row],[Grupo Tarifário]],RefTabGrupoTarifa[],4,FALSE),0)</f>
        <v>0</v>
      </c>
      <c r="T44" s="846" t="s">
        <v>2277</v>
      </c>
      <c r="U44" s="846">
        <v>1</v>
      </c>
      <c r="V44" s="846">
        <v>6</v>
      </c>
      <c r="W44" s="846">
        <v>9</v>
      </c>
    </row>
    <row r="45" spans="3:23" ht="16.5">
      <c r="C45" s="1769" t="s">
        <v>2402</v>
      </c>
      <c r="D45" s="1666"/>
      <c r="E45" s="1679">
        <f>IF(ISERROR(D45/#REF!),0,D45/#REF!)</f>
        <v>0</v>
      </c>
      <c r="F45" s="1673"/>
      <c r="G45" s="1674"/>
      <c r="H45" s="1680">
        <f>IFERROR(VLOOKUP(Financeiros[[#This Row],[Tipo]],RefTabTipo[],2,FALSE),0)</f>
        <v>0</v>
      </c>
      <c r="I45" s="1637">
        <f>IFERROR(VLOOKUP(Financeiros[[#This Row],[Tipo]],RefTabTipo[],3,FALSE),0)</f>
        <v>0</v>
      </c>
      <c r="J45" s="1606">
        <f>IFERROR(VLOOKUP(Financeiros[[#This Row],[Tipo]],RefTabTipo[],4,FALSE),0)</f>
        <v>0</v>
      </c>
      <c r="K45" s="1681">
        <f>IFERROR(VLOOKUP(Financeiros[[#This Row],[Grupo Tarifário]],RefTabGrupoTarifa[],2,FALSE),0)</f>
        <v>0</v>
      </c>
      <c r="L45" s="1680">
        <f>IFERROR(VLOOKUP(Financeiros[[#This Row],[Grupo Tarifário]],RefTabGrupoTarifa[],3,FALSE),0)</f>
        <v>0</v>
      </c>
      <c r="M45" s="1681">
        <f>IFERROR(VLOOKUP(Financeiros[[#This Row],[Grupo Tarifário]],RefTabGrupoTarifa[],4,FALSE),0)</f>
        <v>0</v>
      </c>
      <c r="T45" s="846"/>
      <c r="U45" s="846"/>
      <c r="V45" s="846"/>
      <c r="W45" s="846"/>
    </row>
    <row r="46" spans="3:23" ht="16.5">
      <c r="C46" s="1768" t="s">
        <v>2403</v>
      </c>
      <c r="D46" s="625"/>
      <c r="E46" s="1624">
        <f t="shared" ref="E46:E76" ca="1" si="10">IF(ISERROR(D46/$D$4),0,D46/$D$4)</f>
        <v>0</v>
      </c>
      <c r="F46" s="1673"/>
      <c r="G46" s="1674"/>
      <c r="H46" s="1675">
        <f>IFERROR(VLOOKUP(Financeiros[[#This Row],[Tipo]],RefTabTipo[],2,FALSE),0)</f>
        <v>0</v>
      </c>
      <c r="I46" s="1637">
        <f>IFERROR(VLOOKUP(Financeiros[[#This Row],[Tipo]],RefTabTipo[],3,FALSE),0)</f>
        <v>0</v>
      </c>
      <c r="J46" s="1606">
        <f>IFERROR(VLOOKUP(Financeiros[[#This Row],[Tipo]],RefTabTipo[],4,FALSE),0)</f>
        <v>0</v>
      </c>
      <c r="K46" s="1676">
        <f>IFERROR(VLOOKUP(Financeiros[[#This Row],[Grupo Tarifário]],RefTabGrupoTarifa[],2,FALSE),0)</f>
        <v>0</v>
      </c>
      <c r="L46" s="1675">
        <f>IFERROR(VLOOKUP(Financeiros[[#This Row],[Grupo Tarifário]],RefTabGrupoTarifa[],3,FALSE),0)</f>
        <v>0</v>
      </c>
      <c r="M46" s="1676">
        <f>IFERROR(VLOOKUP(Financeiros[[#This Row],[Grupo Tarifário]],RefTabGrupoTarifa[],4,FALSE),0)</f>
        <v>0</v>
      </c>
      <c r="T46" s="846"/>
      <c r="U46" s="846"/>
      <c r="V46" s="846"/>
      <c r="W46" s="846"/>
    </row>
    <row r="47" spans="3:23" ht="16.5">
      <c r="C47" s="1620" t="s">
        <v>2404</v>
      </c>
      <c r="D47" s="625"/>
      <c r="E47" s="1624">
        <f t="shared" ca="1" si="10"/>
        <v>0</v>
      </c>
      <c r="F47" s="1673"/>
      <c r="G47" s="1674"/>
      <c r="H47" s="1675">
        <f>IFERROR(VLOOKUP(Financeiros[[#This Row],[Tipo]],RefTabTipo[],2,FALSE),0)</f>
        <v>0</v>
      </c>
      <c r="I47" s="1637">
        <f>IFERROR(VLOOKUP(Financeiros[[#This Row],[Tipo]],RefTabTipo[],3,FALSE),0)</f>
        <v>0</v>
      </c>
      <c r="J47" s="1606">
        <f>IFERROR(VLOOKUP(Financeiros[[#This Row],[Tipo]],RefTabTipo[],4,FALSE),0)</f>
        <v>0</v>
      </c>
      <c r="K47" s="1676">
        <f>IFERROR(VLOOKUP(Financeiros[[#This Row],[Grupo Tarifário]],RefTabGrupoTarifa[],2,FALSE),0)</f>
        <v>0</v>
      </c>
      <c r="L47" s="1675">
        <f>IFERROR(VLOOKUP(Financeiros[[#This Row],[Grupo Tarifário]],RefTabGrupoTarifa[],3,FALSE),0)</f>
        <v>0</v>
      </c>
      <c r="M47" s="1676">
        <f>IFERROR(VLOOKUP(Financeiros[[#This Row],[Grupo Tarifário]],RefTabGrupoTarifa[],4,FALSE),0)</f>
        <v>0</v>
      </c>
    </row>
    <row r="48" spans="3:23" ht="16.5">
      <c r="C48" s="1620" t="s">
        <v>2405</v>
      </c>
      <c r="D48" s="625"/>
      <c r="E48" s="1624">
        <f t="shared" ca="1" si="10"/>
        <v>0</v>
      </c>
      <c r="F48" s="1673"/>
      <c r="G48" s="1674"/>
      <c r="H48" s="1675">
        <f>IFERROR(VLOOKUP(Financeiros[[#This Row],[Tipo]],RefTabTipo[],2,FALSE),0)</f>
        <v>0</v>
      </c>
      <c r="I48" s="1637">
        <f>IFERROR(VLOOKUP(Financeiros[[#This Row],[Tipo]],RefTabTipo[],3,FALSE),0)</f>
        <v>0</v>
      </c>
      <c r="J48" s="1606">
        <f>IFERROR(VLOOKUP(Financeiros[[#This Row],[Tipo]],RefTabTipo[],4,FALSE),0)</f>
        <v>0</v>
      </c>
      <c r="K48" s="1676">
        <f>IFERROR(VLOOKUP(Financeiros[[#This Row],[Grupo Tarifário]],RefTabGrupoTarifa[],2,FALSE),0)</f>
        <v>0</v>
      </c>
      <c r="L48" s="1675">
        <f>IFERROR(VLOOKUP(Financeiros[[#This Row],[Grupo Tarifário]],RefTabGrupoTarifa[],3,FALSE),0)</f>
        <v>0</v>
      </c>
      <c r="M48" s="1676">
        <f>IFERROR(VLOOKUP(Financeiros[[#This Row],[Grupo Tarifário]],RefTabGrupoTarifa[],4,FALSE),0)</f>
        <v>0</v>
      </c>
    </row>
    <row r="49" spans="3:13" ht="16.5">
      <c r="C49" s="1667" t="s">
        <v>2105</v>
      </c>
      <c r="D49" s="1668">
        <f>CVE!$D$9</f>
        <v>0</v>
      </c>
      <c r="E49" s="1625">
        <f t="shared" ca="1" si="10"/>
        <v>0</v>
      </c>
      <c r="F49" s="1613" t="s">
        <v>2235</v>
      </c>
      <c r="G49" s="1632" t="s">
        <v>2247</v>
      </c>
      <c r="H49" s="1614">
        <f>IFERROR(VLOOKUP(Financeiros[[#This Row],[Tipo]],RefTabTipo[],2,FALSE),0)</f>
        <v>22</v>
      </c>
      <c r="I49" s="1638">
        <f>IFERROR(VLOOKUP(Financeiros[[#This Row],[Tipo]],RefTabTipo[],3,FALSE),0)</f>
        <v>60</v>
      </c>
      <c r="J49" s="1615">
        <f>IFERROR(VLOOKUP(Financeiros[[#This Row],[Tipo]],RefTabTipo[],4,FALSE),0)</f>
        <v>241</v>
      </c>
      <c r="K49" s="1644">
        <f>IFERROR(VLOOKUP(Financeiros[[#This Row],[Grupo Tarifário]],RefTabGrupoTarifa[],2,FALSE),0)</f>
        <v>3</v>
      </c>
      <c r="L49" s="1614">
        <f>IFERROR(VLOOKUP(Financeiros[[#This Row],[Grupo Tarifário]],RefTabGrupoTarifa[],3,FALSE),0)</f>
        <v>13</v>
      </c>
      <c r="M49" s="1644">
        <f>IFERROR(VLOOKUP(Financeiros[[#This Row],[Grupo Tarifário]],RefTabGrupoTarifa[],4,FALSE),0)</f>
        <v>9</v>
      </c>
    </row>
    <row r="50" spans="3:13" ht="16.5">
      <c r="C50" s="1667" t="s">
        <v>2106</v>
      </c>
      <c r="D50" s="1668">
        <f>CVE!$D$10</f>
        <v>0</v>
      </c>
      <c r="E50" s="1625">
        <f t="shared" ca="1" si="10"/>
        <v>0</v>
      </c>
      <c r="F50" s="1613" t="s">
        <v>2235</v>
      </c>
      <c r="G50" s="1632" t="s">
        <v>2249</v>
      </c>
      <c r="H50" s="1614">
        <f>IFERROR(VLOOKUP(Financeiros[[#This Row],[Tipo]],RefTabTipo[],2,FALSE),0)</f>
        <v>22</v>
      </c>
      <c r="I50" s="1638">
        <f>IFERROR(VLOOKUP(Financeiros[[#This Row],[Tipo]],RefTabTipo[],3,FALSE),0)</f>
        <v>60</v>
      </c>
      <c r="J50" s="1615">
        <f>IFERROR(VLOOKUP(Financeiros[[#This Row],[Tipo]],RefTabTipo[],4,FALSE),0)</f>
        <v>241</v>
      </c>
      <c r="K50" s="1644">
        <f>IFERROR(VLOOKUP(Financeiros[[#This Row],[Grupo Tarifário]],RefTabGrupoTarifa[],2,FALSE),0)</f>
        <v>3</v>
      </c>
      <c r="L50" s="1614">
        <f>IFERROR(VLOOKUP(Financeiros[[#This Row],[Grupo Tarifário]],RefTabGrupoTarifa[],3,FALSE),0)</f>
        <v>15</v>
      </c>
      <c r="M50" s="1644">
        <f>IFERROR(VLOOKUP(Financeiros[[#This Row],[Grupo Tarifário]],RefTabGrupoTarifa[],4,FALSE),0)</f>
        <v>9</v>
      </c>
    </row>
    <row r="51" spans="3:13" ht="16.5">
      <c r="C51" s="1667" t="s">
        <v>2107</v>
      </c>
      <c r="D51" s="1668">
        <f>CVE!$D$11</f>
        <v>0</v>
      </c>
      <c r="E51" s="1625">
        <f t="shared" ca="1" si="10"/>
        <v>0</v>
      </c>
      <c r="F51" s="1613" t="s">
        <v>2235</v>
      </c>
      <c r="G51" s="1632" t="s">
        <v>2248</v>
      </c>
      <c r="H51" s="1614">
        <f>IFERROR(VLOOKUP(Financeiros[[#This Row],[Tipo]],RefTabTipo[],2,FALSE),0)</f>
        <v>22</v>
      </c>
      <c r="I51" s="1638">
        <f>IFERROR(VLOOKUP(Financeiros[[#This Row],[Tipo]],RefTabTipo[],3,FALSE),0)</f>
        <v>60</v>
      </c>
      <c r="J51" s="1615">
        <f>IFERROR(VLOOKUP(Financeiros[[#This Row],[Tipo]],RefTabTipo[],4,FALSE),0)</f>
        <v>241</v>
      </c>
      <c r="K51" s="1644">
        <f>IFERROR(VLOOKUP(Financeiros[[#This Row],[Grupo Tarifário]],RefTabGrupoTarifa[],2,FALSE),0)</f>
        <v>3</v>
      </c>
      <c r="L51" s="1614">
        <f>IFERROR(VLOOKUP(Financeiros[[#This Row],[Grupo Tarifário]],RefTabGrupoTarifa[],3,FALSE),0)</f>
        <v>25</v>
      </c>
      <c r="M51" s="1644">
        <f>IFERROR(VLOOKUP(Financeiros[[#This Row],[Grupo Tarifário]],RefTabGrupoTarifa[],4,FALSE),0)</f>
        <v>9</v>
      </c>
    </row>
    <row r="52" spans="3:13" ht="16.5">
      <c r="C52" s="1667" t="s">
        <v>2108</v>
      </c>
      <c r="D52" s="1668">
        <f>IFERROR(CVE!$D$12*Resultado!D25/SUM(Resultado!$D$25:$D$29),0)</f>
        <v>0</v>
      </c>
      <c r="E52" s="1625">
        <f t="shared" ca="1" si="10"/>
        <v>0</v>
      </c>
      <c r="F52" s="1613" t="s">
        <v>2235</v>
      </c>
      <c r="G52" s="1632" t="s">
        <v>2267</v>
      </c>
      <c r="H52" s="1614">
        <f>IFERROR(VLOOKUP(Financeiros[[#This Row],[Tipo]],RefTabTipo[],2,FALSE),0)</f>
        <v>22</v>
      </c>
      <c r="I52" s="1638">
        <f>IFERROR(VLOOKUP(Financeiros[[#This Row],[Tipo]],RefTabTipo[],3,FALSE),0)</f>
        <v>60</v>
      </c>
      <c r="J52" s="1615">
        <f>IFERROR(VLOOKUP(Financeiros[[#This Row],[Tipo]],RefTabTipo[],4,FALSE),0)</f>
        <v>241</v>
      </c>
      <c r="K52" s="1644">
        <f>IFERROR(VLOOKUP(Financeiros[[#This Row],[Grupo Tarifário]],RefTabGrupoTarifa[],2,FALSE),0)</f>
        <v>1</v>
      </c>
      <c r="L52" s="1614">
        <f>IFERROR(VLOOKUP(Financeiros[[#This Row],[Grupo Tarifário]],RefTabGrupoTarifa[],3,FALSE),0)</f>
        <v>1</v>
      </c>
      <c r="M52" s="1644">
        <f>IFERROR(VLOOKUP(Financeiros[[#This Row],[Grupo Tarifário]],RefTabGrupoTarifa[],4,FALSE),0)</f>
        <v>9</v>
      </c>
    </row>
    <row r="53" spans="3:13" ht="16.5">
      <c r="C53" s="1667" t="s">
        <v>2109</v>
      </c>
      <c r="D53" s="1668">
        <f>IFERROR(CVE!$D$12*Resultado!D26/SUM(Resultado!$D$25:$D$29),0)</f>
        <v>0</v>
      </c>
      <c r="E53" s="1625">
        <f t="shared" ca="1" si="10"/>
        <v>0</v>
      </c>
      <c r="F53" s="1613" t="s">
        <v>2235</v>
      </c>
      <c r="G53" s="1632" t="s">
        <v>2267</v>
      </c>
      <c r="H53" s="1614">
        <f>IFERROR(VLOOKUP(Financeiros[[#This Row],[Tipo]],RefTabTipo[],2,FALSE),0)</f>
        <v>22</v>
      </c>
      <c r="I53" s="1638">
        <f>IFERROR(VLOOKUP(Financeiros[[#This Row],[Tipo]],RefTabTipo[],3,FALSE),0)</f>
        <v>60</v>
      </c>
      <c r="J53" s="1615">
        <f>IFERROR(VLOOKUP(Financeiros[[#This Row],[Tipo]],RefTabTipo[],4,FALSE),0)</f>
        <v>241</v>
      </c>
      <c r="K53" s="1644">
        <f>IFERROR(VLOOKUP(Financeiros[[#This Row],[Grupo Tarifário]],RefTabGrupoTarifa[],2,FALSE),0)</f>
        <v>1</v>
      </c>
      <c r="L53" s="1614">
        <f>IFERROR(VLOOKUP(Financeiros[[#This Row],[Grupo Tarifário]],RefTabGrupoTarifa[],3,FALSE),0)</f>
        <v>1</v>
      </c>
      <c r="M53" s="1644">
        <f>IFERROR(VLOOKUP(Financeiros[[#This Row],[Grupo Tarifário]],RefTabGrupoTarifa[],4,FALSE),0)</f>
        <v>9</v>
      </c>
    </row>
    <row r="54" spans="3:13" ht="16.5">
      <c r="C54" s="1667" t="s">
        <v>2110</v>
      </c>
      <c r="D54" s="1668">
        <f>IFERROR(CVE!$D$12*Resultado!D28/SUM(Resultado!$D$25:$D$29),0)</f>
        <v>0</v>
      </c>
      <c r="E54" s="1625">
        <f t="shared" ca="1" si="10"/>
        <v>0</v>
      </c>
      <c r="F54" s="1613" t="s">
        <v>2235</v>
      </c>
      <c r="G54" s="1632" t="s">
        <v>2267</v>
      </c>
      <c r="H54" s="1614">
        <f>IFERROR(VLOOKUP(Financeiros[[#This Row],[Tipo]],RefTabTipo[],2,FALSE),0)</f>
        <v>22</v>
      </c>
      <c r="I54" s="1638">
        <f>IFERROR(VLOOKUP(Financeiros[[#This Row],[Tipo]],RefTabTipo[],3,FALSE),0)</f>
        <v>60</v>
      </c>
      <c r="J54" s="1615">
        <f>IFERROR(VLOOKUP(Financeiros[[#This Row],[Tipo]],RefTabTipo[],4,FALSE),0)</f>
        <v>241</v>
      </c>
      <c r="K54" s="1644">
        <f>IFERROR(VLOOKUP(Financeiros[[#This Row],[Grupo Tarifário]],RefTabGrupoTarifa[],2,FALSE),0)</f>
        <v>1</v>
      </c>
      <c r="L54" s="1614">
        <f>IFERROR(VLOOKUP(Financeiros[[#This Row],[Grupo Tarifário]],RefTabGrupoTarifa[],3,FALSE),0)</f>
        <v>1</v>
      </c>
      <c r="M54" s="1644">
        <f>IFERROR(VLOOKUP(Financeiros[[#This Row],[Grupo Tarifário]],RefTabGrupoTarifa[],4,FALSE),0)</f>
        <v>9</v>
      </c>
    </row>
    <row r="55" spans="3:13" ht="16.5">
      <c r="C55" s="1667" t="s">
        <v>2111</v>
      </c>
      <c r="D55" s="1668">
        <f>IFERROR(CVE!$D$12*Resultado!D27/SUM(Resultado!$D$25:$D$29),0)</f>
        <v>0</v>
      </c>
      <c r="E55" s="1625">
        <f t="shared" ca="1" si="10"/>
        <v>0</v>
      </c>
      <c r="F55" s="1613" t="s">
        <v>2235</v>
      </c>
      <c r="G55" s="1632" t="s">
        <v>2267</v>
      </c>
      <c r="H55" s="1614">
        <f>IFERROR(VLOOKUP(Financeiros[[#This Row],[Tipo]],RefTabTipo[],2,FALSE),0)</f>
        <v>22</v>
      </c>
      <c r="I55" s="1638">
        <f>IFERROR(VLOOKUP(Financeiros[[#This Row],[Tipo]],RefTabTipo[],3,FALSE),0)</f>
        <v>60</v>
      </c>
      <c r="J55" s="1615">
        <f>IFERROR(VLOOKUP(Financeiros[[#This Row],[Tipo]],RefTabTipo[],4,FALSE),0)</f>
        <v>241</v>
      </c>
      <c r="K55" s="1644">
        <f>IFERROR(VLOOKUP(Financeiros[[#This Row],[Grupo Tarifário]],RefTabGrupoTarifa[],2,FALSE),0)</f>
        <v>1</v>
      </c>
      <c r="L55" s="1614">
        <f>IFERROR(VLOOKUP(Financeiros[[#This Row],[Grupo Tarifário]],RefTabGrupoTarifa[],3,FALSE),0)</f>
        <v>1</v>
      </c>
      <c r="M55" s="1644">
        <f>IFERROR(VLOOKUP(Financeiros[[#This Row],[Grupo Tarifário]],RefTabGrupoTarifa[],4,FALSE),0)</f>
        <v>9</v>
      </c>
    </row>
    <row r="56" spans="3:13" ht="16.5">
      <c r="C56" s="1667" t="s">
        <v>2112</v>
      </c>
      <c r="D56" s="1668">
        <f>IFERROR(CVE!$D$12*Resultado!D29/SUM(Resultado!$D$25:$D$29),0)</f>
        <v>0</v>
      </c>
      <c r="E56" s="1625">
        <f t="shared" ca="1" si="10"/>
        <v>0</v>
      </c>
      <c r="F56" s="1613" t="s">
        <v>2235</v>
      </c>
      <c r="G56" s="1632" t="s">
        <v>2267</v>
      </c>
      <c r="H56" s="1614">
        <f>IFERROR(VLOOKUP(Financeiros[[#This Row],[Tipo]],RefTabTipo[],2,FALSE),0)</f>
        <v>22</v>
      </c>
      <c r="I56" s="1638">
        <f>IFERROR(VLOOKUP(Financeiros[[#This Row],[Tipo]],RefTabTipo[],3,FALSE),0)</f>
        <v>60</v>
      </c>
      <c r="J56" s="1615">
        <f>IFERROR(VLOOKUP(Financeiros[[#This Row],[Tipo]],RefTabTipo[],4,FALSE),0)</f>
        <v>241</v>
      </c>
      <c r="K56" s="1644">
        <f>IFERROR(VLOOKUP(Financeiros[[#This Row],[Grupo Tarifário]],RefTabGrupoTarifa[],2,FALSE),0)</f>
        <v>1</v>
      </c>
      <c r="L56" s="1614">
        <f>IFERROR(VLOOKUP(Financeiros[[#This Row],[Grupo Tarifário]],RefTabGrupoTarifa[],3,FALSE),0)</f>
        <v>1</v>
      </c>
      <c r="M56" s="1644">
        <f>IFERROR(VLOOKUP(Financeiros[[#This Row],[Grupo Tarifário]],RefTabGrupoTarifa[],4,FALSE),0)</f>
        <v>9</v>
      </c>
    </row>
    <row r="57" spans="3:13" ht="16.5">
      <c r="C57" s="1667" t="s">
        <v>2113</v>
      </c>
      <c r="D57" s="1668">
        <f>CVE!D15</f>
        <v>0</v>
      </c>
      <c r="E57" s="1625">
        <f t="shared" ca="1" si="10"/>
        <v>0</v>
      </c>
      <c r="F57" s="1613" t="s">
        <v>2235</v>
      </c>
      <c r="G57" s="1632" t="s">
        <v>2275</v>
      </c>
      <c r="H57" s="1614">
        <f>IFERROR(VLOOKUP(Financeiros[[#This Row],[Tipo]],RefTabTipo[],2,FALSE),0)</f>
        <v>22</v>
      </c>
      <c r="I57" s="1638">
        <f>IFERROR(VLOOKUP(Financeiros[[#This Row],[Tipo]],RefTabTipo[],3,FALSE),0)</f>
        <v>60</v>
      </c>
      <c r="J57" s="1615">
        <f>IFERROR(VLOOKUP(Financeiros[[#This Row],[Tipo]],RefTabTipo[],4,FALSE),0)</f>
        <v>241</v>
      </c>
      <c r="K57" s="1644">
        <f>IFERROR(VLOOKUP(Financeiros[[#This Row],[Grupo Tarifário]],RefTabGrupoTarifa[],2,FALSE),0)</f>
        <v>1</v>
      </c>
      <c r="L57" s="1614">
        <f>IFERROR(VLOOKUP(Financeiros[[#This Row],[Grupo Tarifário]],RefTabGrupoTarifa[],3,FALSE),0)</f>
        <v>21</v>
      </c>
      <c r="M57" s="1644">
        <f>IFERROR(VLOOKUP(Financeiros[[#This Row],[Grupo Tarifário]],RefTabGrupoTarifa[],4,FALSE),0)</f>
        <v>9</v>
      </c>
    </row>
    <row r="58" spans="3:13" ht="16.5">
      <c r="C58" s="1667" t="s">
        <v>2114</v>
      </c>
      <c r="D58" s="1668">
        <f ca="1">IFERROR(CVE!$D$13*H2,0)</f>
        <v>0</v>
      </c>
      <c r="E58" s="1625">
        <f t="shared" ca="1" si="10"/>
        <v>0</v>
      </c>
      <c r="F58" s="1613" t="s">
        <v>2235</v>
      </c>
      <c r="G58" s="1632" t="s">
        <v>2259</v>
      </c>
      <c r="H58" s="1614">
        <f>IFERROR(VLOOKUP(Financeiros[[#This Row],[Tipo]],RefTabTipo[],2,FALSE),0)</f>
        <v>22</v>
      </c>
      <c r="I58" s="1638">
        <f>IFERROR(VLOOKUP(Financeiros[[#This Row],[Tipo]],RefTabTipo[],3,FALSE),0)</f>
        <v>60</v>
      </c>
      <c r="J58" s="1615">
        <f>IFERROR(VLOOKUP(Financeiros[[#This Row],[Tipo]],RefTabTipo[],4,FALSE),0)</f>
        <v>241</v>
      </c>
      <c r="K58" s="1644">
        <f>IFERROR(VLOOKUP(Financeiros[[#This Row],[Grupo Tarifário]],RefTabGrupoTarifa[],2,FALSE),0)</f>
        <v>2</v>
      </c>
      <c r="L58" s="1614">
        <f>IFERROR(VLOOKUP(Financeiros[[#This Row],[Grupo Tarifário]],RefTabGrupoTarifa[],3,FALSE),0)</f>
        <v>11</v>
      </c>
      <c r="M58" s="1644">
        <f>IFERROR(VLOOKUP(Financeiros[[#This Row],[Grupo Tarifário]],RefTabGrupoTarifa[],4,FALSE),0)</f>
        <v>9</v>
      </c>
    </row>
    <row r="59" spans="3:13" ht="16.5">
      <c r="C59" s="1667" t="s">
        <v>2115</v>
      </c>
      <c r="D59" s="1668">
        <f ca="1">IFERROR(CVE!$D$13*H3,0)</f>
        <v>0</v>
      </c>
      <c r="E59" s="1625">
        <f t="shared" ca="1" si="10"/>
        <v>0</v>
      </c>
      <c r="F59" s="1613" t="s">
        <v>2235</v>
      </c>
      <c r="G59" s="1632" t="s">
        <v>2261</v>
      </c>
      <c r="H59" s="1614">
        <f>IFERROR(VLOOKUP(Financeiros[[#This Row],[Tipo]],RefTabTipo[],2,FALSE),0)</f>
        <v>22</v>
      </c>
      <c r="I59" s="1638">
        <f>IFERROR(VLOOKUP(Financeiros[[#This Row],[Tipo]],RefTabTipo[],3,FALSE),0)</f>
        <v>60</v>
      </c>
      <c r="J59" s="1615">
        <f>IFERROR(VLOOKUP(Financeiros[[#This Row],[Tipo]],RefTabTipo[],4,FALSE),0)</f>
        <v>241</v>
      </c>
      <c r="K59" s="1644">
        <f>IFERROR(VLOOKUP(Financeiros[[#This Row],[Grupo Tarifário]],RefTabGrupoTarifa[],2,FALSE),0)</f>
        <v>2</v>
      </c>
      <c r="L59" s="1614">
        <f>IFERROR(VLOOKUP(Financeiros[[#This Row],[Grupo Tarifário]],RefTabGrupoTarifa[],3,FALSE),0)</f>
        <v>9</v>
      </c>
      <c r="M59" s="1644">
        <f>IFERROR(VLOOKUP(Financeiros[[#This Row],[Grupo Tarifário]],RefTabGrupoTarifa[],4,FALSE),0)</f>
        <v>9</v>
      </c>
    </row>
    <row r="60" spans="3:13" ht="16.5">
      <c r="C60" s="1667" t="s">
        <v>2116</v>
      </c>
      <c r="D60" s="1668">
        <f ca="1">IFERROR(CVE!$D$13*H4,0)</f>
        <v>0</v>
      </c>
      <c r="E60" s="1625">
        <f t="shared" ca="1" si="10"/>
        <v>0</v>
      </c>
      <c r="F60" s="1613" t="s">
        <v>2235</v>
      </c>
      <c r="G60" s="1632" t="s">
        <v>2264</v>
      </c>
      <c r="H60" s="1614">
        <f>IFERROR(VLOOKUP(Financeiros[[#This Row],[Tipo]],RefTabTipo[],2,FALSE),0)</f>
        <v>22</v>
      </c>
      <c r="I60" s="1638">
        <f>IFERROR(VLOOKUP(Financeiros[[#This Row],[Tipo]],RefTabTipo[],3,FALSE),0)</f>
        <v>60</v>
      </c>
      <c r="J60" s="1615">
        <f>IFERROR(VLOOKUP(Financeiros[[#This Row],[Tipo]],RefTabTipo[],4,FALSE),0)</f>
        <v>241</v>
      </c>
      <c r="K60" s="1644">
        <f>IFERROR(VLOOKUP(Financeiros[[#This Row],[Grupo Tarifário]],RefTabGrupoTarifa[],2,FALSE),0)</f>
        <v>2</v>
      </c>
      <c r="L60" s="1614">
        <f>IFERROR(VLOOKUP(Financeiros[[#This Row],[Grupo Tarifário]],RefTabGrupoTarifa[],3,FALSE),0)</f>
        <v>8</v>
      </c>
      <c r="M60" s="1644">
        <f>IFERROR(VLOOKUP(Financeiros[[#This Row],[Grupo Tarifário]],RefTabGrupoTarifa[],4,FALSE),0)</f>
        <v>9</v>
      </c>
    </row>
    <row r="61" spans="3:13" ht="16.5">
      <c r="C61" s="1667" t="s">
        <v>2117</v>
      </c>
      <c r="D61" s="1668">
        <f ca="1">IFERROR(CVE!$D$13*H5,0)</f>
        <v>0</v>
      </c>
      <c r="E61" s="1625">
        <f t="shared" ca="1" si="10"/>
        <v>0</v>
      </c>
      <c r="F61" s="1613" t="s">
        <v>2235</v>
      </c>
      <c r="G61" s="1632" t="s">
        <v>2262</v>
      </c>
      <c r="H61" s="1614">
        <f>IFERROR(VLOOKUP(Financeiros[[#This Row],[Tipo]],RefTabTipo[],2,FALSE),0)</f>
        <v>22</v>
      </c>
      <c r="I61" s="1638">
        <f>IFERROR(VLOOKUP(Financeiros[[#This Row],[Tipo]],RefTabTipo[],3,FALSE),0)</f>
        <v>60</v>
      </c>
      <c r="J61" s="1615">
        <f>IFERROR(VLOOKUP(Financeiros[[#This Row],[Tipo]],RefTabTipo[],4,FALSE),0)</f>
        <v>241</v>
      </c>
      <c r="K61" s="1644">
        <f>IFERROR(VLOOKUP(Financeiros[[#This Row],[Grupo Tarifário]],RefTabGrupoTarifa[],2,FALSE),0)</f>
        <v>2</v>
      </c>
      <c r="L61" s="1614">
        <f>IFERROR(VLOOKUP(Financeiros[[#This Row],[Grupo Tarifário]],RefTabGrupoTarifa[],3,FALSE),0)</f>
        <v>10</v>
      </c>
      <c r="M61" s="1644">
        <f>IFERROR(VLOOKUP(Financeiros[[#This Row],[Grupo Tarifário]],RefTabGrupoTarifa[],4,FALSE),0)</f>
        <v>9</v>
      </c>
    </row>
    <row r="62" spans="3:13" ht="16.5">
      <c r="C62" s="1667" t="s">
        <v>2118</v>
      </c>
      <c r="D62" s="1668">
        <f ca="1">IFERROR(CVE!$D$13*H6,0)</f>
        <v>0</v>
      </c>
      <c r="E62" s="1625">
        <f t="shared" ca="1" si="10"/>
        <v>0</v>
      </c>
      <c r="F62" s="1613" t="s">
        <v>2235</v>
      </c>
      <c r="G62" s="1632" t="s">
        <v>2263</v>
      </c>
      <c r="H62" s="1614">
        <f>IFERROR(VLOOKUP(Financeiros[[#This Row],[Tipo]],RefTabTipo[],2,FALSE),0)</f>
        <v>22</v>
      </c>
      <c r="I62" s="1638">
        <f>IFERROR(VLOOKUP(Financeiros[[#This Row],[Tipo]],RefTabTipo[],3,FALSE),0)</f>
        <v>60</v>
      </c>
      <c r="J62" s="1615">
        <f>IFERROR(VLOOKUP(Financeiros[[#This Row],[Tipo]],RefTabTipo[],4,FALSE),0)</f>
        <v>241</v>
      </c>
      <c r="K62" s="1644">
        <f>IFERROR(VLOOKUP(Financeiros[[#This Row],[Grupo Tarifário]],RefTabGrupoTarifa[],2,FALSE),0)</f>
        <v>2</v>
      </c>
      <c r="L62" s="1614">
        <f>IFERROR(VLOOKUP(Financeiros[[#This Row],[Grupo Tarifário]],RefTabGrupoTarifa[],3,FALSE),0)</f>
        <v>24</v>
      </c>
      <c r="M62" s="1644">
        <f>IFERROR(VLOOKUP(Financeiros[[#This Row],[Grupo Tarifário]],RefTabGrupoTarifa[],4,FALSE),0)</f>
        <v>9</v>
      </c>
    </row>
    <row r="63" spans="3:13" ht="16.5">
      <c r="C63" s="1667" t="s">
        <v>2119</v>
      </c>
      <c r="D63" s="1668">
        <f>IFERROR(CVE!$D$16,0)</f>
        <v>0</v>
      </c>
      <c r="E63" s="1625">
        <f t="shared" ca="1" si="10"/>
        <v>0</v>
      </c>
      <c r="F63" s="1613" t="s">
        <v>2235</v>
      </c>
      <c r="G63" s="1632" t="s">
        <v>2256</v>
      </c>
      <c r="H63" s="1614">
        <f>IFERROR(VLOOKUP(Financeiros[[#This Row],[Tipo]],RefTabTipo[],2,FALSE),0)</f>
        <v>22</v>
      </c>
      <c r="I63" s="1638">
        <f>IFERROR(VLOOKUP(Financeiros[[#This Row],[Tipo]],RefTabTipo[],3,FALSE),0)</f>
        <v>60</v>
      </c>
      <c r="J63" s="1615">
        <f>IFERROR(VLOOKUP(Financeiros[[#This Row],[Tipo]],RefTabTipo[],4,FALSE),0)</f>
        <v>241</v>
      </c>
      <c r="K63" s="1644">
        <f>IFERROR(VLOOKUP(Financeiros[[#This Row],[Grupo Tarifário]],RefTabGrupoTarifa[],2,FALSE),0)</f>
        <v>3</v>
      </c>
      <c r="L63" s="1614">
        <f>IFERROR(VLOOKUP(Financeiros[[#This Row],[Grupo Tarifário]],RefTabGrupoTarifa[],3,FALSE),0)</f>
        <v>18</v>
      </c>
      <c r="M63" s="1644">
        <f>IFERROR(VLOOKUP(Financeiros[[#This Row],[Grupo Tarifário]],RefTabGrupoTarifa[],4,FALSE),0)</f>
        <v>9</v>
      </c>
    </row>
    <row r="64" spans="3:13" ht="16.5">
      <c r="C64" s="1667" t="s">
        <v>2120</v>
      </c>
      <c r="D64" s="1668">
        <f>CVE!D14</f>
        <v>0</v>
      </c>
      <c r="E64" s="1625">
        <f t="shared" ca="1" si="10"/>
        <v>0</v>
      </c>
      <c r="F64" s="1613" t="s">
        <v>2235</v>
      </c>
      <c r="G64" s="1632" t="s">
        <v>2253</v>
      </c>
      <c r="H64" s="1614">
        <f>IFERROR(VLOOKUP(Financeiros[[#This Row],[Tipo]],RefTabTipo[],2,FALSE),0)</f>
        <v>22</v>
      </c>
      <c r="I64" s="1638">
        <f>IFERROR(VLOOKUP(Financeiros[[#This Row],[Tipo]],RefTabTipo[],3,FALSE),0)</f>
        <v>60</v>
      </c>
      <c r="J64" s="1615">
        <f>IFERROR(VLOOKUP(Financeiros[[#This Row],[Tipo]],RefTabTipo[],4,FALSE),0)</f>
        <v>241</v>
      </c>
      <c r="K64" s="1644">
        <f>IFERROR(VLOOKUP(Financeiros[[#This Row],[Grupo Tarifário]],RefTabGrupoTarifa[],2,FALSE),0)</f>
        <v>3</v>
      </c>
      <c r="L64" s="1614">
        <f>IFERROR(VLOOKUP(Financeiros[[#This Row],[Grupo Tarifário]],RefTabGrupoTarifa[],3,FALSE),0)</f>
        <v>16</v>
      </c>
      <c r="M64" s="1644">
        <f>IFERROR(VLOOKUP(Financeiros[[#This Row],[Grupo Tarifário]],RefTabGrupoTarifa[],4,FALSE),0)</f>
        <v>9</v>
      </c>
    </row>
    <row r="65" spans="3:13" ht="16.5">
      <c r="C65" s="1667" t="s">
        <v>2121</v>
      </c>
      <c r="D65" s="1668">
        <f>CVE!D17</f>
        <v>0</v>
      </c>
      <c r="E65" s="1625">
        <f t="shared" ca="1" si="10"/>
        <v>0</v>
      </c>
      <c r="F65" s="1613" t="s">
        <v>2235</v>
      </c>
      <c r="G65" s="1632" t="s">
        <v>2246</v>
      </c>
      <c r="H65" s="1614">
        <f>IFERROR(VLOOKUP(Financeiros[[#This Row],[Tipo]],RefTabTipo[],2,FALSE),0)</f>
        <v>22</v>
      </c>
      <c r="I65" s="1638">
        <f>IFERROR(VLOOKUP(Financeiros[[#This Row],[Tipo]],RefTabTipo[],3,FALSE),0)</f>
        <v>60</v>
      </c>
      <c r="J65" s="1615">
        <f>IFERROR(VLOOKUP(Financeiros[[#This Row],[Tipo]],RefTabTipo[],4,FALSE),0)</f>
        <v>241</v>
      </c>
      <c r="K65" s="1644">
        <f>IFERROR(VLOOKUP(Financeiros[[#This Row],[Grupo Tarifário]],RefTabGrupoTarifa[],2,FALSE),0)</f>
        <v>3</v>
      </c>
      <c r="L65" s="1614">
        <f>IFERROR(VLOOKUP(Financeiros[[#This Row],[Grupo Tarifário]],RefTabGrupoTarifa[],3,FALSE),0)</f>
        <v>17</v>
      </c>
      <c r="M65" s="1644">
        <f>IFERROR(VLOOKUP(Financeiros[[#This Row],[Grupo Tarifário]],RefTabGrupoTarifa[],4,FALSE),0)</f>
        <v>9</v>
      </c>
    </row>
    <row r="66" spans="3:13" ht="16.5">
      <c r="C66" s="1669" t="s">
        <v>2093</v>
      </c>
      <c r="D66" s="1670">
        <f ca="1">IFERROR('Financeiros Mitigação'!$D$5*H2,0)</f>
        <v>0</v>
      </c>
      <c r="E66" s="1626">
        <f t="shared" ca="1" si="10"/>
        <v>0</v>
      </c>
      <c r="F66" s="1610" t="s">
        <v>2237</v>
      </c>
      <c r="G66" s="1633" t="s">
        <v>2259</v>
      </c>
      <c r="H66" s="1611">
        <f>IFERROR(VLOOKUP(Financeiros[[#This Row],[Tipo]],RefTabTipo[],2,FALSE),0)</f>
        <v>22</v>
      </c>
      <c r="I66" s="1639">
        <f>IFERROR(VLOOKUP(Financeiros[[#This Row],[Tipo]],RefTabTipo[],3,FALSE),0)</f>
        <v>60</v>
      </c>
      <c r="J66" s="1612">
        <f>IFERROR(VLOOKUP(Financeiros[[#This Row],[Tipo]],RefTabTipo[],4,FALSE),0)</f>
        <v>240</v>
      </c>
      <c r="K66" s="1645">
        <f>IFERROR(VLOOKUP(Financeiros[[#This Row],[Grupo Tarifário]],RefTabGrupoTarifa[],2,FALSE),0)</f>
        <v>2</v>
      </c>
      <c r="L66" s="1611">
        <f>IFERROR(VLOOKUP(Financeiros[[#This Row],[Grupo Tarifário]],RefTabGrupoTarifa[],3,FALSE),0)</f>
        <v>11</v>
      </c>
      <c r="M66" s="1645">
        <f>IFERROR(VLOOKUP(Financeiros[[#This Row],[Grupo Tarifário]],RefTabGrupoTarifa[],4,FALSE),0)</f>
        <v>9</v>
      </c>
    </row>
    <row r="67" spans="3:13" ht="16.5">
      <c r="C67" s="1669" t="s">
        <v>2094</v>
      </c>
      <c r="D67" s="1670">
        <f ca="1">IFERROR('Financeiros Mitigação'!$D$5*H3,0)</f>
        <v>0</v>
      </c>
      <c r="E67" s="1626">
        <f t="shared" ca="1" si="10"/>
        <v>0</v>
      </c>
      <c r="F67" s="1610" t="s">
        <v>2237</v>
      </c>
      <c r="G67" s="1633" t="s">
        <v>2261</v>
      </c>
      <c r="H67" s="1611">
        <f>IFERROR(VLOOKUP(Financeiros[[#This Row],[Tipo]],RefTabTipo[],2,FALSE),0)</f>
        <v>22</v>
      </c>
      <c r="I67" s="1639">
        <f>IFERROR(VLOOKUP(Financeiros[[#This Row],[Tipo]],RefTabTipo[],3,FALSE),0)</f>
        <v>60</v>
      </c>
      <c r="J67" s="1612">
        <f>IFERROR(VLOOKUP(Financeiros[[#This Row],[Tipo]],RefTabTipo[],4,FALSE),0)</f>
        <v>240</v>
      </c>
      <c r="K67" s="1645">
        <f>IFERROR(VLOOKUP(Financeiros[[#This Row],[Grupo Tarifário]],RefTabGrupoTarifa[],2,FALSE),0)</f>
        <v>2</v>
      </c>
      <c r="L67" s="1611">
        <f>IFERROR(VLOOKUP(Financeiros[[#This Row],[Grupo Tarifário]],RefTabGrupoTarifa[],3,FALSE),0)</f>
        <v>9</v>
      </c>
      <c r="M67" s="1645">
        <f>IFERROR(VLOOKUP(Financeiros[[#This Row],[Grupo Tarifário]],RefTabGrupoTarifa[],4,FALSE),0)</f>
        <v>9</v>
      </c>
    </row>
    <row r="68" spans="3:13" ht="16.5">
      <c r="C68" s="1669" t="s">
        <v>2095</v>
      </c>
      <c r="D68" s="1670">
        <f ca="1">IFERROR('Financeiros Mitigação'!$D$5*H4,0)</f>
        <v>0</v>
      </c>
      <c r="E68" s="1626">
        <f t="shared" ca="1" si="10"/>
        <v>0</v>
      </c>
      <c r="F68" s="1610" t="s">
        <v>2237</v>
      </c>
      <c r="G68" s="1633" t="s">
        <v>2264</v>
      </c>
      <c r="H68" s="1611">
        <f>IFERROR(VLOOKUP(Financeiros[[#This Row],[Tipo]],RefTabTipo[],2,FALSE),0)</f>
        <v>22</v>
      </c>
      <c r="I68" s="1639">
        <f>IFERROR(VLOOKUP(Financeiros[[#This Row],[Tipo]],RefTabTipo[],3,FALSE),0)</f>
        <v>60</v>
      </c>
      <c r="J68" s="1612">
        <f>IFERROR(VLOOKUP(Financeiros[[#This Row],[Tipo]],RefTabTipo[],4,FALSE),0)</f>
        <v>240</v>
      </c>
      <c r="K68" s="1645">
        <f>IFERROR(VLOOKUP(Financeiros[[#This Row],[Grupo Tarifário]],RefTabGrupoTarifa[],2,FALSE),0)</f>
        <v>2</v>
      </c>
      <c r="L68" s="1611">
        <f>IFERROR(VLOOKUP(Financeiros[[#This Row],[Grupo Tarifário]],RefTabGrupoTarifa[],3,FALSE),0)</f>
        <v>8</v>
      </c>
      <c r="M68" s="1645">
        <f>IFERROR(VLOOKUP(Financeiros[[#This Row],[Grupo Tarifário]],RefTabGrupoTarifa[],4,FALSE),0)</f>
        <v>9</v>
      </c>
    </row>
    <row r="69" spans="3:13" ht="16.5">
      <c r="C69" s="1669" t="s">
        <v>2096</v>
      </c>
      <c r="D69" s="1670">
        <f ca="1">IFERROR('Financeiros Mitigação'!$D$5*H5,0)</f>
        <v>0</v>
      </c>
      <c r="E69" s="1626">
        <f t="shared" ca="1" si="10"/>
        <v>0</v>
      </c>
      <c r="F69" s="1610" t="s">
        <v>2237</v>
      </c>
      <c r="G69" s="1633" t="s">
        <v>2262</v>
      </c>
      <c r="H69" s="1611">
        <f>IFERROR(VLOOKUP(Financeiros[[#This Row],[Tipo]],RefTabTipo[],2,FALSE),0)</f>
        <v>22</v>
      </c>
      <c r="I69" s="1639">
        <f>IFERROR(VLOOKUP(Financeiros[[#This Row],[Tipo]],RefTabTipo[],3,FALSE),0)</f>
        <v>60</v>
      </c>
      <c r="J69" s="1612">
        <f>IFERROR(VLOOKUP(Financeiros[[#This Row],[Tipo]],RefTabTipo[],4,FALSE),0)</f>
        <v>240</v>
      </c>
      <c r="K69" s="1645">
        <f>IFERROR(VLOOKUP(Financeiros[[#This Row],[Grupo Tarifário]],RefTabGrupoTarifa[],2,FALSE),0)</f>
        <v>2</v>
      </c>
      <c r="L69" s="1611">
        <f>IFERROR(VLOOKUP(Financeiros[[#This Row],[Grupo Tarifário]],RefTabGrupoTarifa[],3,FALSE),0)</f>
        <v>10</v>
      </c>
      <c r="M69" s="1645">
        <f>IFERROR(VLOOKUP(Financeiros[[#This Row],[Grupo Tarifário]],RefTabGrupoTarifa[],4,FALSE),0)</f>
        <v>9</v>
      </c>
    </row>
    <row r="70" spans="3:13" ht="16.5">
      <c r="C70" s="1669" t="s">
        <v>2097</v>
      </c>
      <c r="D70" s="1670">
        <f ca="1">IFERROR('Financeiros Mitigação'!$D$5*H6,0)</f>
        <v>0</v>
      </c>
      <c r="E70" s="1626">
        <f t="shared" ca="1" si="10"/>
        <v>0</v>
      </c>
      <c r="F70" s="1610" t="s">
        <v>2237</v>
      </c>
      <c r="G70" s="1633" t="s">
        <v>2263</v>
      </c>
      <c r="H70" s="1611">
        <f>IFERROR(VLOOKUP(Financeiros[[#This Row],[Tipo]],RefTabTipo[],2,FALSE),0)</f>
        <v>22</v>
      </c>
      <c r="I70" s="1639">
        <f>IFERROR(VLOOKUP(Financeiros[[#This Row],[Tipo]],RefTabTipo[],3,FALSE),0)</f>
        <v>60</v>
      </c>
      <c r="J70" s="1612">
        <f>IFERROR(VLOOKUP(Financeiros[[#This Row],[Tipo]],RefTabTipo[],4,FALSE),0)</f>
        <v>240</v>
      </c>
      <c r="K70" s="1645">
        <f>IFERROR(VLOOKUP(Financeiros[[#This Row],[Grupo Tarifário]],RefTabGrupoTarifa[],2,FALSE),0)</f>
        <v>2</v>
      </c>
      <c r="L70" s="1611">
        <f>IFERROR(VLOOKUP(Financeiros[[#This Row],[Grupo Tarifário]],RefTabGrupoTarifa[],3,FALSE),0)</f>
        <v>24</v>
      </c>
      <c r="M70" s="1645">
        <f>IFERROR(VLOOKUP(Financeiros[[#This Row],[Grupo Tarifário]],RefTabGrupoTarifa[],4,FALSE),0)</f>
        <v>9</v>
      </c>
    </row>
    <row r="71" spans="3:13" ht="16.5">
      <c r="C71" s="1669" t="s">
        <v>2098</v>
      </c>
      <c r="D71" s="1670">
        <f>IFERROR('Financeiros Mitigação'!D6,0)</f>
        <v>0</v>
      </c>
      <c r="E71" s="1626">
        <f t="shared" ca="1" si="10"/>
        <v>0</v>
      </c>
      <c r="F71" s="1610" t="s">
        <v>2237</v>
      </c>
      <c r="G71" s="1633" t="s">
        <v>2246</v>
      </c>
      <c r="H71" s="1611">
        <f>IFERROR(VLOOKUP(Financeiros[[#This Row],[Tipo]],RefTabTipo[],2,FALSE),0)</f>
        <v>22</v>
      </c>
      <c r="I71" s="1639">
        <f>IFERROR(VLOOKUP(Financeiros[[#This Row],[Tipo]],RefTabTipo[],3,FALSE),0)</f>
        <v>60</v>
      </c>
      <c r="J71" s="1612">
        <f>IFERROR(VLOOKUP(Financeiros[[#This Row],[Tipo]],RefTabTipo[],4,FALSE),0)</f>
        <v>240</v>
      </c>
      <c r="K71" s="1645">
        <f>IFERROR(VLOOKUP(Financeiros[[#This Row],[Grupo Tarifário]],RefTabGrupoTarifa[],2,FALSE),0)</f>
        <v>3</v>
      </c>
      <c r="L71" s="1611">
        <f>IFERROR(VLOOKUP(Financeiros[[#This Row],[Grupo Tarifário]],RefTabGrupoTarifa[],3,FALSE),0)</f>
        <v>17</v>
      </c>
      <c r="M71" s="1645">
        <f>IFERROR(VLOOKUP(Financeiros[[#This Row],[Grupo Tarifário]],RefTabGrupoTarifa[],4,FALSE),0)</f>
        <v>9</v>
      </c>
    </row>
    <row r="72" spans="3:13" ht="16.5">
      <c r="C72" s="1669" t="s">
        <v>2099</v>
      </c>
      <c r="D72" s="1670">
        <f ca="1">IFERROR('Financeiros Mitigação'!$D$7*H2,0)</f>
        <v>0</v>
      </c>
      <c r="E72" s="1626">
        <f t="shared" ca="1" si="10"/>
        <v>0</v>
      </c>
      <c r="F72" s="1610" t="s">
        <v>2237</v>
      </c>
      <c r="G72" s="1633" t="s">
        <v>2259</v>
      </c>
      <c r="H72" s="1611">
        <f>IFERROR(VLOOKUP(Financeiros[[#This Row],[Tipo]],RefTabTipo[],2,FALSE),0)</f>
        <v>22</v>
      </c>
      <c r="I72" s="1639">
        <f>IFERROR(VLOOKUP(Financeiros[[#This Row],[Tipo]],RefTabTipo[],3,FALSE),0)</f>
        <v>60</v>
      </c>
      <c r="J72" s="1612">
        <f>IFERROR(VLOOKUP(Financeiros[[#This Row],[Tipo]],RefTabTipo[],4,FALSE),0)</f>
        <v>240</v>
      </c>
      <c r="K72" s="1645">
        <f>IFERROR(VLOOKUP(Financeiros[[#This Row],[Grupo Tarifário]],RefTabGrupoTarifa[],2,FALSE),0)</f>
        <v>2</v>
      </c>
      <c r="L72" s="1611">
        <f>IFERROR(VLOOKUP(Financeiros[[#This Row],[Grupo Tarifário]],RefTabGrupoTarifa[],3,FALSE),0)</f>
        <v>11</v>
      </c>
      <c r="M72" s="1645">
        <f>IFERROR(VLOOKUP(Financeiros[[#This Row],[Grupo Tarifário]],RefTabGrupoTarifa[],4,FALSE),0)</f>
        <v>9</v>
      </c>
    </row>
    <row r="73" spans="3:13" ht="16.5">
      <c r="C73" s="1669" t="s">
        <v>2100</v>
      </c>
      <c r="D73" s="1670">
        <f ca="1">IFERROR('Financeiros Mitigação'!$D$7*H3,0)</f>
        <v>0</v>
      </c>
      <c r="E73" s="1626">
        <f t="shared" ca="1" si="10"/>
        <v>0</v>
      </c>
      <c r="F73" s="1610" t="s">
        <v>2237</v>
      </c>
      <c r="G73" s="1633" t="s">
        <v>2261</v>
      </c>
      <c r="H73" s="1611">
        <f>IFERROR(VLOOKUP(Financeiros[[#This Row],[Tipo]],RefTabTipo[],2,FALSE),0)</f>
        <v>22</v>
      </c>
      <c r="I73" s="1639">
        <f>IFERROR(VLOOKUP(Financeiros[[#This Row],[Tipo]],RefTabTipo[],3,FALSE),0)</f>
        <v>60</v>
      </c>
      <c r="J73" s="1612">
        <f>IFERROR(VLOOKUP(Financeiros[[#This Row],[Tipo]],RefTabTipo[],4,FALSE),0)</f>
        <v>240</v>
      </c>
      <c r="K73" s="1645">
        <f>IFERROR(VLOOKUP(Financeiros[[#This Row],[Grupo Tarifário]],RefTabGrupoTarifa[],2,FALSE),0)</f>
        <v>2</v>
      </c>
      <c r="L73" s="1611">
        <f>IFERROR(VLOOKUP(Financeiros[[#This Row],[Grupo Tarifário]],RefTabGrupoTarifa[],3,FALSE),0)</f>
        <v>9</v>
      </c>
      <c r="M73" s="1645">
        <f>IFERROR(VLOOKUP(Financeiros[[#This Row],[Grupo Tarifário]],RefTabGrupoTarifa[],4,FALSE),0)</f>
        <v>9</v>
      </c>
    </row>
    <row r="74" spans="3:13" ht="16.5">
      <c r="C74" s="1669" t="s">
        <v>2101</v>
      </c>
      <c r="D74" s="1670">
        <f ca="1">IFERROR('Financeiros Mitigação'!$D$7*H4,0)</f>
        <v>0</v>
      </c>
      <c r="E74" s="1626">
        <f t="shared" ca="1" si="10"/>
        <v>0</v>
      </c>
      <c r="F74" s="1610" t="s">
        <v>2237</v>
      </c>
      <c r="G74" s="1633" t="s">
        <v>2264</v>
      </c>
      <c r="H74" s="1611">
        <f>IFERROR(VLOOKUP(Financeiros[[#This Row],[Tipo]],RefTabTipo[],2,FALSE),0)</f>
        <v>22</v>
      </c>
      <c r="I74" s="1639">
        <f>IFERROR(VLOOKUP(Financeiros[[#This Row],[Tipo]],RefTabTipo[],3,FALSE),0)</f>
        <v>60</v>
      </c>
      <c r="J74" s="1612">
        <f>IFERROR(VLOOKUP(Financeiros[[#This Row],[Tipo]],RefTabTipo[],4,FALSE),0)</f>
        <v>240</v>
      </c>
      <c r="K74" s="1645">
        <f>IFERROR(VLOOKUP(Financeiros[[#This Row],[Grupo Tarifário]],RefTabGrupoTarifa[],2,FALSE),0)</f>
        <v>2</v>
      </c>
      <c r="L74" s="1611">
        <f>IFERROR(VLOOKUP(Financeiros[[#This Row],[Grupo Tarifário]],RefTabGrupoTarifa[],3,FALSE),0)</f>
        <v>8</v>
      </c>
      <c r="M74" s="1645">
        <f>IFERROR(VLOOKUP(Financeiros[[#This Row],[Grupo Tarifário]],RefTabGrupoTarifa[],4,FALSE),0)</f>
        <v>9</v>
      </c>
    </row>
    <row r="75" spans="3:13" ht="16.5">
      <c r="C75" s="1669" t="s">
        <v>2102</v>
      </c>
      <c r="D75" s="1670">
        <f ca="1">IFERROR('Financeiros Mitigação'!$D$7*H5,0)</f>
        <v>0</v>
      </c>
      <c r="E75" s="1626">
        <f t="shared" ca="1" si="10"/>
        <v>0</v>
      </c>
      <c r="F75" s="1610" t="s">
        <v>2237</v>
      </c>
      <c r="G75" s="1633" t="s">
        <v>2262</v>
      </c>
      <c r="H75" s="1611">
        <f>IFERROR(VLOOKUP(Financeiros[[#This Row],[Tipo]],RefTabTipo[],2,FALSE),0)</f>
        <v>22</v>
      </c>
      <c r="I75" s="1639">
        <f>IFERROR(VLOOKUP(Financeiros[[#This Row],[Tipo]],RefTabTipo[],3,FALSE),0)</f>
        <v>60</v>
      </c>
      <c r="J75" s="1612">
        <f>IFERROR(VLOOKUP(Financeiros[[#This Row],[Tipo]],RefTabTipo[],4,FALSE),0)</f>
        <v>240</v>
      </c>
      <c r="K75" s="1645">
        <f>IFERROR(VLOOKUP(Financeiros[[#This Row],[Grupo Tarifário]],RefTabGrupoTarifa[],2,FALSE),0)</f>
        <v>2</v>
      </c>
      <c r="L75" s="1611">
        <f>IFERROR(VLOOKUP(Financeiros[[#This Row],[Grupo Tarifário]],RefTabGrupoTarifa[],3,FALSE),0)</f>
        <v>10</v>
      </c>
      <c r="M75" s="1645">
        <f>IFERROR(VLOOKUP(Financeiros[[#This Row],[Grupo Tarifário]],RefTabGrupoTarifa[],4,FALSE),0)</f>
        <v>9</v>
      </c>
    </row>
    <row r="76" spans="3:13" ht="16.5">
      <c r="C76" s="1669" t="s">
        <v>2103</v>
      </c>
      <c r="D76" s="1670">
        <f ca="1">IFERROR('Financeiros Mitigação'!$D$7*H6,0)</f>
        <v>0</v>
      </c>
      <c r="E76" s="1626">
        <f t="shared" ca="1" si="10"/>
        <v>0</v>
      </c>
      <c r="F76" s="1633" t="s">
        <v>2237</v>
      </c>
      <c r="G76" s="1633" t="s">
        <v>2263</v>
      </c>
      <c r="H76" s="1645">
        <f>IFERROR(VLOOKUP(Financeiros[[#This Row],[Tipo]],RefTabTipo[],2,FALSE),0)</f>
        <v>22</v>
      </c>
      <c r="I76" s="1639">
        <f>IFERROR(VLOOKUP(Financeiros[[#This Row],[Tipo]],RefTabTipo[],3,FALSE),0)</f>
        <v>60</v>
      </c>
      <c r="J76" s="1639">
        <f>IFERROR(VLOOKUP(Financeiros[[#This Row],[Tipo]],RefTabTipo[],4,FALSE),0)</f>
        <v>240</v>
      </c>
      <c r="K76" s="1645">
        <f>IFERROR(VLOOKUP(Financeiros[[#This Row],[Grupo Tarifário]],RefTabGrupoTarifa[],2,FALSE),0)</f>
        <v>2</v>
      </c>
      <c r="L76" s="1645">
        <f>IFERROR(VLOOKUP(Financeiros[[#This Row],[Grupo Tarifário]],RefTabGrupoTarifa[],3,FALSE),0)</f>
        <v>24</v>
      </c>
      <c r="M76" s="1645">
        <f>IFERROR(VLOOKUP(Financeiros[[#This Row],[Grupo Tarifário]],RefTabGrupoTarifa[],4,FALSE),0)</f>
        <v>9</v>
      </c>
    </row>
    <row r="77" spans="3:13" ht="16.5">
      <c r="C77" s="1671" t="s">
        <v>2314</v>
      </c>
      <c r="D77" s="1671">
        <f ca="1">IFERROR(CVE!$I$9*H2,0)</f>
        <v>0</v>
      </c>
      <c r="E77" s="1627"/>
      <c r="F77" s="1634" t="s">
        <v>2242</v>
      </c>
      <c r="G77" s="1634" t="s">
        <v>2259</v>
      </c>
      <c r="H77" s="1646">
        <f>IFERROR(VLOOKUP(Financeiros[[#This Row],[Tipo]],RefTabTipo[],2,FALSE),0)</f>
        <v>22</v>
      </c>
      <c r="I77" s="1640">
        <f>IFERROR(VLOOKUP(Financeiros[[#This Row],[Tipo]],RefTabTipo[],3,FALSE),0)</f>
        <v>60</v>
      </c>
      <c r="J77" s="1640">
        <f>IFERROR(VLOOKUP(Financeiros[[#This Row],[Tipo]],RefTabTipo[],4,FALSE),0)</f>
        <v>106</v>
      </c>
      <c r="K77" s="1646">
        <f>IFERROR(VLOOKUP(Financeiros[[#This Row],[Grupo Tarifário]],RefTabGrupoTarifa[],2,FALSE),0)</f>
        <v>2</v>
      </c>
      <c r="L77" s="1646">
        <f>IFERROR(VLOOKUP(Financeiros[[#This Row],[Grupo Tarifário]],RefTabGrupoTarifa[],3,FALSE),0)</f>
        <v>11</v>
      </c>
      <c r="M77" s="1646">
        <f>IFERROR(VLOOKUP(Financeiros[[#This Row],[Grupo Tarifário]],RefTabGrupoTarifa[],4,FALSE),0)</f>
        <v>9</v>
      </c>
    </row>
    <row r="78" spans="3:13" ht="16.5">
      <c r="C78" s="1671" t="s">
        <v>2315</v>
      </c>
      <c r="D78" s="1671">
        <f ca="1">IFERROR(CVE!$I$9*H3,0)</f>
        <v>0</v>
      </c>
      <c r="E78" s="1627"/>
      <c r="F78" s="1634" t="s">
        <v>2242</v>
      </c>
      <c r="G78" s="1634" t="s">
        <v>2261</v>
      </c>
      <c r="H78" s="1646">
        <f>IFERROR(VLOOKUP(Financeiros[[#This Row],[Tipo]],RefTabTipo[],2,FALSE),0)</f>
        <v>22</v>
      </c>
      <c r="I78" s="1640">
        <f>IFERROR(VLOOKUP(Financeiros[[#This Row],[Tipo]],RefTabTipo[],3,FALSE),0)</f>
        <v>60</v>
      </c>
      <c r="J78" s="1640">
        <f>IFERROR(VLOOKUP(Financeiros[[#This Row],[Tipo]],RefTabTipo[],4,FALSE),0)</f>
        <v>106</v>
      </c>
      <c r="K78" s="1646">
        <f>IFERROR(VLOOKUP(Financeiros[[#This Row],[Grupo Tarifário]],RefTabGrupoTarifa[],2,FALSE),0)</f>
        <v>2</v>
      </c>
      <c r="L78" s="1646">
        <f>IFERROR(VLOOKUP(Financeiros[[#This Row],[Grupo Tarifário]],RefTabGrupoTarifa[],3,FALSE),0)</f>
        <v>9</v>
      </c>
      <c r="M78" s="1646">
        <f>IFERROR(VLOOKUP(Financeiros[[#This Row],[Grupo Tarifário]],RefTabGrupoTarifa[],4,FALSE),0)</f>
        <v>9</v>
      </c>
    </row>
    <row r="79" spans="3:13" ht="16.5">
      <c r="C79" s="1671" t="s">
        <v>2316</v>
      </c>
      <c r="D79" s="1671">
        <f ca="1">IFERROR(CVE!$I$9*H4,0)</f>
        <v>0</v>
      </c>
      <c r="E79" s="1627"/>
      <c r="F79" s="1634" t="s">
        <v>2242</v>
      </c>
      <c r="G79" s="1634" t="s">
        <v>2264</v>
      </c>
      <c r="H79" s="1646">
        <f>IFERROR(VLOOKUP(Financeiros[[#This Row],[Tipo]],RefTabTipo[],2,FALSE),0)</f>
        <v>22</v>
      </c>
      <c r="I79" s="1640">
        <f>IFERROR(VLOOKUP(Financeiros[[#This Row],[Tipo]],RefTabTipo[],3,FALSE),0)</f>
        <v>60</v>
      </c>
      <c r="J79" s="1640">
        <f>IFERROR(VLOOKUP(Financeiros[[#This Row],[Tipo]],RefTabTipo[],4,FALSE),0)</f>
        <v>106</v>
      </c>
      <c r="K79" s="1646">
        <f>IFERROR(VLOOKUP(Financeiros[[#This Row],[Grupo Tarifário]],RefTabGrupoTarifa[],2,FALSE),0)</f>
        <v>2</v>
      </c>
      <c r="L79" s="1646">
        <f>IFERROR(VLOOKUP(Financeiros[[#This Row],[Grupo Tarifário]],RefTabGrupoTarifa[],3,FALSE),0)</f>
        <v>8</v>
      </c>
      <c r="M79" s="1646">
        <f>IFERROR(VLOOKUP(Financeiros[[#This Row],[Grupo Tarifário]],RefTabGrupoTarifa[],4,FALSE),0)</f>
        <v>9</v>
      </c>
    </row>
    <row r="80" spans="3:13" ht="16.5">
      <c r="C80" s="1671" t="s">
        <v>2317</v>
      </c>
      <c r="D80" s="1671">
        <f ca="1">IFERROR(CVE!$I$9*H5,0)</f>
        <v>0</v>
      </c>
      <c r="E80" s="1627"/>
      <c r="F80" s="1634" t="s">
        <v>2242</v>
      </c>
      <c r="G80" s="1634" t="s">
        <v>2262</v>
      </c>
      <c r="H80" s="1646">
        <f>IFERROR(VLOOKUP(Financeiros[[#This Row],[Tipo]],RefTabTipo[],2,FALSE),0)</f>
        <v>22</v>
      </c>
      <c r="I80" s="1640">
        <f>IFERROR(VLOOKUP(Financeiros[[#This Row],[Tipo]],RefTabTipo[],3,FALSE),0)</f>
        <v>60</v>
      </c>
      <c r="J80" s="1640">
        <f>IFERROR(VLOOKUP(Financeiros[[#This Row],[Tipo]],RefTabTipo[],4,FALSE),0)</f>
        <v>106</v>
      </c>
      <c r="K80" s="1646">
        <f>IFERROR(VLOOKUP(Financeiros[[#This Row],[Grupo Tarifário]],RefTabGrupoTarifa[],2,FALSE),0)</f>
        <v>2</v>
      </c>
      <c r="L80" s="1646">
        <f>IFERROR(VLOOKUP(Financeiros[[#This Row],[Grupo Tarifário]],RefTabGrupoTarifa[],3,FALSE),0)</f>
        <v>10</v>
      </c>
      <c r="M80" s="1646">
        <f>IFERROR(VLOOKUP(Financeiros[[#This Row],[Grupo Tarifário]],RefTabGrupoTarifa[],4,FALSE),0)</f>
        <v>9</v>
      </c>
    </row>
    <row r="81" spans="3:13" ht="16.5">
      <c r="C81" s="1671" t="s">
        <v>2318</v>
      </c>
      <c r="D81" s="1671">
        <f ca="1">IFERROR(CVE!$I$9*H6,0)</f>
        <v>0</v>
      </c>
      <c r="E81" s="1627"/>
      <c r="F81" s="1634" t="s">
        <v>2242</v>
      </c>
      <c r="G81" s="1634" t="s">
        <v>2263</v>
      </c>
      <c r="H81" s="1646">
        <f>IFERROR(VLOOKUP(Financeiros[[#This Row],[Tipo]],RefTabTipo[],2,FALSE),0)</f>
        <v>22</v>
      </c>
      <c r="I81" s="1640">
        <f>IFERROR(VLOOKUP(Financeiros[[#This Row],[Tipo]],RefTabTipo[],3,FALSE),0)</f>
        <v>60</v>
      </c>
      <c r="J81" s="1640">
        <f>IFERROR(VLOOKUP(Financeiros[[#This Row],[Tipo]],RefTabTipo[],4,FALSE),0)</f>
        <v>106</v>
      </c>
      <c r="K81" s="1646">
        <f>IFERROR(VLOOKUP(Financeiros[[#This Row],[Grupo Tarifário]],RefTabGrupoTarifa[],2,FALSE),0)</f>
        <v>2</v>
      </c>
      <c r="L81" s="1646">
        <f>IFERROR(VLOOKUP(Financeiros[[#This Row],[Grupo Tarifário]],RefTabGrupoTarifa[],3,FALSE),0)</f>
        <v>24</v>
      </c>
      <c r="M81" s="1646">
        <f>IFERROR(VLOOKUP(Financeiros[[#This Row],[Grupo Tarifário]],RefTabGrupoTarifa[],4,FALSE),0)</f>
        <v>9</v>
      </c>
    </row>
    <row r="82" spans="3:13" ht="16.5">
      <c r="C82" s="1672" t="s">
        <v>2295</v>
      </c>
      <c r="D82" s="1682">
        <f ca="1">IFERROR(CVE!$I$15*H2,0)</f>
        <v>0</v>
      </c>
      <c r="E82" s="1628">
        <f t="shared" ref="E82" ca="1" si="11">IF(ISERROR(D82/$D$5),0,D82/$D$5)</f>
        <v>0</v>
      </c>
      <c r="F82" s="1635" t="s">
        <v>1307</v>
      </c>
      <c r="G82" s="1635" t="s">
        <v>2259</v>
      </c>
      <c r="H82" s="1647">
        <f>IFERROR(VLOOKUP(Financeiros[[#This Row],[Tipo]],RefTabTipo[],2,FALSE),0)</f>
        <v>22</v>
      </c>
      <c r="I82" s="1641">
        <f>IFERROR(VLOOKUP(Financeiros[[#This Row],[Tipo]],RefTabTipo[],3,FALSE),0)</f>
        <v>62</v>
      </c>
      <c r="J82" s="1641">
        <f>IFERROR(VLOOKUP(Financeiros[[#This Row],[Tipo]],RefTabTipo[],4,FALSE),0)</f>
        <v>220</v>
      </c>
      <c r="K82" s="1647">
        <f>IFERROR(VLOOKUP(Financeiros[[#This Row],[Grupo Tarifário]],RefTabGrupoTarifa[],2,FALSE),0)</f>
        <v>2</v>
      </c>
      <c r="L82" s="1647">
        <f>IFERROR(VLOOKUP(Financeiros[[#This Row],[Grupo Tarifário]],RefTabGrupoTarifa[],3,FALSE),0)</f>
        <v>11</v>
      </c>
      <c r="M82" s="1647">
        <f>IFERROR(VLOOKUP(Financeiros[[#This Row],[Grupo Tarifário]],RefTabGrupoTarifa[],4,FALSE),0)</f>
        <v>9</v>
      </c>
    </row>
    <row r="83" spans="3:13" ht="16.5">
      <c r="C83" s="1672" t="s">
        <v>2296</v>
      </c>
      <c r="D83" s="1682">
        <f ca="1">IFERROR(CVE!$I$15*H3,0)</f>
        <v>0</v>
      </c>
      <c r="E83" s="1629">
        <f ca="1">IF(ISERROR(D83/#REF!),0,D83/#REF!)</f>
        <v>0</v>
      </c>
      <c r="F83" s="1635" t="s">
        <v>1307</v>
      </c>
      <c r="G83" s="1635" t="s">
        <v>2261</v>
      </c>
      <c r="H83" s="1648">
        <f>IFERROR(VLOOKUP(Financeiros[[#This Row],[Tipo]],RefTabTipo[],2,FALSE),0)</f>
        <v>22</v>
      </c>
      <c r="I83" s="1642">
        <f>IFERROR(VLOOKUP(Financeiros[[#This Row],[Tipo]],RefTabTipo[],3,FALSE),0)</f>
        <v>62</v>
      </c>
      <c r="J83" s="1642">
        <f>IFERROR(VLOOKUP(Financeiros[[#This Row],[Tipo]],RefTabTipo[],4,FALSE),0)</f>
        <v>220</v>
      </c>
      <c r="K83" s="1648">
        <f>IFERROR(VLOOKUP(Financeiros[[#This Row],[Grupo Tarifário]],RefTabGrupoTarifa[],2,FALSE),0)</f>
        <v>2</v>
      </c>
      <c r="L83" s="1648">
        <f>IFERROR(VLOOKUP(Financeiros[[#This Row],[Grupo Tarifário]],RefTabGrupoTarifa[],3,FALSE),0)</f>
        <v>9</v>
      </c>
      <c r="M83" s="1648">
        <f>IFERROR(VLOOKUP(Financeiros[[#This Row],[Grupo Tarifário]],RefTabGrupoTarifa[],4,FALSE),0)</f>
        <v>9</v>
      </c>
    </row>
    <row r="84" spans="3:13" ht="16.5">
      <c r="C84" s="1672" t="s">
        <v>2297</v>
      </c>
      <c r="D84" s="1682">
        <f ca="1">IFERROR(CVE!$I$15*H4,0)</f>
        <v>0</v>
      </c>
      <c r="E84" s="1629">
        <f ca="1">IF(ISERROR(D84/#REF!),0,D84/#REF!)</f>
        <v>0</v>
      </c>
      <c r="F84" s="1635" t="s">
        <v>1307</v>
      </c>
      <c r="G84" s="1635" t="s">
        <v>2264</v>
      </c>
      <c r="H84" s="1648">
        <f>IFERROR(VLOOKUP(Financeiros[[#This Row],[Tipo]],RefTabTipo[],2,FALSE),0)</f>
        <v>22</v>
      </c>
      <c r="I84" s="1642">
        <f>IFERROR(VLOOKUP(Financeiros[[#This Row],[Tipo]],RefTabTipo[],3,FALSE),0)</f>
        <v>62</v>
      </c>
      <c r="J84" s="1642">
        <f>IFERROR(VLOOKUP(Financeiros[[#This Row],[Tipo]],RefTabTipo[],4,FALSE),0)</f>
        <v>220</v>
      </c>
      <c r="K84" s="1648">
        <f>IFERROR(VLOOKUP(Financeiros[[#This Row],[Grupo Tarifário]],RefTabGrupoTarifa[],2,FALSE),0)</f>
        <v>2</v>
      </c>
      <c r="L84" s="1648">
        <f>IFERROR(VLOOKUP(Financeiros[[#This Row],[Grupo Tarifário]],RefTabGrupoTarifa[],3,FALSE),0)</f>
        <v>8</v>
      </c>
      <c r="M84" s="1648">
        <f>IFERROR(VLOOKUP(Financeiros[[#This Row],[Grupo Tarifário]],RefTabGrupoTarifa[],4,FALSE),0)</f>
        <v>9</v>
      </c>
    </row>
    <row r="85" spans="3:13" ht="16.5">
      <c r="C85" s="1672" t="s">
        <v>2298</v>
      </c>
      <c r="D85" s="1682">
        <f ca="1">IFERROR(CVE!$I$15*H5,0)</f>
        <v>0</v>
      </c>
      <c r="E85" s="1629">
        <f ca="1">IF(ISERROR(D85/#REF!),0,D85/#REF!)</f>
        <v>0</v>
      </c>
      <c r="F85" s="1635" t="s">
        <v>1307</v>
      </c>
      <c r="G85" s="1635" t="s">
        <v>2262</v>
      </c>
      <c r="H85" s="1648">
        <f>IFERROR(VLOOKUP(Financeiros[[#This Row],[Tipo]],RefTabTipo[],2,FALSE),0)</f>
        <v>22</v>
      </c>
      <c r="I85" s="1642">
        <f>IFERROR(VLOOKUP(Financeiros[[#This Row],[Tipo]],RefTabTipo[],3,FALSE),0)</f>
        <v>62</v>
      </c>
      <c r="J85" s="1642">
        <f>IFERROR(VLOOKUP(Financeiros[[#This Row],[Tipo]],RefTabTipo[],4,FALSE),0)</f>
        <v>220</v>
      </c>
      <c r="K85" s="1648">
        <f>IFERROR(VLOOKUP(Financeiros[[#This Row],[Grupo Tarifário]],RefTabGrupoTarifa[],2,FALSE),0)</f>
        <v>2</v>
      </c>
      <c r="L85" s="1648">
        <f>IFERROR(VLOOKUP(Financeiros[[#This Row],[Grupo Tarifário]],RefTabGrupoTarifa[],3,FALSE),0)</f>
        <v>10</v>
      </c>
      <c r="M85" s="1648">
        <f>IFERROR(VLOOKUP(Financeiros[[#This Row],[Grupo Tarifário]],RefTabGrupoTarifa[],4,FALSE),0)</f>
        <v>9</v>
      </c>
    </row>
    <row r="86" spans="3:13" ht="16.5">
      <c r="C86" s="1672" t="s">
        <v>2299</v>
      </c>
      <c r="D86" s="1682">
        <f ca="1">IFERROR(CVE!$I$15*H6,0)</f>
        <v>0</v>
      </c>
      <c r="E86" s="1629">
        <f ca="1">IF(ISERROR(D86/#REF!),0,D86/#REF!)</f>
        <v>0</v>
      </c>
      <c r="F86" s="1635" t="s">
        <v>1307</v>
      </c>
      <c r="G86" s="1635" t="s">
        <v>2263</v>
      </c>
      <c r="H86" s="1648">
        <f>IFERROR(VLOOKUP(Financeiros[[#This Row],[Tipo]],RefTabTipo[],2,FALSE),0)</f>
        <v>22</v>
      </c>
      <c r="I86" s="1642">
        <f>IFERROR(VLOOKUP(Financeiros[[#This Row],[Tipo]],RefTabTipo[],3,FALSE),0)</f>
        <v>62</v>
      </c>
      <c r="J86" s="1642">
        <f>IFERROR(VLOOKUP(Financeiros[[#This Row],[Tipo]],RefTabTipo[],4,FALSE),0)</f>
        <v>220</v>
      </c>
      <c r="K86" s="1648">
        <f>IFERROR(VLOOKUP(Financeiros[[#This Row],[Grupo Tarifário]],RefTabGrupoTarifa[],2,FALSE),0)</f>
        <v>2</v>
      </c>
      <c r="L86" s="1648">
        <f>IFERROR(VLOOKUP(Financeiros[[#This Row],[Grupo Tarifário]],RefTabGrupoTarifa[],3,FALSE),0)</f>
        <v>24</v>
      </c>
      <c r="M86" s="1648">
        <f>IFERROR(VLOOKUP(Financeiros[[#This Row],[Grupo Tarifário]],RefTabGrupoTarifa[],4,FALSE),0)</f>
        <v>9</v>
      </c>
    </row>
    <row r="87" spans="3:13" ht="16.5">
      <c r="C87" s="1683" t="s">
        <v>2300</v>
      </c>
      <c r="D87" s="1684">
        <f ca="1">IFERROR(Energia!$K$66*H2,0)</f>
        <v>0</v>
      </c>
      <c r="E87" s="1685">
        <f t="shared" ref="E87:E93" ca="1" si="12">IF(ISERROR(D87/$D$4),0,D87/$D$4)</f>
        <v>0</v>
      </c>
      <c r="F87" s="1635" t="s">
        <v>2280</v>
      </c>
      <c r="G87" s="1635" t="s">
        <v>2259</v>
      </c>
      <c r="H87" s="1648">
        <f>IFERROR(VLOOKUP(Financeiros[[#This Row],[Tipo]],RefTabTipo[],2,FALSE),0)</f>
        <v>22</v>
      </c>
      <c r="I87" s="1642">
        <f>IFERROR(VLOOKUP(Financeiros[[#This Row],[Tipo]],RefTabTipo[],3,FALSE),0)</f>
        <v>60</v>
      </c>
      <c r="J87" s="1642">
        <f>IFERROR(VLOOKUP(Financeiros[[#This Row],[Tipo]],RefTabTipo[],4,FALSE),0)</f>
        <v>220</v>
      </c>
      <c r="K87" s="1648">
        <f>IFERROR(VLOOKUP(Financeiros[[#This Row],[Grupo Tarifário]],RefTabGrupoTarifa[],2,FALSE),0)</f>
        <v>2</v>
      </c>
      <c r="L87" s="1648">
        <f>IFERROR(VLOOKUP(Financeiros[[#This Row],[Grupo Tarifário]],RefTabGrupoTarifa[],3,FALSE),0)</f>
        <v>11</v>
      </c>
      <c r="M87" s="1648">
        <f>IFERROR(VLOOKUP(Financeiros[[#This Row],[Grupo Tarifário]],RefTabGrupoTarifa[],4,FALSE),0)</f>
        <v>9</v>
      </c>
    </row>
    <row r="88" spans="3:13" ht="16.5">
      <c r="C88" s="1683" t="s">
        <v>2301</v>
      </c>
      <c r="D88" s="1684">
        <f ca="1">IFERROR(Energia!$K$66*H3,0)</f>
        <v>0</v>
      </c>
      <c r="E88" s="1685">
        <f t="shared" ca="1" si="12"/>
        <v>0</v>
      </c>
      <c r="F88" s="1635" t="s">
        <v>2280</v>
      </c>
      <c r="G88" s="1635" t="s">
        <v>2261</v>
      </c>
      <c r="H88" s="1648">
        <f>IFERROR(VLOOKUP(Financeiros[[#This Row],[Tipo]],RefTabTipo[],2,FALSE),0)</f>
        <v>22</v>
      </c>
      <c r="I88" s="1642">
        <f>IFERROR(VLOOKUP(Financeiros[[#This Row],[Tipo]],RefTabTipo[],3,FALSE),0)</f>
        <v>60</v>
      </c>
      <c r="J88" s="1642">
        <f>IFERROR(VLOOKUP(Financeiros[[#This Row],[Tipo]],RefTabTipo[],4,FALSE),0)</f>
        <v>220</v>
      </c>
      <c r="K88" s="1648">
        <f>IFERROR(VLOOKUP(Financeiros[[#This Row],[Grupo Tarifário]],RefTabGrupoTarifa[],2,FALSE),0)</f>
        <v>2</v>
      </c>
      <c r="L88" s="1648">
        <f>IFERROR(VLOOKUP(Financeiros[[#This Row],[Grupo Tarifário]],RefTabGrupoTarifa[],3,FALSE),0)</f>
        <v>9</v>
      </c>
      <c r="M88" s="1648">
        <f>IFERROR(VLOOKUP(Financeiros[[#This Row],[Grupo Tarifário]],RefTabGrupoTarifa[],4,FALSE),0)</f>
        <v>9</v>
      </c>
    </row>
    <row r="89" spans="3:13" ht="16.5">
      <c r="C89" s="1683" t="s">
        <v>2302</v>
      </c>
      <c r="D89" s="1684">
        <f ca="1">IFERROR(Energia!$K$66*H4,0)</f>
        <v>0</v>
      </c>
      <c r="E89" s="1685">
        <f t="shared" ca="1" si="12"/>
        <v>0</v>
      </c>
      <c r="F89" s="1635" t="s">
        <v>2280</v>
      </c>
      <c r="G89" s="1635" t="s">
        <v>2264</v>
      </c>
      <c r="H89" s="1648">
        <f>IFERROR(VLOOKUP(Financeiros[[#This Row],[Tipo]],RefTabTipo[],2,FALSE),0)</f>
        <v>22</v>
      </c>
      <c r="I89" s="1642">
        <f>IFERROR(VLOOKUP(Financeiros[[#This Row],[Tipo]],RefTabTipo[],3,FALSE),0)</f>
        <v>60</v>
      </c>
      <c r="J89" s="1642">
        <f>IFERROR(VLOOKUP(Financeiros[[#This Row],[Tipo]],RefTabTipo[],4,FALSE),0)</f>
        <v>220</v>
      </c>
      <c r="K89" s="1648">
        <f>IFERROR(VLOOKUP(Financeiros[[#This Row],[Grupo Tarifário]],RefTabGrupoTarifa[],2,FALSE),0)</f>
        <v>2</v>
      </c>
      <c r="L89" s="1648">
        <f>IFERROR(VLOOKUP(Financeiros[[#This Row],[Grupo Tarifário]],RefTabGrupoTarifa[],3,FALSE),0)</f>
        <v>8</v>
      </c>
      <c r="M89" s="1648">
        <f>IFERROR(VLOOKUP(Financeiros[[#This Row],[Grupo Tarifário]],RefTabGrupoTarifa[],4,FALSE),0)</f>
        <v>9</v>
      </c>
    </row>
    <row r="90" spans="3:13" ht="16.5">
      <c r="C90" s="1683" t="s">
        <v>2303</v>
      </c>
      <c r="D90" s="1684">
        <f ca="1">IFERROR(Energia!$K$66*H5,0)</f>
        <v>0</v>
      </c>
      <c r="E90" s="1685">
        <f t="shared" ca="1" si="12"/>
        <v>0</v>
      </c>
      <c r="F90" s="1635" t="s">
        <v>2280</v>
      </c>
      <c r="G90" s="1635" t="s">
        <v>2262</v>
      </c>
      <c r="H90" s="1648">
        <f>IFERROR(VLOOKUP(Financeiros[[#This Row],[Tipo]],RefTabTipo[],2,FALSE),0)</f>
        <v>22</v>
      </c>
      <c r="I90" s="1642">
        <f>IFERROR(VLOOKUP(Financeiros[[#This Row],[Tipo]],RefTabTipo[],3,FALSE),0)</f>
        <v>60</v>
      </c>
      <c r="J90" s="1642">
        <f>IFERROR(VLOOKUP(Financeiros[[#This Row],[Tipo]],RefTabTipo[],4,FALSE),0)</f>
        <v>220</v>
      </c>
      <c r="K90" s="1648">
        <f>IFERROR(VLOOKUP(Financeiros[[#This Row],[Grupo Tarifário]],RefTabGrupoTarifa[],2,FALSE),0)</f>
        <v>2</v>
      </c>
      <c r="L90" s="1648">
        <f>IFERROR(VLOOKUP(Financeiros[[#This Row],[Grupo Tarifário]],RefTabGrupoTarifa[],3,FALSE),0)</f>
        <v>10</v>
      </c>
      <c r="M90" s="1648">
        <f>IFERROR(VLOOKUP(Financeiros[[#This Row],[Grupo Tarifário]],RefTabGrupoTarifa[],4,FALSE),0)</f>
        <v>9</v>
      </c>
    </row>
    <row r="91" spans="3:13" ht="16.5">
      <c r="C91" s="1683" t="s">
        <v>2304</v>
      </c>
      <c r="D91" s="1684">
        <f ca="1">IFERROR(Energia!$K$66*H6,0)</f>
        <v>0</v>
      </c>
      <c r="E91" s="1685">
        <f t="shared" ca="1" si="12"/>
        <v>0</v>
      </c>
      <c r="F91" s="1635" t="s">
        <v>2280</v>
      </c>
      <c r="G91" s="1635" t="s">
        <v>2263</v>
      </c>
      <c r="H91" s="1648">
        <f>IFERROR(VLOOKUP(Financeiros[[#This Row],[Tipo]],RefTabTipo[],2,FALSE),0)</f>
        <v>22</v>
      </c>
      <c r="I91" s="1642">
        <f>IFERROR(VLOOKUP(Financeiros[[#This Row],[Tipo]],RefTabTipo[],3,FALSE),0)</f>
        <v>60</v>
      </c>
      <c r="J91" s="1642">
        <f>IFERROR(VLOOKUP(Financeiros[[#This Row],[Tipo]],RefTabTipo[],4,FALSE),0)</f>
        <v>220</v>
      </c>
      <c r="K91" s="1648">
        <f>IFERROR(VLOOKUP(Financeiros[[#This Row],[Grupo Tarifário]],RefTabGrupoTarifa[],2,FALSE),0)</f>
        <v>2</v>
      </c>
      <c r="L91" s="1648">
        <f>IFERROR(VLOOKUP(Financeiros[[#This Row],[Grupo Tarifário]],RefTabGrupoTarifa[],3,FALSE),0)</f>
        <v>24</v>
      </c>
      <c r="M91" s="1648">
        <f>IFERROR(VLOOKUP(Financeiros[[#This Row],[Grupo Tarifário]],RefTabGrupoTarifa[],4,FALSE),0)</f>
        <v>9</v>
      </c>
    </row>
    <row r="92" spans="3:13" ht="16.5">
      <c r="C92" s="1622"/>
      <c r="D92" s="1660"/>
      <c r="E92" s="1624">
        <f t="shared" ca="1" si="12"/>
        <v>0</v>
      </c>
      <c r="F92" s="1674"/>
      <c r="G92" s="1674"/>
      <c r="H92" s="1676">
        <f>IFERROR(VLOOKUP(Financeiros[[#This Row],[Tipo]],RefTabTipo[],2,FALSE),0)</f>
        <v>0</v>
      </c>
      <c r="I92" s="1637">
        <f>IFERROR(VLOOKUP(Financeiros[[#This Row],[Tipo]],RefTabTipo[],3,FALSE),0)</f>
        <v>0</v>
      </c>
      <c r="J92" s="1637">
        <f>IFERROR(VLOOKUP(Financeiros[[#This Row],[Tipo]],RefTabTipo[],4,FALSE),0)</f>
        <v>0</v>
      </c>
      <c r="K92" s="1676">
        <f>IFERROR(VLOOKUP(Financeiros[[#This Row],[Grupo Tarifário]],RefTabGrupoTarifa[],2,FALSE),0)</f>
        <v>0</v>
      </c>
      <c r="L92" s="1676">
        <f>IFERROR(VLOOKUP(Financeiros[[#This Row],[Grupo Tarifário]],RefTabGrupoTarifa[],3,FALSE),0)</f>
        <v>0</v>
      </c>
      <c r="M92" s="1676">
        <f>IFERROR(VLOOKUP(Financeiros[[#This Row],[Grupo Tarifário]],RefTabGrupoTarifa[],4,FALSE),0)</f>
        <v>0</v>
      </c>
    </row>
    <row r="93" spans="3:13" ht="16.5">
      <c r="C93" s="1622"/>
      <c r="D93" s="1660"/>
      <c r="E93" s="1624">
        <f t="shared" ca="1" si="12"/>
        <v>0</v>
      </c>
      <c r="F93" s="1674"/>
      <c r="G93" s="1674"/>
      <c r="H93" s="1676">
        <f>IFERROR(VLOOKUP(Financeiros[[#This Row],[Tipo]],RefTabTipo[],2,FALSE),0)</f>
        <v>0</v>
      </c>
      <c r="I93" s="1637">
        <f>IFERROR(VLOOKUP(Financeiros[[#This Row],[Tipo]],RefTabTipo[],3,FALSE),0)</f>
        <v>0</v>
      </c>
      <c r="J93" s="1637">
        <f>IFERROR(VLOOKUP(Financeiros[[#This Row],[Tipo]],RefTabTipo[],4,FALSE),0)</f>
        <v>0</v>
      </c>
      <c r="K93" s="1676">
        <f>IFERROR(VLOOKUP(Financeiros[[#This Row],[Grupo Tarifário]],RefTabGrupoTarifa[],2,FALSE),0)</f>
        <v>0</v>
      </c>
      <c r="L93" s="1676">
        <f>IFERROR(VLOOKUP(Financeiros[[#This Row],[Grupo Tarifário]],RefTabGrupoTarifa[],3,FALSE),0)</f>
        <v>0</v>
      </c>
      <c r="M93" s="1676">
        <f>IFERROR(VLOOKUP(Financeiros[[#This Row],[Grupo Tarifário]],RefTabGrupoTarifa[],4,FALSE),0)</f>
        <v>0</v>
      </c>
    </row>
    <row r="94" spans="3:13" ht="16.5">
      <c r="C94" s="1687"/>
      <c r="D94" s="1688"/>
      <c r="E94" s="1624">
        <f t="shared" ref="E94:E96" ca="1" si="13">IF(ISERROR(D94/$D$4),0,D94/$D$4)</f>
        <v>0</v>
      </c>
      <c r="F94" s="1674"/>
      <c r="G94" s="1689"/>
      <c r="H94" s="1676">
        <f>IFERROR(VLOOKUP(Financeiros[[#This Row],[Tipo]],RefTabTipo[],2,FALSE),0)</f>
        <v>0</v>
      </c>
      <c r="I94" s="1637">
        <f>IFERROR(VLOOKUP(Financeiros[[#This Row],[Tipo]],RefTabTipo[],3,FALSE),0)</f>
        <v>0</v>
      </c>
      <c r="J94" s="1637">
        <f>IFERROR(VLOOKUP(Financeiros[[#This Row],[Tipo]],RefTabTipo[],4,FALSE),0)</f>
        <v>0</v>
      </c>
      <c r="K94" s="1676">
        <f>IFERROR(VLOOKUP(Financeiros[[#This Row],[Grupo Tarifário]],RefTabGrupoTarifa[],2,FALSE),0)</f>
        <v>0</v>
      </c>
      <c r="L94" s="1676">
        <f>IFERROR(VLOOKUP(Financeiros[[#This Row],[Grupo Tarifário]],RefTabGrupoTarifa[],3,FALSE),0)</f>
        <v>0</v>
      </c>
      <c r="M94" s="1676">
        <f>IFERROR(VLOOKUP(Financeiros[[#This Row],[Grupo Tarifário]],RefTabGrupoTarifa[],4,FALSE),0)</f>
        <v>0</v>
      </c>
    </row>
    <row r="95" spans="3:13" ht="16.5">
      <c r="C95" s="1622"/>
      <c r="D95" s="1660"/>
      <c r="E95" s="1624">
        <f t="shared" ca="1" si="13"/>
        <v>0</v>
      </c>
      <c r="F95" s="1674"/>
      <c r="G95" s="1674"/>
      <c r="H95" s="1676">
        <f>IFERROR(VLOOKUP(Financeiros[[#This Row],[Tipo]],RefTabTipo[],2,FALSE),0)</f>
        <v>0</v>
      </c>
      <c r="I95" s="1637">
        <f>IFERROR(VLOOKUP(Financeiros[[#This Row],[Tipo]],RefTabTipo[],3,FALSE),0)</f>
        <v>0</v>
      </c>
      <c r="J95" s="1637">
        <f>IFERROR(VLOOKUP(Financeiros[[#This Row],[Tipo]],RefTabTipo[],4,FALSE),0)</f>
        <v>0</v>
      </c>
      <c r="K95" s="1676">
        <f>IFERROR(VLOOKUP(Financeiros[[#This Row],[Grupo Tarifário]],RefTabGrupoTarifa[],2,FALSE),0)</f>
        <v>0</v>
      </c>
      <c r="L95" s="1676">
        <f>IFERROR(VLOOKUP(Financeiros[[#This Row],[Grupo Tarifário]],RefTabGrupoTarifa[],3,FALSE),0)</f>
        <v>0</v>
      </c>
      <c r="M95" s="1676">
        <f>IFERROR(VLOOKUP(Financeiros[[#This Row],[Grupo Tarifário]],RefTabGrupoTarifa[],4,FALSE),0)</f>
        <v>0</v>
      </c>
    </row>
    <row r="96" spans="3:13" ht="16.5">
      <c r="C96" s="1622"/>
      <c r="D96" s="1660"/>
      <c r="E96" s="1624">
        <f t="shared" ca="1" si="13"/>
        <v>0</v>
      </c>
      <c r="F96" s="1674"/>
      <c r="G96" s="1674"/>
      <c r="H96" s="1676">
        <f>IFERROR(VLOOKUP(Financeiros[[#This Row],[Tipo]],RefTabTipo[],2,FALSE),0)</f>
        <v>0</v>
      </c>
      <c r="I96" s="1637">
        <f>IFERROR(VLOOKUP(Financeiros[[#This Row],[Tipo]],RefTabTipo[],3,FALSE),0)</f>
        <v>0</v>
      </c>
      <c r="J96" s="1637">
        <f>IFERROR(VLOOKUP(Financeiros[[#This Row],[Tipo]],RefTabTipo[],4,FALSE),0)</f>
        <v>0</v>
      </c>
      <c r="K96" s="1676">
        <f>IFERROR(VLOOKUP(Financeiros[[#This Row],[Grupo Tarifário]],RefTabGrupoTarifa[],2,FALSE),0)</f>
        <v>0</v>
      </c>
      <c r="L96" s="1676">
        <f>IFERROR(VLOOKUP(Financeiros[[#This Row],[Grupo Tarifário]],RefTabGrupoTarifa[],3,FALSE),0)</f>
        <v>0</v>
      </c>
      <c r="M96" s="1676">
        <f>IFERROR(VLOOKUP(Financeiros[[#This Row],[Grupo Tarifário]],RefTabGrupoTarifa[],4,FALSE),0)</f>
        <v>0</v>
      </c>
    </row>
    <row r="97" spans="3:13" ht="16.5">
      <c r="C97" s="1622"/>
      <c r="D97" s="1660"/>
      <c r="E97" s="1624">
        <f t="shared" ref="E97:E98" ca="1" si="14">IF(ISERROR(D97/$D$4),0,D97/$D$4)</f>
        <v>0</v>
      </c>
      <c r="F97" s="1674"/>
      <c r="G97" s="1674"/>
      <c r="H97" s="1676">
        <f>IFERROR(VLOOKUP(Financeiros[[#This Row],[Tipo]],RefTabTipo[],2,FALSE),0)</f>
        <v>0</v>
      </c>
      <c r="I97" s="1637">
        <f>IFERROR(VLOOKUP(Financeiros[[#This Row],[Tipo]],RefTabTipo[],3,FALSE),0)</f>
        <v>0</v>
      </c>
      <c r="J97" s="1637">
        <f>IFERROR(VLOOKUP(Financeiros[[#This Row],[Tipo]],RefTabTipo[],4,FALSE),0)</f>
        <v>0</v>
      </c>
      <c r="K97" s="1676">
        <f>IFERROR(VLOOKUP(Financeiros[[#This Row],[Grupo Tarifário]],RefTabGrupoTarifa[],2,FALSE),0)</f>
        <v>0</v>
      </c>
      <c r="L97" s="1676">
        <f>IFERROR(VLOOKUP(Financeiros[[#This Row],[Grupo Tarifário]],RefTabGrupoTarifa[],3,FALSE),0)</f>
        <v>0</v>
      </c>
      <c r="M97" s="1676">
        <f>IFERROR(VLOOKUP(Financeiros[[#This Row],[Grupo Tarifário]],RefTabGrupoTarifa[],4,FALSE),0)</f>
        <v>0</v>
      </c>
    </row>
    <row r="98" spans="3:13" ht="16.5">
      <c r="C98" s="1622"/>
      <c r="D98" s="1660"/>
      <c r="E98" s="1624">
        <f t="shared" ca="1" si="14"/>
        <v>0</v>
      </c>
      <c r="F98" s="1674"/>
      <c r="G98" s="1674"/>
      <c r="H98" s="1676">
        <f>IFERROR(VLOOKUP(Financeiros[[#This Row],[Tipo]],RefTabTipo[],2,FALSE),0)</f>
        <v>0</v>
      </c>
      <c r="I98" s="1637">
        <f>IFERROR(VLOOKUP(Financeiros[[#This Row],[Tipo]],RefTabTipo[],3,FALSE),0)</f>
        <v>0</v>
      </c>
      <c r="J98" s="1637">
        <f>IFERROR(VLOOKUP(Financeiros[[#This Row],[Tipo]],RefTabTipo[],4,FALSE),0)</f>
        <v>0</v>
      </c>
      <c r="K98" s="1676">
        <f>IFERROR(VLOOKUP(Financeiros[[#This Row],[Grupo Tarifário]],RefTabGrupoTarifa[],2,FALSE),0)</f>
        <v>0</v>
      </c>
      <c r="L98" s="1676">
        <f>IFERROR(VLOOKUP(Financeiros[[#This Row],[Grupo Tarifário]],RefTabGrupoTarifa[],3,FALSE),0)</f>
        <v>0</v>
      </c>
      <c r="M98" s="1676">
        <f>IFERROR(VLOOKUP(Financeiros[[#This Row],[Grupo Tarifário]],RefTabGrupoTarifa[],4,FALSE),0)</f>
        <v>0</v>
      </c>
    </row>
    <row r="99" spans="3:13" ht="16.5">
      <c r="C99" s="1622"/>
      <c r="D99" s="1660"/>
      <c r="E99" s="1624">
        <f t="shared" ref="E99:E100" ca="1" si="15">IF(ISERROR(D99/$D$4),0,D99/$D$4)</f>
        <v>0</v>
      </c>
      <c r="F99" s="1674"/>
      <c r="G99" s="1674"/>
      <c r="H99" s="1676">
        <f>IFERROR(VLOOKUP(Financeiros[[#This Row],[Tipo]],RefTabTipo[],2,FALSE),0)</f>
        <v>0</v>
      </c>
      <c r="I99" s="1637">
        <f>IFERROR(VLOOKUP(Financeiros[[#This Row],[Tipo]],RefTabTipo[],3,FALSE),0)</f>
        <v>0</v>
      </c>
      <c r="J99" s="1637">
        <f>IFERROR(VLOOKUP(Financeiros[[#This Row],[Tipo]],RefTabTipo[],4,FALSE),0)</f>
        <v>0</v>
      </c>
      <c r="K99" s="1676">
        <f>IFERROR(VLOOKUP(Financeiros[[#This Row],[Grupo Tarifário]],RefTabGrupoTarifa[],2,FALSE),0)</f>
        <v>0</v>
      </c>
      <c r="L99" s="1676">
        <f>IFERROR(VLOOKUP(Financeiros[[#This Row],[Grupo Tarifário]],RefTabGrupoTarifa[],3,FALSE),0)</f>
        <v>0</v>
      </c>
      <c r="M99" s="1676">
        <f>IFERROR(VLOOKUP(Financeiros[[#This Row],[Grupo Tarifário]],RefTabGrupoTarifa[],4,FALSE),0)</f>
        <v>0</v>
      </c>
    </row>
    <row r="100" spans="3:13" ht="16.5">
      <c r="C100" s="1622"/>
      <c r="D100" s="1660"/>
      <c r="E100" s="1624">
        <f t="shared" ca="1" si="15"/>
        <v>0</v>
      </c>
      <c r="F100" s="1674"/>
      <c r="G100" s="1674"/>
      <c r="H100" s="1676">
        <f>IFERROR(VLOOKUP(Financeiros[[#This Row],[Tipo]],RefTabTipo[],2,FALSE),0)</f>
        <v>0</v>
      </c>
      <c r="I100" s="1637">
        <f>IFERROR(VLOOKUP(Financeiros[[#This Row],[Tipo]],RefTabTipo[],3,FALSE),0)</f>
        <v>0</v>
      </c>
      <c r="J100" s="1637">
        <f>IFERROR(VLOOKUP(Financeiros[[#This Row],[Tipo]],RefTabTipo[],4,FALSE),0)</f>
        <v>0</v>
      </c>
      <c r="K100" s="1676">
        <f>IFERROR(VLOOKUP(Financeiros[[#This Row],[Grupo Tarifário]],RefTabGrupoTarifa[],2,FALSE),0)</f>
        <v>0</v>
      </c>
      <c r="L100" s="1676">
        <f>IFERROR(VLOOKUP(Financeiros[[#This Row],[Grupo Tarifário]],RefTabGrupoTarifa[],3,FALSE),0)</f>
        <v>0</v>
      </c>
      <c r="M100" s="1676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8" priority="2" operator="greaterThan">
      <formula>0</formula>
    </cfRule>
  </conditionalFormatting>
  <conditionalFormatting sqref="D31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10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1" t="s">
        <v>2286</v>
      </c>
      <c r="B1" s="1227"/>
      <c r="C1" s="1227"/>
      <c r="D1" s="1227"/>
      <c r="E1" s="932"/>
      <c r="F1" s="932"/>
      <c r="G1" s="1130" t="s">
        <v>874</v>
      </c>
      <c r="H1" s="1131">
        <f ca="1">LnkTXTIRTEco</f>
        <v>0.1195</v>
      </c>
    </row>
    <row r="2" spans="1:8" ht="16.5">
      <c r="A2" s="136" t="str">
        <f>CAPA!C9</f>
        <v>Cermoful</v>
      </c>
      <c r="B2" s="70"/>
      <c r="C2" s="70"/>
      <c r="D2" s="70"/>
      <c r="E2" s="70"/>
      <c r="F2" s="70"/>
      <c r="G2" s="120" t="s">
        <v>878</v>
      </c>
      <c r="H2" s="121">
        <f ca="1">LnkTXTIRTTotal</f>
        <v>7.6999999999999999E-2</v>
      </c>
    </row>
    <row r="7" spans="1:8">
      <c r="A7" s="1840" t="s">
        <v>2046</v>
      </c>
      <c r="B7" s="1840"/>
      <c r="C7" s="1840"/>
      <c r="D7" s="1840"/>
      <c r="E7" s="1840"/>
      <c r="F7" s="1840"/>
      <c r="G7" s="1840"/>
      <c r="H7" s="1840"/>
    </row>
    <row r="9" spans="1:8">
      <c r="A9" s="9" t="s">
        <v>2285</v>
      </c>
    </row>
    <row r="12" spans="1:8">
      <c r="A12" s="687" t="s">
        <v>193</v>
      </c>
      <c r="B12" s="296" t="s">
        <v>2041</v>
      </c>
    </row>
    <row r="13" spans="1:8">
      <c r="A13" s="687" t="s">
        <v>953</v>
      </c>
      <c r="B13" s="1736"/>
    </row>
    <row r="14" spans="1:8">
      <c r="A14" s="687" t="s">
        <v>972</v>
      </c>
      <c r="B14" s="1736"/>
    </row>
    <row r="16" spans="1:8">
      <c r="A16" s="296" t="s">
        <v>193</v>
      </c>
      <c r="B16" s="296" t="s">
        <v>2047</v>
      </c>
      <c r="C16" s="296" t="s">
        <v>2042</v>
      </c>
      <c r="D16" s="296" t="s">
        <v>2043</v>
      </c>
      <c r="E16" s="296" t="s">
        <v>770</v>
      </c>
    </row>
    <row r="17" spans="1:8">
      <c r="A17" s="687" t="s">
        <v>770</v>
      </c>
      <c r="B17" s="1737">
        <f>B18+B19</f>
        <v>0</v>
      </c>
      <c r="C17" s="1737">
        <f>Indexador!R49</f>
        <v>0</v>
      </c>
      <c r="D17" s="1737">
        <f>C17*85%</f>
        <v>0</v>
      </c>
      <c r="E17" s="1737">
        <f>SUM(B17:D17)</f>
        <v>0</v>
      </c>
    </row>
    <row r="18" spans="1:8">
      <c r="A18" s="687" t="s">
        <v>953</v>
      </c>
      <c r="B18" s="1737">
        <f>Indexador!V49</f>
        <v>0</v>
      </c>
      <c r="C18" s="1737">
        <f>IFERROR($C$17*C41,0)</f>
        <v>0</v>
      </c>
      <c r="D18" s="1737">
        <f t="shared" ref="D18:D19" si="0">C18*85%</f>
        <v>0</v>
      </c>
      <c r="E18" s="1737">
        <f t="shared" ref="E18:E19" si="1">SUM(B18:D18)</f>
        <v>0</v>
      </c>
    </row>
    <row r="19" spans="1:8">
      <c r="A19" s="687" t="s">
        <v>972</v>
      </c>
      <c r="B19" s="1737">
        <f>Indexador!T49</f>
        <v>0</v>
      </c>
      <c r="C19" s="1737">
        <f>IFERROR($C$17*D41,0)</f>
        <v>0</v>
      </c>
      <c r="D19" s="1737">
        <f t="shared" si="0"/>
        <v>0</v>
      </c>
      <c r="E19" s="1737">
        <f t="shared" si="1"/>
        <v>0</v>
      </c>
    </row>
    <row r="24" spans="1:8">
      <c r="A24" s="1840" t="s">
        <v>2200</v>
      </c>
      <c r="B24" s="1840"/>
      <c r="C24" s="1840"/>
      <c r="D24" s="1840"/>
      <c r="E24" s="1840"/>
      <c r="F24" s="1840"/>
      <c r="G24" s="1840"/>
      <c r="H24" s="1840"/>
    </row>
    <row r="26" spans="1:8">
      <c r="E26" s="232"/>
      <c r="F26" s="232"/>
      <c r="G26" s="232"/>
      <c r="H26" s="232"/>
    </row>
    <row r="27" spans="1:8">
      <c r="B27" s="296" t="s">
        <v>2201</v>
      </c>
      <c r="C27" s="296" t="s">
        <v>2199</v>
      </c>
      <c r="D27" s="296" t="s">
        <v>2197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749061.11985999998</v>
      </c>
      <c r="D28" s="232">
        <f>SUMIF(FaturasT!$I:$I,'Tributos suprimento'!$B28,FaturasT!AB:AB)</f>
        <v>1512906.33256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863969.00907999999</v>
      </c>
      <c r="D29" s="232">
        <f>SUMIF(FaturasT!$I:$I,'Tributos suprimento'!$B29,FaturasT!AB:AB)</f>
        <v>1817824.8782100002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874575.53466999996</v>
      </c>
      <c r="D30" s="232">
        <f>IF(SUMIF(FaturasT!$I:$I,'Tributos suprimento'!$B30,FaturasT!AB:AB)=0,D29,SUMIF(FaturasT!$I:$I,'Tributos suprimento'!$B30,FaturasT!AB:AB))</f>
        <v>1792908.2744100001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860731.80967999995</v>
      </c>
      <c r="D31" s="232">
        <f>IF(SUMIF(FaturasT!$I:$I,'Tributos suprimento'!$B31,FaturasT!AB:AB)=0,D30,SUMIF(FaturasT!$I:$I,'Tributos suprimento'!$B31,FaturasT!AB:AB))</f>
        <v>1711785.6789000002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893229.58043999993</v>
      </c>
      <c r="D32" s="232">
        <f>IF(SUMIF(FaturasT!$I:$I,'Tributos suprimento'!$B32,FaturasT!AB:AB)=0,D31,SUMIF(FaturasT!$I:$I,'Tributos suprimento'!$B32,FaturasT!AB:AB))</f>
        <v>1868575.83825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880533.75014000002</v>
      </c>
      <c r="D33" s="232">
        <f>IF(SUMIF(FaturasT!$I:$I,'Tributos suprimento'!$B33,FaturasT!AB:AB)=0,D32,SUMIF(FaturasT!$I:$I,'Tributos suprimento'!$B33,FaturasT!AB:AB))</f>
        <v>1780137.9020700003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879930.81612999993</v>
      </c>
      <c r="D34" s="232">
        <f>IF(SUMIF(FaturasT!$I:$I,'Tributos suprimento'!$B34,FaturasT!AB:AB)=0,D33,SUMIF(FaturasT!$I:$I,'Tributos suprimento'!$B34,FaturasT!AB:AB))</f>
        <v>1912852.9229700002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872035.57288999995</v>
      </c>
      <c r="D35" s="232">
        <f>IF(SUMIF(FaturasT!$I:$I,'Tributos suprimento'!$B35,FaturasT!AB:AB)=0,D34,SUMIF(FaturasT!$I:$I,'Tributos suprimento'!$B35,FaturasT!AB:AB))</f>
        <v>1778734.7387700002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880598.02364000003</v>
      </c>
      <c r="D36" s="232">
        <f>IF(SUMIF(FaturasT!$I:$I,'Tributos suprimento'!$B36,FaturasT!AB:AB)=0,D35,SUMIF(FaturasT!$I:$I,'Tributos suprimento'!$B36,FaturasT!AB:AB))</f>
        <v>1859588.5268399999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893137.32318000006</v>
      </c>
      <c r="D37" s="232">
        <f>IF(SUMIF(FaturasT!$I:$I,'Tributos suprimento'!$B37,FaturasT!AB:AB)=0,D36,SUMIF(FaturasT!$I:$I,'Tributos suprimento'!$B37,FaturasT!AB:AB))</f>
        <v>1854717.5456700001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880138.46742</v>
      </c>
      <c r="D38" s="232">
        <f>IF(SUMIF(FaturasT!$I:$I,'Tributos suprimento'!$B38,FaturasT!AB:AB)=0,D37,SUMIF(FaturasT!$I:$I,'Tributos suprimento'!$B38,FaturasT!AB:AB))</f>
        <v>1823413.5925500002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880138.46742</v>
      </c>
      <c r="D39" s="232">
        <f>IF(SUMIF(FaturasT!$I:$I,'Tributos suprimento'!$B39,FaturasT!AB:AB)=0,D38,SUMIF(FaturasT!$I:$I,'Tributos suprimento'!$B39,FaturasT!AB:AB))</f>
        <v>1823413.5925500002</v>
      </c>
    </row>
    <row r="40" spans="2:8">
      <c r="B40" s="17" t="s">
        <v>770</v>
      </c>
      <c r="C40" s="749">
        <f>SUM(C28:C39)</f>
        <v>10408079.474550001</v>
      </c>
      <c r="D40" s="749">
        <f>SUM(D28:D39)</f>
        <v>21536859.823750004</v>
      </c>
    </row>
    <row r="41" spans="2:8">
      <c r="B41" s="1734" t="s">
        <v>2198</v>
      </c>
      <c r="C41" s="1735">
        <f>C40/($C$40+$D$40)</f>
        <v>0.32581309287708937</v>
      </c>
      <c r="D41" s="1735">
        <f>D40/($C$40+$D$40)</f>
        <v>0.67418690712291063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3" customWidth="1"/>
    <col min="2" max="2" width="11.42578125" style="1523" bestFit="1" customWidth="1"/>
    <col min="3" max="3" width="19.28515625" style="1523" customWidth="1"/>
    <col min="4" max="4" width="17.7109375" style="1523" customWidth="1"/>
    <col min="5" max="5" width="13.7109375" style="1523" customWidth="1"/>
    <col min="6" max="8" width="14.7109375" style="1523" customWidth="1"/>
    <col min="9" max="9" width="16.42578125" style="1523" customWidth="1"/>
    <col min="10" max="10" width="19.5703125" style="1523" customWidth="1"/>
    <col min="11" max="18" width="15.7109375" style="1523" customWidth="1"/>
    <col min="19" max="40" width="9" style="1523" customWidth="1"/>
    <col min="41" max="16384" width="9.140625" style="1523"/>
  </cols>
  <sheetData>
    <row r="1" spans="2:24" ht="14.1" customHeight="1"/>
    <row r="2" spans="2:24" ht="14.1" customHeight="1"/>
    <row r="3" spans="2:24" ht="42" customHeight="1">
      <c r="B3" s="1524" t="s">
        <v>2136</v>
      </c>
      <c r="C3" s="1525"/>
      <c r="D3" s="1526" t="s">
        <v>2137</v>
      </c>
      <c r="E3" s="1527" t="s">
        <v>2138</v>
      </c>
      <c r="F3" s="1525"/>
      <c r="G3" s="1526" t="s">
        <v>2139</v>
      </c>
      <c r="H3" s="1526" t="s">
        <v>2140</v>
      </c>
      <c r="I3" s="1526" t="s">
        <v>2141</v>
      </c>
      <c r="J3" s="1526" t="s">
        <v>2142</v>
      </c>
      <c r="K3" s="1526" t="s">
        <v>2143</v>
      </c>
      <c r="L3" s="1526" t="s">
        <v>2144</v>
      </c>
      <c r="M3" s="1526" t="s">
        <v>2145</v>
      </c>
      <c r="N3" s="1526" t="s">
        <v>2146</v>
      </c>
      <c r="O3" s="1526" t="s">
        <v>2147</v>
      </c>
      <c r="P3" s="1526" t="s">
        <v>2148</v>
      </c>
      <c r="Q3" s="1526" t="s">
        <v>2149</v>
      </c>
      <c r="R3" s="1528" t="s">
        <v>2150</v>
      </c>
    </row>
    <row r="4" spans="2:24" ht="14.1" customHeight="1">
      <c r="B4" s="1529" t="s">
        <v>2151</v>
      </c>
      <c r="C4" s="1529"/>
      <c r="D4" s="1529"/>
      <c r="E4" s="1530" t="s">
        <v>114</v>
      </c>
      <c r="F4" s="1531"/>
      <c r="G4" s="1529">
        <v>0</v>
      </c>
      <c r="H4" s="1532">
        <f>D4+G4</f>
        <v>0</v>
      </c>
      <c r="I4" s="1533">
        <f>+D6</f>
        <v>0</v>
      </c>
      <c r="J4" s="1533">
        <f>+F27</f>
        <v>0</v>
      </c>
      <c r="K4" s="1534"/>
      <c r="L4" s="1535">
        <f>K4*VLOOKUP(SAS_RA0_DataFim,Índices!$B$6:$F$50000,5,0)/VLOOKUP(DATE(YEAR(SAS_RA0_DataFim)-2,MONTH(CAPA!C15),1),Índices!$B$6:$F$50000,5,0)</f>
        <v>0</v>
      </c>
      <c r="M4" s="1529"/>
      <c r="N4" s="1533">
        <f>M4*VLOOKUP(SAS_RA0_DataFim,Índices!$B$6:$F$50000,5,0)/VLOOKUP(DATE(YEAR(SAS_RA0_DataFim)-1,MONTH(SAS_RA0_DataFim),1),Índices!$B$6:$F$50000,5,0)</f>
        <v>0</v>
      </c>
      <c r="O4" s="1533">
        <f>G27</f>
        <v>0</v>
      </c>
      <c r="P4" s="1533">
        <f>J4+L4+N4-O4</f>
        <v>0</v>
      </c>
      <c r="Q4" s="1533">
        <f>IF(I4*12&gt;(D4+K4+M4-P4),D4+K4+M4-P4,I4*12)</f>
        <v>0</v>
      </c>
      <c r="R4" s="1536">
        <f>P4+Q4</f>
        <v>0</v>
      </c>
    </row>
    <row r="5" spans="2:24" ht="14.1" customHeight="1"/>
    <row r="6" spans="2:24" ht="14.1" customHeight="1">
      <c r="B6" s="1537" t="s">
        <v>2152</v>
      </c>
      <c r="C6" s="1538"/>
      <c r="D6" s="1539"/>
      <c r="N6" s="1540"/>
    </row>
    <row r="7" spans="2:24" ht="14.1" customHeight="1"/>
    <row r="8" spans="2:24" ht="42" customHeight="1">
      <c r="B8" s="1524" t="s">
        <v>34</v>
      </c>
      <c r="C8" s="1526" t="s">
        <v>2153</v>
      </c>
      <c r="D8" s="1526" t="s">
        <v>2154</v>
      </c>
      <c r="E8" s="1526" t="s">
        <v>2155</v>
      </c>
      <c r="F8" s="1526" t="s">
        <v>2156</v>
      </c>
      <c r="G8" s="1526" t="s">
        <v>2157</v>
      </c>
      <c r="H8" s="1526" t="s">
        <v>2158</v>
      </c>
    </row>
    <row r="9" spans="2:24" ht="14.1" customHeight="1">
      <c r="B9" s="1541">
        <v>44197</v>
      </c>
      <c r="C9" s="1542"/>
      <c r="D9" s="1543"/>
      <c r="E9" s="1544"/>
      <c r="F9" s="1545">
        <f>C9*VLOOKUP(SAS_RA0_DataFim,Índices!$B$6:$F$50000,5,0)/VLOOKUP(DATE(YEAR($B9),MONTH($B9)-1,1),Índices!$B$6:$F$50000,5,0)</f>
        <v>0</v>
      </c>
      <c r="G9" s="1545">
        <f>D9*VLOOKUP(SAS_RA0_DataFim,Índices!$B$6:$F$50000,5,0)/VLOOKUP(DATE(YEAR($B9),MONTH($B9)-1,1),Índices!$B$6:$F$50000,5,0)</f>
        <v>0</v>
      </c>
      <c r="H9" s="1545">
        <f>E9*VLOOKUP(SAS_RA0_DataFim,Índices!$B$6:$F$50000,5,0)/VLOOKUP(DATE(YEAR($B9),MONTH($B9)-1,1),Índices!$B$6:$F$50000,5,0)</f>
        <v>0</v>
      </c>
    </row>
    <row r="10" spans="2:24" ht="14.1" customHeight="1">
      <c r="B10" s="1541">
        <v>44228</v>
      </c>
      <c r="C10" s="1546"/>
      <c r="D10" s="1543"/>
      <c r="E10" s="1547"/>
      <c r="F10" s="1548">
        <f>C10*VLOOKUP(SAS_RA0_DataFim,Índices!$B$6:$F$50000,5,0)/VLOOKUP(DATE(YEAR($B10),MONTH($B10)-1,1),Índices!$B$6:$F$50000,5,0)</f>
        <v>0</v>
      </c>
      <c r="G10" s="1548">
        <f>D10*VLOOKUP(SAS_RA0_DataFim,Índices!$B$6:$F$50000,5,0)/VLOOKUP(DATE(YEAR($B10),MONTH($B10)-1,1),Índices!$B$6:$F$50000,5,0)</f>
        <v>0</v>
      </c>
      <c r="H10" s="1548">
        <f>E10*VLOOKUP(SAS_RA0_DataFim,Índices!$B$6:$F$50000,5,0)/VLOOKUP(DATE(YEAR($B10),MONTH($B10)-1,1),Índices!$B$6:$F$50000,5,0)</f>
        <v>0</v>
      </c>
      <c r="X10" s="1549"/>
    </row>
    <row r="11" spans="2:24" ht="14.1" customHeight="1">
      <c r="B11" s="1541">
        <v>44256</v>
      </c>
      <c r="C11" s="1546"/>
      <c r="D11" s="1543"/>
      <c r="E11" s="1547"/>
      <c r="F11" s="1548">
        <f>C11*VLOOKUP(SAS_RA0_DataFim,Índices!$B$6:$F$50000,5,0)/VLOOKUP(DATE(YEAR($B11),MONTH($B11)-1,1),Índices!$B$6:$F$50000,5,0)</f>
        <v>0</v>
      </c>
      <c r="G11" s="1548">
        <f>D11*VLOOKUP(SAS_RA0_DataFim,Índices!$B$6:$F$50000,5,0)/VLOOKUP(DATE(YEAR($B11),MONTH($B11)-1,1),Índices!$B$6:$F$50000,5,0)</f>
        <v>0</v>
      </c>
      <c r="H11" s="1548">
        <f>E11*VLOOKUP(SAS_RA0_DataFim,Índices!$B$6:$F$50000,5,0)/VLOOKUP(DATE(YEAR($B11),MONTH($B11)-1,1),Índices!$B$6:$F$50000,5,0)</f>
        <v>0</v>
      </c>
    </row>
    <row r="12" spans="2:24" ht="14.1" customHeight="1">
      <c r="B12" s="1541">
        <v>44287</v>
      </c>
      <c r="C12" s="1546"/>
      <c r="D12" s="1543"/>
      <c r="E12" s="1547"/>
      <c r="F12" s="1548">
        <f>C12*VLOOKUP(SAS_RA0_DataFim,Índices!$B$6:$F$50000,5,0)/VLOOKUP(DATE(YEAR($B12),MONTH($B12)-1,1),Índices!$B$6:$F$50000,5,0)</f>
        <v>0</v>
      </c>
      <c r="G12" s="1548">
        <f>D12*VLOOKUP(SAS_RA0_DataFim,Índices!$B$6:$F$50000,5,0)/VLOOKUP(DATE(YEAR($B12),MONTH($B12)-1,1),Índices!$B$6:$F$50000,5,0)</f>
        <v>0</v>
      </c>
      <c r="H12" s="1548">
        <f>E12*VLOOKUP(SAS_RA0_DataFim,Índices!$B$6:$F$50000,5,0)/VLOOKUP(DATE(YEAR($B12),MONTH($B12)-1,1),Índices!$B$6:$F$50000,5,0)</f>
        <v>0</v>
      </c>
    </row>
    <row r="13" spans="2:24" ht="14.1" customHeight="1">
      <c r="B13" s="1541">
        <v>44317</v>
      </c>
      <c r="C13" s="1547"/>
      <c r="D13" s="1550"/>
      <c r="E13" s="1547"/>
      <c r="F13" s="1548">
        <f>C13*VLOOKUP(SAS_RA0_DataFim,Índices!$B$6:$F$50000,5,0)/VLOOKUP(DATE(YEAR($B13),MONTH($B13)-1,1),Índices!$B$6:$F$50000,5,0)</f>
        <v>0</v>
      </c>
      <c r="G13" s="1548">
        <f>D13*VLOOKUP(SAS_RA0_DataFim,Índices!$B$6:$F$50000,5,0)/VLOOKUP(DATE(YEAR($B13),MONTH($B13)-1,1),Índices!$B$6:$F$50000,5,0)</f>
        <v>0</v>
      </c>
      <c r="H13" s="1548">
        <f>E13*VLOOKUP(SAS_RA0_DataFim,Índices!$B$6:$F$50000,5,0)/VLOOKUP(DATE(YEAR($B13),MONTH($B13)-1,1),Índices!$B$6:$F$50000,5,0)</f>
        <v>0</v>
      </c>
    </row>
    <row r="14" spans="2:24" ht="14.1" customHeight="1">
      <c r="B14" s="1541">
        <v>44348</v>
      </c>
      <c r="C14" s="1551"/>
      <c r="D14" s="1550"/>
      <c r="E14" s="1547"/>
      <c r="F14" s="1548">
        <f>C14*VLOOKUP(SAS_RA0_DataFim,Índices!$B$6:$F$50000,5,0)/VLOOKUP(DATE(YEAR($B14),MONTH($B14)-1,1),Índices!$B$6:$F$50000,5,0)</f>
        <v>0</v>
      </c>
      <c r="G14" s="1548">
        <f>D14*VLOOKUP(SAS_RA0_DataFim,Índices!$B$6:$F$50000,5,0)/VLOOKUP(DATE(YEAR($B14),MONTH($B14)-1,1),Índices!$B$6:$F$50000,5,0)</f>
        <v>0</v>
      </c>
      <c r="H14" s="1548">
        <f>E14*VLOOKUP(SAS_RA0_DataFim,Índices!$B$6:$F$50000,5,0)/VLOOKUP(DATE(YEAR($B14),MONTH($B14)-1,1),Índices!$B$6:$F$50000,5,0)</f>
        <v>0</v>
      </c>
    </row>
    <row r="15" spans="2:24" ht="14.1" customHeight="1">
      <c r="B15" s="1541">
        <v>44378</v>
      </c>
      <c r="C15" s="1551"/>
      <c r="D15" s="1550"/>
      <c r="E15" s="1547"/>
      <c r="F15" s="1548">
        <f>C15*VLOOKUP(SAS_RA0_DataFim,Índices!$B$6:$F$50000,5,0)/VLOOKUP(DATE(YEAR($B15),MONTH($B15)-1,1),Índices!$B$6:$F$50000,5,0)</f>
        <v>0</v>
      </c>
      <c r="G15" s="1548">
        <f>D15*VLOOKUP(SAS_RA0_DataFim,Índices!$B$6:$F$50000,5,0)/VLOOKUP(DATE(YEAR($B15),MONTH($B15)-1,1),Índices!$B$6:$F$50000,5,0)</f>
        <v>0</v>
      </c>
      <c r="H15" s="1548">
        <f>E15*VLOOKUP(SAS_RA0_DataFim,Índices!$B$6:$F$50000,5,0)/VLOOKUP(DATE(YEAR($B15),MONTH($B15)-1,1),Índices!$B$6:$F$50000,5,0)</f>
        <v>0</v>
      </c>
    </row>
    <row r="16" spans="2:24" ht="14.1" customHeight="1">
      <c r="B16" s="1541">
        <v>44409</v>
      </c>
      <c r="C16" s="1551"/>
      <c r="D16" s="1550"/>
      <c r="E16" s="1547"/>
      <c r="F16" s="1548">
        <f>C16*VLOOKUP(SAS_RA0_DataFim,Índices!$B$6:$F$50000,5,0)/VLOOKUP(DATE(YEAR($B16),MONTH($B16)-1,1),Índices!$B$6:$F$50000,5,0)</f>
        <v>0</v>
      </c>
      <c r="G16" s="1548">
        <f>D16*VLOOKUP(SAS_RA0_DataFim,Índices!$B$6:$F$50000,5,0)/VLOOKUP(DATE(YEAR($B16),MONTH($B16)-1,1),Índices!$B$6:$F$50000,5,0)</f>
        <v>0</v>
      </c>
      <c r="H16" s="1548">
        <f>E16*VLOOKUP(SAS_RA0_DataFim,Índices!$B$6:$F$50000,5,0)/VLOOKUP(DATE(YEAR($B16),MONTH($B16)-1,1),Índices!$B$6:$F$50000,5,0)</f>
        <v>0</v>
      </c>
    </row>
    <row r="17" spans="2:8" ht="14.1" customHeight="1">
      <c r="B17" s="1541">
        <v>44440</v>
      </c>
      <c r="C17" s="1551"/>
      <c r="D17" s="1550"/>
      <c r="E17" s="1547"/>
      <c r="F17" s="1548">
        <f>C17*VLOOKUP(SAS_RA0_DataFim,Índices!$B$6:$F$50000,5,0)/VLOOKUP(DATE(YEAR($B17),MONTH($B17)-1,1),Índices!$B$6:$F$50000,5,0)</f>
        <v>0</v>
      </c>
      <c r="G17" s="1548">
        <f>D17*VLOOKUP(SAS_RA0_DataFim,Índices!$B$6:$F$50000,5,0)/VLOOKUP(DATE(YEAR($B17),MONTH($B17)-1,1),Índices!$B$6:$F$50000,5,0)</f>
        <v>0</v>
      </c>
      <c r="H17" s="1548">
        <f>E17*VLOOKUP(SAS_RA0_DataFim,Índices!$B$6:$F$50000,5,0)/VLOOKUP(DATE(YEAR($B17),MONTH($B17)-1,1),Índices!$B$6:$F$50000,5,0)</f>
        <v>0</v>
      </c>
    </row>
    <row r="18" spans="2:8" ht="14.1" customHeight="1">
      <c r="B18" s="1541">
        <v>44470</v>
      </c>
      <c r="C18" s="1551"/>
      <c r="D18" s="1550"/>
      <c r="E18" s="1547"/>
      <c r="F18" s="1548">
        <f>C18*VLOOKUP(SAS_RA0_DataFim,Índices!$B$6:$F$50000,5,0)/VLOOKUP(DATE(YEAR($B18),MONTH($B18)-1,1),Índices!$B$6:$F$50000,5,0)</f>
        <v>0</v>
      </c>
      <c r="G18" s="1548">
        <f>D18*VLOOKUP(SAS_RA0_DataFim,Índices!$B$6:$F$50000,5,0)/VLOOKUP(DATE(YEAR($B18),MONTH($B18)-1,1),Índices!$B$6:$F$50000,5,0)</f>
        <v>0</v>
      </c>
      <c r="H18" s="1548">
        <f>E18*VLOOKUP(SAS_RA0_DataFim,Índices!$B$6:$F$50000,5,0)/VLOOKUP(DATE(YEAR($B18),MONTH($B18)-1,1),Índices!$B$6:$F$50000,5,0)</f>
        <v>0</v>
      </c>
    </row>
    <row r="19" spans="2:8" ht="14.1" customHeight="1">
      <c r="B19" s="1541">
        <v>44501</v>
      </c>
      <c r="C19" s="1551"/>
      <c r="D19" s="1550"/>
      <c r="E19" s="1547"/>
      <c r="F19" s="1548">
        <f>C19*VLOOKUP(SAS_RA0_DataFim,Índices!$B$6:$F$50000,5,0)/VLOOKUP(DATE(YEAR($B19),MONTH($B19)-1,1),Índices!$B$6:$F$50000,5,0)</f>
        <v>0</v>
      </c>
      <c r="G19" s="1548">
        <f>D19*VLOOKUP(SAS_RA0_DataFim,Índices!$B$6:$F$50000,5,0)/VLOOKUP(DATE(YEAR($B19),MONTH($B19)-1,1),Índices!$B$6:$F$50000,5,0)</f>
        <v>0</v>
      </c>
      <c r="H19" s="1548">
        <f>E19*VLOOKUP(SAS_RA0_DataFim,Índices!$B$6:$F$50000,5,0)/VLOOKUP(DATE(YEAR($B19),MONTH($B19)-1,1),Índices!$B$6:$F$50000,5,0)</f>
        <v>0</v>
      </c>
    </row>
    <row r="20" spans="2:8" ht="14.1" customHeight="1">
      <c r="B20" s="1541">
        <v>44531</v>
      </c>
      <c r="C20" s="1551"/>
      <c r="D20" s="1550"/>
      <c r="E20" s="1547"/>
      <c r="F20" s="1548">
        <f>C20*VLOOKUP(SAS_RA0_DataFim,Índices!$B$6:$F$50000,5,0)/VLOOKUP(DATE(YEAR($B20),MONTH($B20)-1,1),Índices!$B$6:$F$50000,5,0)</f>
        <v>0</v>
      </c>
      <c r="G20" s="1548">
        <f>D20*VLOOKUP(SAS_RA0_DataFim,Índices!$B$6:$F$50000,5,0)/VLOOKUP(DATE(YEAR($B20),MONTH($B20)-1,1),Índices!$B$6:$F$50000,5,0)</f>
        <v>0</v>
      </c>
      <c r="H20" s="1548">
        <f>E20*VLOOKUP(SAS_RA0_DataFim,Índices!$B$6:$F$50000,5,0)/VLOOKUP(DATE(YEAR($B20),MONTH($B20)-1,1),Índices!$B$6:$F$50000,5,0)</f>
        <v>0</v>
      </c>
    </row>
    <row r="21" spans="2:8" ht="14.1" customHeight="1">
      <c r="B21" s="1541">
        <v>44562</v>
      </c>
      <c r="C21" s="1551"/>
      <c r="D21" s="1550"/>
      <c r="E21" s="1547"/>
      <c r="F21" s="1548">
        <f>C21*VLOOKUP(SAS_RA0_DataFim,Índices!$B$6:$F$50000,5,0)/VLOOKUP(DATE(YEAR($B21),MONTH($B21)-1,1),Índices!$B$6:$F$50000,5,0)</f>
        <v>0</v>
      </c>
      <c r="G21" s="1548">
        <f>D21*VLOOKUP(SAS_RA0_DataFim,Índices!$B$6:$F$50000,5,0)/VLOOKUP(DATE(YEAR($B21),MONTH($B21)-1,1),Índices!$B$6:$F$50000,5,0)</f>
        <v>0</v>
      </c>
      <c r="H21" s="1548">
        <f>E21*VLOOKUP(SAS_RA0_DataFim,Índices!$B$6:$F$50000,5,0)/VLOOKUP(DATE(YEAR($B21),MONTH($B21)-1,1),Índices!$B$6:$F$50000,5,0)</f>
        <v>0</v>
      </c>
    </row>
    <row r="22" spans="2:8" ht="14.1" customHeight="1">
      <c r="B22" s="1541">
        <v>44593</v>
      </c>
      <c r="C22" s="1551"/>
      <c r="D22" s="1550"/>
      <c r="E22" s="1547"/>
      <c r="F22" s="1548">
        <f>C22*VLOOKUP(SAS_RA0_DataFim,Índices!$B$6:$F$50000,5,0)/VLOOKUP(DATE(YEAR($B22),MONTH($B22)-1,1),Índices!$B$6:$F$50000,5,0)</f>
        <v>0</v>
      </c>
      <c r="G22" s="1548">
        <f>D22*VLOOKUP(SAS_RA0_DataFim,Índices!$B$6:$F$50000,5,0)/VLOOKUP(DATE(YEAR($B22),MONTH($B22)-1,1),Índices!$B$6:$F$50000,5,0)</f>
        <v>0</v>
      </c>
      <c r="H22" s="1548">
        <f>E22*VLOOKUP(SAS_RA0_DataFim,Índices!$B$6:$F$50000,5,0)/VLOOKUP(DATE(YEAR($B22),MONTH($B22)-1,1),Índices!$B$6:$F$50000,5,0)</f>
        <v>0</v>
      </c>
    </row>
    <row r="23" spans="2:8" ht="14.1" customHeight="1">
      <c r="B23" s="1541">
        <v>44621</v>
      </c>
      <c r="C23" s="1551"/>
      <c r="D23" s="1550"/>
      <c r="E23" s="1547"/>
      <c r="F23" s="1548">
        <f>C23*VLOOKUP(SAS_RA0_DataFim,Índices!$B$6:$F$50000,5,0)/VLOOKUP(DATE(YEAR($B23),MONTH($B23)-1,1),Índices!$B$6:$F$50000,5,0)</f>
        <v>0</v>
      </c>
      <c r="G23" s="1548">
        <f>D23*VLOOKUP(SAS_RA0_DataFim,Índices!$B$6:$F$50000,5,0)/VLOOKUP(DATE(YEAR($B23),MONTH($B23)-1,1),Índices!$B$6:$F$50000,5,0)</f>
        <v>0</v>
      </c>
      <c r="H23" s="1548">
        <f>E23*VLOOKUP(SAS_RA0_DataFim,Índices!$B$6:$F$50000,5,0)/VLOOKUP(DATE(YEAR($B23),MONTH($B23)-1,1),Índices!$B$6:$F$50000,5,0)</f>
        <v>0</v>
      </c>
    </row>
    <row r="24" spans="2:8" ht="14.1" customHeight="1">
      <c r="B24" s="1541">
        <v>44652</v>
      </c>
      <c r="C24" s="1551"/>
      <c r="D24" s="1550"/>
      <c r="E24" s="1547"/>
      <c r="F24" s="1548">
        <f>C24*VLOOKUP(SAS_RA0_DataFim,Índices!$B$6:$F$50000,5,0)/VLOOKUP(DATE(YEAR($B24),MONTH($B24)-1,1),Índices!$B$6:$F$50000,5,0)</f>
        <v>0</v>
      </c>
      <c r="G24" s="1548">
        <f>D24*VLOOKUP(SAS_RA0_DataFim,Índices!$B$6:$F$50000,5,0)/VLOOKUP(DATE(YEAR($B24),MONTH($B24)-1,1),Índices!$B$6:$F$50000,5,0)</f>
        <v>0</v>
      </c>
      <c r="H24" s="1548">
        <f>E24*VLOOKUP(SAS_RA0_DataFim,Índices!$B$6:$F$50000,5,0)/VLOOKUP(DATE(YEAR($B24),MONTH($B24)-1,1),Índices!$B$6:$F$50000,5,0)</f>
        <v>0</v>
      </c>
    </row>
    <row r="25" spans="2:8" ht="14.1" customHeight="1">
      <c r="B25" s="1541">
        <v>44682</v>
      </c>
      <c r="C25" s="1551"/>
      <c r="D25" s="1550"/>
      <c r="E25" s="1547"/>
      <c r="F25" s="1548">
        <f>C25*VLOOKUP(SAS_RA0_DataFim,Índices!$B$6:$F$50000,5,0)/VLOOKUP(DATE(YEAR($B25),MONTH($B25)-1,1),Índices!$B$6:$F$50000,5,0)</f>
        <v>0</v>
      </c>
      <c r="G25" s="1548">
        <f>D25*VLOOKUP(SAS_RA0_DataFim,Índices!$B$6:$F$50000,5,0)/VLOOKUP(DATE(YEAR($B25),MONTH($B25)-1,1),Índices!$B$6:$F$50000,5,0)</f>
        <v>0</v>
      </c>
      <c r="H25" s="1548">
        <f>E25*VLOOKUP(SAS_RA0_DataFim,Índices!$B$6:$F$50000,5,0)/VLOOKUP(DATE(YEAR($B25),MONTH($B25)-1,1),Índices!$B$6:$F$50000,5,0)</f>
        <v>0</v>
      </c>
    </row>
    <row r="26" spans="2:8" ht="14.1" customHeight="1">
      <c r="B26" s="1541">
        <v>44713</v>
      </c>
      <c r="C26" s="1551"/>
      <c r="D26" s="1550"/>
      <c r="E26" s="1547"/>
      <c r="F26" s="1548">
        <f>C26*VLOOKUP(SAS_RA0_DataFim,Índices!$B$6:$F$50000,5,0)/VLOOKUP(DATE(YEAR($B26),MONTH($B26)-1,1),Índices!$B$6:$F$50000,5,0)</f>
        <v>0</v>
      </c>
      <c r="G26" s="1548">
        <f>D26*VLOOKUP(SAS_RA0_DataFim,Índices!$B$6:$F$50000,5,0)/VLOOKUP(DATE(YEAR($B26),MONTH($B26)-1,1),Índices!$B$6:$F$50000,5,0)</f>
        <v>0</v>
      </c>
      <c r="H26" s="1548">
        <f>E26*VLOOKUP(SAS_RA0_DataFim,Índices!$B$6:$F$50000,5,0)/VLOOKUP(DATE(YEAR($B26),MONTH($B26)-1,1),Índices!$B$6:$F$50000,5,0)</f>
        <v>0</v>
      </c>
    </row>
    <row r="27" spans="2:8" ht="14.1" customHeight="1">
      <c r="B27" s="1552" t="s">
        <v>761</v>
      </c>
      <c r="C27" s="1553">
        <f>SUM(C9:C26)</f>
        <v>0</v>
      </c>
      <c r="D27" s="1553">
        <f t="shared" ref="D27:E27" si="0">SUM(D9:D26)</f>
        <v>0</v>
      </c>
      <c r="E27" s="1553">
        <f t="shared" si="0"/>
        <v>0</v>
      </c>
      <c r="F27" s="1553">
        <f>SUM(F9:F26)</f>
        <v>0</v>
      </c>
      <c r="G27" s="1553">
        <f t="shared" ref="G27:H27" si="1">SUM(G9:G26)</f>
        <v>0</v>
      </c>
      <c r="H27" s="1553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9" t="s">
        <v>2133</v>
      </c>
    </row>
    <row r="4" spans="1:15">
      <c r="B4" s="1481" t="s">
        <v>2122</v>
      </c>
      <c r="C4" s="1483" t="s">
        <v>2123</v>
      </c>
      <c r="D4" s="1482" t="s">
        <v>2124</v>
      </c>
      <c r="E4" s="1487"/>
      <c r="F4" s="1487"/>
      <c r="G4" s="1487"/>
      <c r="N4" t="s">
        <v>34</v>
      </c>
      <c r="O4" t="s">
        <v>2125</v>
      </c>
    </row>
    <row r="5" spans="1:15">
      <c r="A5" s="797" t="s">
        <v>2074</v>
      </c>
      <c r="B5" s="845" t="s">
        <v>2131</v>
      </c>
      <c r="C5" s="1490">
        <f>IFERROR(VLOOKUP(A5,Escassez[#All],2,FALSE),0)</f>
        <v>0</v>
      </c>
      <c r="D5" s="1490" t="e">
        <f>C5/$C$8*$D$8</f>
        <v>#DIV/0!</v>
      </c>
      <c r="E5" s="1488"/>
      <c r="F5" s="1486"/>
      <c r="G5" s="1477"/>
      <c r="N5" s="8">
        <v>44690</v>
      </c>
      <c r="O5" s="232">
        <f>C8</f>
        <v>0</v>
      </c>
    </row>
    <row r="6" spans="1:15">
      <c r="A6" s="1465" t="s">
        <v>2075</v>
      </c>
      <c r="B6" s="845" t="s">
        <v>2132</v>
      </c>
      <c r="C6" s="1490">
        <f>IFERROR(VLOOKUP(A6,Escassez[#All],2,FALSE),0)</f>
        <v>0</v>
      </c>
      <c r="D6" s="1490" t="e">
        <f>C6/$C$8*$D$8</f>
        <v>#DIV/0!</v>
      </c>
      <c r="E6" s="1488"/>
      <c r="F6" s="1486"/>
      <c r="G6" s="1477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5" t="s">
        <v>2076</v>
      </c>
      <c r="B7" s="845" t="s">
        <v>105</v>
      </c>
      <c r="C7" s="1490">
        <f>IFERROR(VLOOKUP(A7,Escassez[#All],2,FALSE),0)</f>
        <v>0</v>
      </c>
      <c r="D7" s="1490" t="e">
        <f>C7/$C$8*$D$8</f>
        <v>#DIV/0!</v>
      </c>
      <c r="E7" s="1488"/>
      <c r="F7" s="1486"/>
      <c r="G7" s="1477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4"/>
      <c r="C8" s="1491">
        <f>SUM(C5:C7)</f>
        <v>0</v>
      </c>
      <c r="D8" s="1491">
        <f>VLOOKUP(DataRevRea,'Financeiros Mitigação'!N4:O241,2,FALSE)</f>
        <v>0</v>
      </c>
      <c r="E8" s="845"/>
      <c r="F8" s="1478"/>
      <c r="G8" s="1478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6"/>
      <c r="C10" s="1496"/>
      <c r="D10" s="1496"/>
      <c r="E10" s="1496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2" t="s">
        <v>1306</v>
      </c>
      <c r="C12" s="1485"/>
      <c r="D12" s="1493"/>
      <c r="E12" s="1475"/>
      <c r="F12" s="1475"/>
      <c r="G12" s="1475"/>
      <c r="H12" s="1475"/>
      <c r="I12" s="1475"/>
      <c r="J12" s="1475"/>
      <c r="K12" s="1475"/>
      <c r="L12" s="1475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4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5"/>
      <c r="C14" s="1496"/>
      <c r="D14" s="1496"/>
      <c r="E14" s="1497"/>
      <c r="F14" s="1498"/>
      <c r="G14" s="1477"/>
      <c r="H14" s="1477"/>
      <c r="I14" s="1477"/>
      <c r="J14" s="1477"/>
      <c r="K14" s="1477"/>
      <c r="L14" s="1477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5"/>
      <c r="C15" s="1496"/>
      <c r="D15" s="1496"/>
      <c r="E15" s="1497"/>
      <c r="F15" s="1498"/>
      <c r="G15" s="1477"/>
      <c r="H15" s="1477"/>
      <c r="I15" s="1477"/>
      <c r="J15" s="1477"/>
      <c r="K15" s="1477"/>
      <c r="L15" s="1477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5"/>
      <c r="C16" s="1496"/>
      <c r="D16" s="1496"/>
      <c r="E16" s="1497"/>
      <c r="F16" s="1498"/>
      <c r="G16" s="1477"/>
      <c r="H16" s="1477"/>
      <c r="I16" s="1477"/>
      <c r="J16" s="1477"/>
      <c r="K16" s="1477"/>
      <c r="L16" s="1477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5"/>
      <c r="C17" s="1496"/>
      <c r="D17" s="1496"/>
      <c r="E17" s="1497"/>
      <c r="F17" s="1498"/>
      <c r="G17" s="1477"/>
      <c r="H17" s="1477"/>
      <c r="I17" s="1477"/>
      <c r="J17" s="1477"/>
      <c r="K17" s="1477"/>
      <c r="L17" s="1477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5"/>
      <c r="C18" s="1496"/>
      <c r="D18" s="1496"/>
      <c r="E18" s="1497"/>
      <c r="F18" s="1498"/>
      <c r="G18" s="1477"/>
      <c r="H18" s="1477"/>
      <c r="I18" s="1477"/>
      <c r="J18" s="1477"/>
      <c r="K18" s="1477"/>
      <c r="L18" s="1477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5"/>
      <c r="C19" s="1496"/>
      <c r="D19" s="1496"/>
      <c r="E19" s="1496"/>
      <c r="F19" s="1498"/>
      <c r="G19" s="1477"/>
      <c r="H19" s="1477"/>
      <c r="I19" s="1477"/>
      <c r="J19" s="1477"/>
      <c r="K19" s="1477"/>
      <c r="L19" s="1477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5"/>
      <c r="C20" s="1496"/>
      <c r="D20" s="1496"/>
      <c r="E20" s="1496"/>
      <c r="F20" s="1498"/>
      <c r="G20" s="1477"/>
      <c r="H20" s="1477"/>
      <c r="I20" s="1477"/>
      <c r="J20" s="1477"/>
      <c r="K20" s="1477"/>
      <c r="L20" s="1477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5"/>
      <c r="C21" s="1496"/>
      <c r="D21" s="1496"/>
      <c r="E21" s="1496"/>
      <c r="F21" s="1498"/>
      <c r="G21" s="1477"/>
      <c r="H21" s="1477"/>
      <c r="I21" s="1477"/>
      <c r="J21" s="1477"/>
      <c r="K21" s="1477"/>
      <c r="L21" s="1477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5"/>
      <c r="C22" s="1496"/>
      <c r="D22" s="1496"/>
      <c r="E22" s="1496"/>
      <c r="F22" s="1498"/>
      <c r="G22" s="1477"/>
      <c r="H22" s="1477"/>
      <c r="I22" s="1477"/>
      <c r="J22" s="1477"/>
      <c r="K22" s="1477"/>
      <c r="L22" s="1477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5"/>
      <c r="C23" s="1496"/>
      <c r="D23" s="1496"/>
      <c r="E23" s="1496"/>
      <c r="F23" s="1498"/>
      <c r="G23" s="1477"/>
      <c r="H23" s="1477"/>
      <c r="I23" s="1477"/>
      <c r="J23" s="1477"/>
      <c r="K23" s="1477"/>
      <c r="L23" s="1477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5"/>
      <c r="C24" s="1496"/>
      <c r="D24" s="1496"/>
      <c r="E24" s="1496"/>
      <c r="F24" s="1498"/>
      <c r="G24" s="1477"/>
      <c r="H24" s="1477"/>
      <c r="I24" s="1477"/>
      <c r="J24" s="1477"/>
      <c r="K24" s="1477"/>
      <c r="L24" s="1477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9"/>
      <c r="C25" s="1496"/>
      <c r="D25" s="1496"/>
      <c r="E25" s="1500"/>
      <c r="F25" s="1498"/>
      <c r="G25" s="1477"/>
      <c r="H25" s="1477"/>
      <c r="I25" s="1477"/>
      <c r="J25" s="1477"/>
      <c r="K25" s="1477"/>
      <c r="L25" s="1477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1"/>
      <c r="C26" s="845"/>
      <c r="D26" s="845"/>
      <c r="E26" s="845"/>
      <c r="F26" s="1478"/>
      <c r="G26" s="1478"/>
      <c r="H26" s="1478"/>
      <c r="I26" s="1478"/>
      <c r="J26" s="1478"/>
      <c r="K26" s="1478"/>
      <c r="L26" s="1478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4" customWidth="1"/>
    <col min="2" max="2" width="27.28515625" style="854" customWidth="1"/>
    <col min="3" max="5" width="17.7109375" style="855" customWidth="1"/>
    <col min="6" max="7" width="17.7109375" style="854" customWidth="1"/>
    <col min="8" max="8" width="46.42578125" style="854" customWidth="1"/>
    <col min="9" max="9" width="14.7109375" style="854" customWidth="1"/>
    <col min="10" max="13" width="12.7109375" style="854" customWidth="1"/>
    <col min="14" max="17" width="9.140625" style="854"/>
    <col min="18" max="18" width="17" style="854" customWidth="1"/>
    <col min="19" max="19" width="14.28515625" style="854" customWidth="1"/>
    <col min="20" max="20" width="15.42578125" style="854" customWidth="1"/>
    <col min="21" max="21" width="13.85546875" style="854" customWidth="1"/>
    <col min="22" max="22" width="17.140625" style="854" customWidth="1"/>
    <col min="23" max="23" width="13" style="854" customWidth="1"/>
    <col min="24" max="24" width="14.140625" style="854" customWidth="1"/>
    <col min="25" max="25" width="17.7109375" style="854" customWidth="1"/>
    <col min="26" max="26" width="17" style="854" customWidth="1"/>
    <col min="27" max="27" width="14" style="854" customWidth="1"/>
    <col min="28" max="28" width="14.85546875" style="854" customWidth="1"/>
    <col min="29" max="16384" width="9.140625" style="854"/>
  </cols>
  <sheetData>
    <row r="1" spans="1:18" ht="14.45" customHeight="1"/>
    <row r="2" spans="1:18" ht="14.45" customHeight="1">
      <c r="B2" s="856" t="s">
        <v>1308</v>
      </c>
      <c r="C2" s="857"/>
      <c r="D2" s="857"/>
      <c r="E2" s="857"/>
      <c r="F2" s="858"/>
      <c r="G2" s="858"/>
      <c r="H2" s="859" t="s">
        <v>13</v>
      </c>
      <c r="I2" s="860">
        <f>Resultado!$D$6</f>
        <v>0</v>
      </c>
      <c r="J2" s="861"/>
      <c r="K2" s="861"/>
    </row>
    <row r="3" spans="1:18" ht="14.45" customHeight="1">
      <c r="B3" s="862"/>
      <c r="C3" s="863"/>
      <c r="D3" s="863"/>
      <c r="E3" s="863"/>
      <c r="H3" s="864" t="s">
        <v>14</v>
      </c>
      <c r="I3" s="865">
        <f>Resultado!$D$8</f>
        <v>0</v>
      </c>
      <c r="J3" s="861"/>
      <c r="K3" s="861"/>
    </row>
    <row r="4" spans="1:18" ht="14.45" customHeight="1">
      <c r="B4" s="861"/>
      <c r="C4" s="863"/>
      <c r="D4" s="863"/>
      <c r="E4" s="863"/>
      <c r="F4" s="866"/>
      <c r="G4" s="861"/>
      <c r="H4" s="861"/>
      <c r="I4" s="861"/>
      <c r="J4" s="861"/>
      <c r="K4" s="861"/>
    </row>
    <row r="5" spans="1:18" ht="15" customHeight="1">
      <c r="B5" s="861"/>
      <c r="C5" s="867"/>
      <c r="D5" s="863"/>
      <c r="E5" s="863"/>
      <c r="F5" s="866"/>
      <c r="G5" s="861"/>
      <c r="H5" s="861"/>
      <c r="I5" s="861"/>
      <c r="J5" s="861"/>
      <c r="K5" s="861"/>
      <c r="R5" s="1317" t="s">
        <v>875</v>
      </c>
    </row>
    <row r="6" spans="1:18" s="871" customFormat="1" ht="15" customHeight="1">
      <c r="A6" s="868"/>
      <c r="B6" s="869"/>
      <c r="C6" s="870"/>
      <c r="D6" s="870"/>
      <c r="E6" s="870"/>
      <c r="F6" s="869"/>
      <c r="G6" s="869"/>
      <c r="H6" s="869"/>
      <c r="I6" s="869"/>
      <c r="J6" s="869"/>
      <c r="K6" s="869"/>
      <c r="R6" s="889" t="e">
        <f>DATE(YEAR(R8),MONTH(R8)-1,1)</f>
        <v>#NUM!</v>
      </c>
    </row>
    <row r="7" spans="1:18" s="871" customFormat="1" ht="15" customHeight="1">
      <c r="A7" s="868"/>
      <c r="B7" s="872" t="s">
        <v>2135</v>
      </c>
      <c r="C7" s="870"/>
      <c r="D7" s="873"/>
      <c r="E7" s="873"/>
      <c r="F7" s="874"/>
      <c r="G7" s="869"/>
      <c r="H7" s="869"/>
      <c r="I7" s="869"/>
      <c r="J7" s="869"/>
      <c r="K7" s="869"/>
      <c r="R7" s="1317" t="s">
        <v>875</v>
      </c>
    </row>
    <row r="8" spans="1:18" ht="27.95" customHeight="1">
      <c r="B8" s="875" t="s">
        <v>779</v>
      </c>
      <c r="C8" s="875" t="s">
        <v>1309</v>
      </c>
      <c r="D8" s="875" t="s">
        <v>1310</v>
      </c>
      <c r="E8" s="1514"/>
      <c r="F8" s="861"/>
      <c r="G8" s="861"/>
      <c r="H8" s="861"/>
      <c r="I8" s="876"/>
      <c r="R8" s="889" t="e">
        <f>DATE(YEAR(R10),MONTH(R10)-1,1)</f>
        <v>#NUM!</v>
      </c>
    </row>
    <row r="9" spans="1:18" ht="14.45" customHeight="1">
      <c r="B9" s="1318" t="s">
        <v>1311</v>
      </c>
      <c r="C9" s="1319"/>
      <c r="D9" s="1319"/>
      <c r="E9" s="1521"/>
      <c r="F9" s="861"/>
      <c r="G9" s="436"/>
      <c r="H9" s="1320" t="s">
        <v>1312</v>
      </c>
      <c r="I9" s="1564"/>
      <c r="R9" s="1317" t="s">
        <v>875</v>
      </c>
    </row>
    <row r="10" spans="1:18" ht="14.45" customHeight="1">
      <c r="B10" s="877" t="s">
        <v>41</v>
      </c>
      <c r="C10" s="878"/>
      <c r="D10" s="878"/>
      <c r="E10" s="1521"/>
      <c r="F10" s="861"/>
      <c r="G10" s="436"/>
      <c r="H10" s="879" t="s">
        <v>1313</v>
      </c>
      <c r="I10" s="880">
        <f>Indexador!F173</f>
        <v>0</v>
      </c>
      <c r="R10" s="889" t="e">
        <f>DATE(YEAR(R12),MONTH(R12)-1,1)</f>
        <v>#NUM!</v>
      </c>
    </row>
    <row r="11" spans="1:18" ht="14.45" customHeight="1">
      <c r="B11" s="877" t="s">
        <v>1314</v>
      </c>
      <c r="C11" s="878"/>
      <c r="D11" s="878"/>
      <c r="E11" s="1521"/>
      <c r="F11" s="861"/>
      <c r="G11" s="861"/>
      <c r="H11" s="879" t="s">
        <v>1315</v>
      </c>
      <c r="I11" s="1563"/>
      <c r="R11" s="1317" t="s">
        <v>875</v>
      </c>
    </row>
    <row r="12" spans="1:18" ht="14.45" customHeight="1">
      <c r="B12" s="877" t="s">
        <v>636</v>
      </c>
      <c r="C12" s="878"/>
      <c r="D12" s="878"/>
      <c r="E12" s="1521"/>
      <c r="F12" s="861"/>
      <c r="G12" s="436"/>
      <c r="H12" s="879" t="s">
        <v>1316</v>
      </c>
      <c r="I12" s="1563"/>
      <c r="R12" s="889" t="e">
        <f>DATE(YEAR(R14),MONTH(R14)-1,1)</f>
        <v>#NUM!</v>
      </c>
    </row>
    <row r="13" spans="1:18" ht="14.45" customHeight="1">
      <c r="B13" s="877" t="s">
        <v>1317</v>
      </c>
      <c r="C13" s="878"/>
      <c r="D13" s="878"/>
      <c r="E13" s="1521"/>
      <c r="F13" s="861"/>
      <c r="G13" s="436"/>
      <c r="H13" s="879" t="s">
        <v>1318</v>
      </c>
      <c r="I13" s="1321"/>
      <c r="R13" s="1317" t="s">
        <v>875</v>
      </c>
    </row>
    <row r="14" spans="1:18" ht="14.45" customHeight="1">
      <c r="B14" s="877" t="s">
        <v>112</v>
      </c>
      <c r="C14" s="878"/>
      <c r="D14" s="878"/>
      <c r="E14" s="1521"/>
      <c r="F14" s="861"/>
      <c r="G14" s="436"/>
      <c r="H14" s="1320" t="s">
        <v>1319</v>
      </c>
      <c r="I14" s="1565">
        <v>0</v>
      </c>
      <c r="J14" s="861"/>
      <c r="K14" s="861"/>
      <c r="R14" s="889" t="e">
        <f>DATE(YEAR(R16),MONTH(R16)-1,1)</f>
        <v>#NUM!</v>
      </c>
    </row>
    <row r="15" spans="1:18" ht="14.45" customHeight="1">
      <c r="B15" s="877" t="s">
        <v>1320</v>
      </c>
      <c r="C15" s="878"/>
      <c r="D15" s="878"/>
      <c r="E15" s="1521"/>
      <c r="F15" s="861"/>
      <c r="G15" s="436"/>
      <c r="H15" s="1322" t="s">
        <v>1321</v>
      </c>
      <c r="I15" s="1323">
        <f>-Indexador!$N$49</f>
        <v>0</v>
      </c>
      <c r="J15" s="861"/>
      <c r="K15" s="861"/>
      <c r="R15" s="1317" t="s">
        <v>875</v>
      </c>
    </row>
    <row r="16" spans="1:18" ht="14.45" customHeight="1">
      <c r="B16" s="877" t="s">
        <v>109</v>
      </c>
      <c r="C16" s="878"/>
      <c r="D16" s="878"/>
      <c r="E16" s="1521"/>
      <c r="F16" s="862"/>
      <c r="G16" s="436"/>
      <c r="H16" s="861"/>
      <c r="I16" s="876"/>
      <c r="J16" s="861"/>
      <c r="K16" s="861"/>
      <c r="R16" s="889" t="e">
        <f>DATE(YEAR(R18),MONTH(R18)-1,1)</f>
        <v>#NUM!</v>
      </c>
    </row>
    <row r="17" spans="1:18" ht="14.45" customHeight="1">
      <c r="B17" s="877" t="s">
        <v>46</v>
      </c>
      <c r="C17" s="878"/>
      <c r="D17" s="878"/>
      <c r="E17" s="1521"/>
      <c r="F17" s="861"/>
      <c r="G17" s="436"/>
      <c r="H17" s="861"/>
      <c r="I17" s="861"/>
      <c r="J17" s="861"/>
      <c r="K17" s="861"/>
      <c r="R17" s="1317" t="s">
        <v>875</v>
      </c>
    </row>
    <row r="18" spans="1:18" ht="14.45" customHeight="1">
      <c r="B18" s="881" t="s">
        <v>770</v>
      </c>
      <c r="C18" s="882">
        <f>SUM(C9:C17)</f>
        <v>0</v>
      </c>
      <c r="D18" s="882">
        <f t="shared" ref="D18" si="0">SUM(D9:D17)</f>
        <v>0</v>
      </c>
      <c r="E18" s="1522"/>
      <c r="F18" s="861"/>
      <c r="G18" s="861"/>
      <c r="H18" s="861"/>
      <c r="I18" s="861"/>
      <c r="J18" s="861"/>
      <c r="K18" s="861"/>
      <c r="R18" s="889" t="e">
        <f>DATE(YEAR(R20),MONTH(R20)-1,1)</f>
        <v>#NUM!</v>
      </c>
    </row>
    <row r="19" spans="1:18" ht="14.45" hidden="1" customHeight="1">
      <c r="B19" s="861"/>
      <c r="C19" s="863"/>
      <c r="D19" s="863"/>
      <c r="E19" s="863"/>
      <c r="F19" s="861"/>
      <c r="G19" s="861"/>
      <c r="R19" s="1317" t="s">
        <v>875</v>
      </c>
    </row>
    <row r="20" spans="1:18" ht="14.45" customHeight="1">
      <c r="B20" s="861"/>
      <c r="C20" s="863"/>
      <c r="D20" s="863"/>
      <c r="E20" s="863"/>
      <c r="F20" s="861"/>
      <c r="G20" s="861"/>
      <c r="R20" s="889" t="e">
        <f>DATE(YEAR(R22),MONTH(R22)-1,1)</f>
        <v>#NUM!</v>
      </c>
    </row>
    <row r="21" spans="1:18" s="871" customFormat="1" ht="14.45" customHeight="1">
      <c r="A21" s="1506"/>
      <c r="B21" s="1507"/>
      <c r="C21" s="1508"/>
      <c r="D21" s="1508"/>
      <c r="E21" s="1508"/>
      <c r="F21" s="1507"/>
      <c r="G21" s="1507"/>
      <c r="H21" s="1509"/>
      <c r="R21" s="1317" t="s">
        <v>875</v>
      </c>
    </row>
    <row r="22" spans="1:18" ht="14.45" customHeight="1">
      <c r="A22" s="1510"/>
      <c r="B22" s="1511"/>
      <c r="C22" s="1512"/>
      <c r="D22" s="1512"/>
      <c r="E22" s="1512"/>
      <c r="F22" s="1513"/>
      <c r="G22" s="1513"/>
      <c r="H22" s="1510"/>
      <c r="R22" s="889" t="e">
        <f>DATE(YEAR(R24),MONTH(R24)-1,1)</f>
        <v>#NUM!</v>
      </c>
    </row>
    <row r="23" spans="1:18" ht="42" customHeight="1">
      <c r="A23" s="1510"/>
      <c r="B23" s="1514"/>
      <c r="C23" s="1514"/>
      <c r="D23" s="1514"/>
      <c r="E23" s="1514"/>
      <c r="F23" s="1514"/>
      <c r="G23" s="1514"/>
      <c r="H23" s="1510"/>
      <c r="R23" s="1317" t="s">
        <v>875</v>
      </c>
    </row>
    <row r="24" spans="1:18" ht="14.45" customHeight="1">
      <c r="A24" s="1510"/>
      <c r="B24" s="877"/>
      <c r="C24" s="884"/>
      <c r="D24" s="1502"/>
      <c r="E24" s="884"/>
      <c r="F24" s="885"/>
      <c r="G24" s="885"/>
      <c r="H24" s="1515"/>
      <c r="I24" s="883"/>
      <c r="J24" s="883"/>
      <c r="K24" s="891"/>
      <c r="R24" s="889" t="e">
        <f>DATE(YEAR(R26),MONTH(R26)-1,1)</f>
        <v>#NUM!</v>
      </c>
    </row>
    <row r="25" spans="1:18" ht="14.45" customHeight="1">
      <c r="A25" s="1510"/>
      <c r="B25" s="877"/>
      <c r="C25" s="884"/>
      <c r="D25" s="1503"/>
      <c r="E25" s="884"/>
      <c r="F25" s="885"/>
      <c r="G25" s="892"/>
      <c r="H25" s="1515"/>
      <c r="I25" s="883"/>
      <c r="J25" s="883"/>
      <c r="K25" s="876"/>
      <c r="R25" s="1317" t="s">
        <v>875</v>
      </c>
    </row>
    <row r="26" spans="1:18" ht="14.45" customHeight="1">
      <c r="A26" s="1510"/>
      <c r="B26" s="877"/>
      <c r="C26" s="884"/>
      <c r="D26" s="1503"/>
      <c r="E26" s="884"/>
      <c r="F26" s="885"/>
      <c r="G26" s="892"/>
      <c r="H26" s="1515"/>
      <c r="I26" s="883"/>
      <c r="J26" s="883"/>
      <c r="K26" s="876"/>
      <c r="R26" s="889" t="e">
        <f>DATE(YEAR(R28),MONTH(R28)-1,1)</f>
        <v>#NUM!</v>
      </c>
    </row>
    <row r="27" spans="1:18" ht="14.45" customHeight="1">
      <c r="A27" s="1510"/>
      <c r="B27" s="877"/>
      <c r="C27" s="884"/>
      <c r="D27" s="1503"/>
      <c r="E27" s="884"/>
      <c r="F27" s="885"/>
      <c r="G27" s="892"/>
      <c r="H27" s="1515"/>
      <c r="I27" s="885"/>
      <c r="J27" s="885"/>
      <c r="K27" s="876"/>
      <c r="R27" s="1317" t="s">
        <v>875</v>
      </c>
    </row>
    <row r="28" spans="1:18" ht="14.45" customHeight="1">
      <c r="A28" s="1510"/>
      <c r="B28" s="877"/>
      <c r="C28" s="884"/>
      <c r="D28" s="1503"/>
      <c r="E28" s="884"/>
      <c r="F28" s="885"/>
      <c r="G28" s="892"/>
      <c r="H28" s="1515"/>
      <c r="I28" s="885"/>
      <c r="J28" s="885"/>
      <c r="K28" s="876"/>
      <c r="R28" s="889">
        <f>B65</f>
        <v>0</v>
      </c>
    </row>
    <row r="29" spans="1:18" ht="14.45" customHeight="1">
      <c r="A29" s="1510"/>
      <c r="B29" s="877"/>
      <c r="C29" s="884"/>
      <c r="D29" s="1503"/>
      <c r="E29" s="884"/>
      <c r="F29" s="885"/>
      <c r="G29" s="892"/>
      <c r="H29" s="1515"/>
      <c r="I29" s="885"/>
      <c r="J29" s="885"/>
      <c r="K29" s="876"/>
    </row>
    <row r="30" spans="1:18" ht="14.45" customHeight="1">
      <c r="A30" s="1510"/>
      <c r="B30" s="877"/>
      <c r="C30" s="884"/>
      <c r="D30" s="1503"/>
      <c r="E30" s="884"/>
      <c r="F30" s="885"/>
      <c r="G30" s="892"/>
      <c r="H30" s="1513"/>
      <c r="I30" s="885"/>
      <c r="J30" s="885"/>
      <c r="K30" s="876"/>
    </row>
    <row r="31" spans="1:18" ht="14.45" customHeight="1">
      <c r="A31" s="1510"/>
      <c r="B31" s="877"/>
      <c r="C31" s="884"/>
      <c r="D31" s="1503"/>
      <c r="E31" s="884"/>
      <c r="F31" s="885"/>
      <c r="G31" s="892"/>
      <c r="H31" s="1510"/>
      <c r="I31" s="885"/>
      <c r="J31" s="885"/>
      <c r="K31" s="861"/>
    </row>
    <row r="32" spans="1:18" ht="14.45" customHeight="1">
      <c r="A32" s="1510"/>
      <c r="B32" s="877"/>
      <c r="C32" s="884"/>
      <c r="D32" s="1503"/>
      <c r="E32" s="884"/>
      <c r="F32" s="885"/>
      <c r="G32" s="892"/>
      <c r="H32" s="1510"/>
      <c r="I32" s="885"/>
      <c r="J32" s="885"/>
      <c r="K32" s="861"/>
    </row>
    <row r="33" spans="1:11" ht="14.45" customHeight="1">
      <c r="A33" s="1510"/>
      <c r="B33" s="1516"/>
      <c r="C33" s="1517"/>
      <c r="D33" s="1517"/>
      <c r="E33" s="1517"/>
      <c r="F33" s="1518"/>
      <c r="G33" s="1518"/>
      <c r="H33" s="1510"/>
      <c r="I33" s="890"/>
      <c r="J33" s="890"/>
      <c r="K33" s="861"/>
    </row>
    <row r="34" spans="1:11" ht="14.45" customHeight="1">
      <c r="A34" s="1510"/>
      <c r="B34" s="1513"/>
      <c r="C34" s="1519"/>
      <c r="D34" s="1512"/>
      <c r="E34" s="1512"/>
      <c r="F34" s="1513"/>
      <c r="G34" s="1513"/>
      <c r="H34" s="1510"/>
      <c r="K34" s="861"/>
    </row>
    <row r="35" spans="1:11" ht="14.45" customHeight="1">
      <c r="A35" s="1510"/>
      <c r="B35" s="1513"/>
      <c r="C35" s="1512"/>
      <c r="D35" s="1512"/>
      <c r="E35" s="1512"/>
      <c r="F35" s="436"/>
      <c r="G35" s="1513"/>
      <c r="H35" s="1510"/>
      <c r="K35" s="861"/>
    </row>
    <row r="36" spans="1:11" ht="14.45" customHeight="1">
      <c r="A36" s="1510"/>
      <c r="B36" s="1511"/>
      <c r="C36" s="1519"/>
      <c r="D36" s="1512"/>
      <c r="E36" s="1512"/>
      <c r="F36" s="1513"/>
      <c r="G36" s="1520"/>
      <c r="H36" s="1510"/>
      <c r="K36" s="861"/>
    </row>
    <row r="37" spans="1:11" ht="43.5" customHeight="1">
      <c r="A37" s="1510"/>
      <c r="B37" s="1514"/>
      <c r="C37" s="1514"/>
      <c r="D37" s="1514"/>
      <c r="E37" s="886"/>
      <c r="F37" s="436"/>
      <c r="G37" s="1513"/>
      <c r="H37" s="1513"/>
      <c r="I37" s="861"/>
      <c r="J37" s="861"/>
      <c r="K37" s="861"/>
    </row>
    <row r="38" spans="1:11" ht="14.45" customHeight="1">
      <c r="A38" s="1510"/>
      <c r="B38" s="877"/>
      <c r="C38" s="1512"/>
      <c r="D38" s="886"/>
      <c r="E38" s="886"/>
      <c r="F38" s="436"/>
      <c r="G38" s="1513"/>
      <c r="H38" s="1513"/>
      <c r="I38" s="861"/>
      <c r="J38" s="861"/>
      <c r="K38" s="861"/>
    </row>
    <row r="39" spans="1:11" ht="14.45" customHeight="1">
      <c r="A39" s="1510"/>
      <c r="B39" s="877"/>
      <c r="C39" s="1512"/>
      <c r="D39" s="1504"/>
      <c r="E39" s="886"/>
      <c r="F39" s="436"/>
      <c r="G39" s="436"/>
      <c r="H39" s="1513"/>
      <c r="I39" s="861"/>
      <c r="J39" s="861"/>
      <c r="K39" s="861"/>
    </row>
    <row r="40" spans="1:11" ht="14.45" customHeight="1">
      <c r="A40" s="1510"/>
      <c r="B40" s="877"/>
      <c r="C40" s="886"/>
      <c r="D40" s="1504"/>
      <c r="E40" s="886"/>
      <c r="F40" s="436"/>
      <c r="G40" s="1513"/>
      <c r="H40" s="1513"/>
      <c r="I40" s="861"/>
      <c r="J40" s="861"/>
      <c r="K40" s="861"/>
    </row>
    <row r="41" spans="1:11" ht="14.45" customHeight="1">
      <c r="A41" s="1510"/>
      <c r="B41" s="877"/>
      <c r="C41" s="886"/>
      <c r="D41" s="1504"/>
      <c r="E41" s="886"/>
      <c r="F41" s="436"/>
      <c r="G41" s="1513"/>
      <c r="H41" s="1513"/>
      <c r="I41" s="861"/>
      <c r="J41" s="861"/>
      <c r="K41" s="861"/>
    </row>
    <row r="42" spans="1:11" ht="14.45" customHeight="1">
      <c r="A42" s="1510"/>
      <c r="B42" s="877"/>
      <c r="C42" s="1505"/>
      <c r="D42" s="1504"/>
      <c r="E42" s="886"/>
      <c r="F42" s="436"/>
      <c r="G42" s="1513"/>
      <c r="H42" s="1513"/>
      <c r="I42" s="861"/>
      <c r="J42" s="861"/>
      <c r="K42" s="861"/>
    </row>
    <row r="43" spans="1:11" ht="14.45" customHeight="1">
      <c r="A43" s="1510"/>
      <c r="B43" s="877"/>
      <c r="C43" s="886"/>
      <c r="D43" s="886"/>
      <c r="E43" s="886"/>
      <c r="F43" s="436"/>
      <c r="G43" s="1513"/>
      <c r="H43" s="1513"/>
      <c r="I43" s="861"/>
      <c r="J43" s="861"/>
      <c r="K43" s="861"/>
    </row>
    <row r="44" spans="1:11" ht="14.45" customHeight="1">
      <c r="A44" s="1510"/>
      <c r="B44" s="877"/>
      <c r="C44" s="886"/>
      <c r="D44" s="886"/>
      <c r="E44" s="886"/>
      <c r="F44" s="436"/>
      <c r="G44" s="1513"/>
      <c r="H44" s="1513"/>
      <c r="I44" s="861"/>
      <c r="J44" s="861"/>
      <c r="K44" s="861"/>
    </row>
    <row r="45" spans="1:11" ht="14.45" customHeight="1">
      <c r="A45" s="1510"/>
      <c r="B45" s="877"/>
      <c r="C45" s="886"/>
      <c r="D45" s="886"/>
      <c r="E45" s="886"/>
      <c r="F45" s="436"/>
      <c r="G45" s="1513"/>
      <c r="H45" s="1513"/>
      <c r="I45" s="861"/>
      <c r="J45" s="861"/>
      <c r="K45" s="861"/>
    </row>
    <row r="46" spans="1:11" ht="14.45" customHeight="1">
      <c r="A46" s="1510"/>
      <c r="B46" s="877"/>
      <c r="C46" s="886"/>
      <c r="D46" s="886"/>
      <c r="E46" s="886"/>
      <c r="F46" s="436"/>
      <c r="G46" s="1513"/>
      <c r="H46" s="1513"/>
      <c r="I46" s="861"/>
      <c r="J46" s="861"/>
      <c r="K46" s="861"/>
    </row>
    <row r="47" spans="1:11" ht="14.45" customHeight="1">
      <c r="B47" s="436"/>
      <c r="C47" s="886"/>
      <c r="D47" s="886"/>
      <c r="E47" s="886"/>
      <c r="F47" s="436"/>
      <c r="G47" s="861"/>
      <c r="H47" s="861"/>
      <c r="I47" s="861"/>
      <c r="J47" s="861"/>
      <c r="K47" s="861"/>
    </row>
    <row r="48" spans="1:11" ht="14.45" customHeight="1">
      <c r="B48" s="65"/>
      <c r="C48" s="887"/>
      <c r="D48" s="887"/>
      <c r="E48" s="887"/>
      <c r="F48" s="65"/>
    </row>
    <row r="49" spans="2:30" ht="14.45" customHeight="1">
      <c r="B49" s="65"/>
      <c r="C49" s="887"/>
      <c r="D49" s="887"/>
      <c r="E49" s="887"/>
      <c r="F49" s="65"/>
    </row>
    <row r="50" spans="2:30" ht="14.45" customHeight="1"/>
    <row r="52" spans="2:30" ht="15" customHeight="1">
      <c r="B52" s="845"/>
      <c r="C52" s="845"/>
      <c r="D52" s="845"/>
      <c r="E52" s="845"/>
      <c r="F52" s="845"/>
      <c r="G52" s="845"/>
      <c r="H52" s="845"/>
      <c r="I52" s="845"/>
      <c r="J52" s="845"/>
      <c r="K52" s="888"/>
      <c r="L52" s="888"/>
      <c r="M52" s="888"/>
      <c r="N52" s="888"/>
      <c r="O52" s="888"/>
      <c r="P52" s="888"/>
      <c r="Q52" s="888"/>
      <c r="R52" s="888"/>
      <c r="S52" s="888"/>
      <c r="T52" s="888"/>
      <c r="U52" s="888"/>
      <c r="V52" s="888"/>
      <c r="W52" s="888"/>
      <c r="X52" s="888"/>
      <c r="Y52" s="888"/>
      <c r="Z52" s="888"/>
      <c r="AA52" s="888"/>
      <c r="AB52" s="888"/>
      <c r="AC52" s="1510"/>
      <c r="AD52" s="1510"/>
    </row>
    <row r="53" spans="2:30" ht="15" customHeight="1">
      <c r="B53" s="1567"/>
      <c r="C53" s="1567"/>
      <c r="D53" s="1567"/>
      <c r="E53" s="1567"/>
      <c r="F53" s="1567"/>
      <c r="G53" s="1567"/>
      <c r="H53" s="1567"/>
      <c r="I53" s="1567"/>
      <c r="J53" s="1567"/>
      <c r="K53" s="1567"/>
      <c r="L53" s="1567"/>
      <c r="M53" s="1567"/>
      <c r="N53" s="1567"/>
      <c r="O53" s="1567"/>
      <c r="P53" s="1567"/>
      <c r="Q53" s="1567"/>
      <c r="R53" s="1567"/>
      <c r="S53" s="1567"/>
      <c r="T53" s="1567"/>
      <c r="U53" s="1567"/>
      <c r="V53" s="1567"/>
      <c r="W53" s="1567"/>
      <c r="X53" s="1567"/>
      <c r="Y53" s="1567"/>
      <c r="Z53" s="1567"/>
      <c r="AA53" s="1567"/>
      <c r="AB53" s="1567"/>
      <c r="AC53" s="1510"/>
      <c r="AD53" s="1510"/>
    </row>
    <row r="54" spans="2:30" ht="15" customHeight="1">
      <c r="B54" s="1568"/>
      <c r="C54" s="1566"/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  <c r="R54" s="1569"/>
      <c r="S54" s="885"/>
      <c r="T54" s="885"/>
      <c r="U54" s="885"/>
      <c r="V54" s="885"/>
      <c r="W54" s="885"/>
      <c r="X54" s="885"/>
      <c r="Y54" s="885"/>
      <c r="Z54" s="885"/>
      <c r="AA54" s="885"/>
      <c r="AB54" s="885"/>
      <c r="AC54" s="1510"/>
      <c r="AD54" s="1510"/>
    </row>
    <row r="55" spans="2:30" ht="15" customHeight="1">
      <c r="B55" s="1568"/>
      <c r="C55" s="1566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1569"/>
      <c r="S55" s="885"/>
      <c r="T55" s="885"/>
      <c r="U55" s="885"/>
      <c r="V55" s="885"/>
      <c r="W55" s="885"/>
      <c r="X55" s="885"/>
      <c r="Y55" s="885"/>
      <c r="Z55" s="885"/>
      <c r="AA55" s="885"/>
      <c r="AB55" s="885"/>
      <c r="AC55" s="1510"/>
      <c r="AD55" s="1510"/>
    </row>
    <row r="56" spans="2:30" ht="15" customHeight="1">
      <c r="B56" s="1568"/>
      <c r="C56" s="1566"/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  <c r="R56" s="1569"/>
      <c r="S56" s="885"/>
      <c r="T56" s="885"/>
      <c r="U56" s="885"/>
      <c r="V56" s="885"/>
      <c r="W56" s="885"/>
      <c r="X56" s="885"/>
      <c r="Y56" s="885"/>
      <c r="Z56" s="885"/>
      <c r="AA56" s="885"/>
      <c r="AB56" s="885"/>
      <c r="AC56" s="1510"/>
      <c r="AD56" s="1510"/>
    </row>
    <row r="57" spans="2:30" ht="15" customHeight="1">
      <c r="B57" s="1568"/>
      <c r="C57" s="1566"/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  <c r="R57" s="1569"/>
      <c r="S57" s="885"/>
      <c r="T57" s="885"/>
      <c r="U57" s="885"/>
      <c r="V57" s="885"/>
      <c r="W57" s="885"/>
      <c r="X57" s="885"/>
      <c r="Y57" s="885"/>
      <c r="Z57" s="885"/>
      <c r="AA57" s="885"/>
      <c r="AB57" s="885"/>
      <c r="AC57" s="1510"/>
      <c r="AD57" s="1510"/>
    </row>
    <row r="58" spans="2:30" ht="15" customHeight="1">
      <c r="B58" s="1568"/>
      <c r="C58" s="1566"/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  <c r="R58" s="1569"/>
      <c r="S58" s="885"/>
      <c r="T58" s="885"/>
      <c r="U58" s="885"/>
      <c r="V58" s="885"/>
      <c r="W58" s="885"/>
      <c r="X58" s="885"/>
      <c r="Y58" s="885"/>
      <c r="Z58" s="885"/>
      <c r="AA58" s="885"/>
      <c r="AB58" s="885"/>
      <c r="AC58" s="1510"/>
      <c r="AD58" s="1510"/>
    </row>
    <row r="59" spans="2:30" ht="15" customHeight="1">
      <c r="B59" s="1568"/>
      <c r="C59" s="1566"/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  <c r="R59" s="1569"/>
      <c r="S59" s="885"/>
      <c r="T59" s="885"/>
      <c r="U59" s="885"/>
      <c r="V59" s="885"/>
      <c r="W59" s="885"/>
      <c r="X59" s="885"/>
      <c r="Y59" s="885"/>
      <c r="Z59" s="885"/>
      <c r="AA59" s="885"/>
      <c r="AB59" s="885"/>
      <c r="AC59" s="1510"/>
      <c r="AD59" s="1510"/>
    </row>
    <row r="60" spans="2:30" ht="15" customHeight="1">
      <c r="B60" s="1568"/>
      <c r="C60" s="1566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1569"/>
      <c r="S60" s="885"/>
      <c r="T60" s="885"/>
      <c r="U60" s="885"/>
      <c r="V60" s="885"/>
      <c r="W60" s="885"/>
      <c r="X60" s="885"/>
      <c r="Y60" s="885"/>
      <c r="Z60" s="885"/>
      <c r="AA60" s="885"/>
      <c r="AB60" s="885"/>
      <c r="AC60" s="1510"/>
      <c r="AD60" s="1510"/>
    </row>
    <row r="61" spans="2:30" ht="15" customHeight="1">
      <c r="B61" s="1568"/>
      <c r="C61" s="1566"/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  <c r="R61" s="1569"/>
      <c r="S61" s="885"/>
      <c r="T61" s="885"/>
      <c r="U61" s="885"/>
      <c r="V61" s="885"/>
      <c r="W61" s="885"/>
      <c r="X61" s="885"/>
      <c r="Y61" s="885"/>
      <c r="Z61" s="885"/>
      <c r="AA61" s="885"/>
      <c r="AB61" s="885"/>
      <c r="AC61" s="1510"/>
      <c r="AD61" s="1510"/>
    </row>
    <row r="62" spans="2:30" ht="15" customHeight="1">
      <c r="B62" s="1568"/>
      <c r="C62" s="1566"/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  <c r="R62" s="1569"/>
      <c r="S62" s="885"/>
      <c r="T62" s="885"/>
      <c r="U62" s="885"/>
      <c r="V62" s="885"/>
      <c r="W62" s="885"/>
      <c r="X62" s="885"/>
      <c r="Y62" s="885"/>
      <c r="Z62" s="885"/>
      <c r="AA62" s="885"/>
      <c r="AB62" s="885"/>
      <c r="AC62" s="1510"/>
      <c r="AD62" s="1510"/>
    </row>
    <row r="63" spans="2:30" ht="15" customHeight="1">
      <c r="B63" s="1568"/>
      <c r="C63" s="1566"/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  <c r="R63" s="1569"/>
      <c r="S63" s="885"/>
      <c r="T63" s="885"/>
      <c r="U63" s="885"/>
      <c r="V63" s="885"/>
      <c r="W63" s="885"/>
      <c r="X63" s="885"/>
      <c r="Y63" s="885"/>
      <c r="Z63" s="885"/>
      <c r="AA63" s="885"/>
      <c r="AB63" s="885"/>
      <c r="AC63" s="1510"/>
      <c r="AD63" s="1510"/>
    </row>
    <row r="64" spans="2:30" ht="15" customHeight="1">
      <c r="B64" s="1568"/>
      <c r="C64" s="1566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1569"/>
      <c r="S64" s="885"/>
      <c r="T64" s="885"/>
      <c r="U64" s="885"/>
      <c r="V64" s="885"/>
      <c r="W64" s="885"/>
      <c r="X64" s="885"/>
      <c r="Y64" s="885"/>
      <c r="Z64" s="885"/>
      <c r="AA64" s="885"/>
      <c r="AB64" s="885"/>
      <c r="AC64" s="1510"/>
      <c r="AD64" s="1510"/>
    </row>
    <row r="65" spans="2:30" ht="15" customHeight="1">
      <c r="B65" s="1568"/>
      <c r="C65" s="1566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  <c r="R65" s="1569"/>
      <c r="S65" s="885"/>
      <c r="T65" s="885"/>
      <c r="U65" s="885"/>
      <c r="V65" s="885"/>
      <c r="W65" s="885"/>
      <c r="X65" s="885"/>
      <c r="Y65" s="885"/>
      <c r="Z65" s="885"/>
      <c r="AA65" s="885"/>
      <c r="AB65" s="885"/>
      <c r="AC65" s="1510"/>
      <c r="AD65" s="1510"/>
    </row>
    <row r="66" spans="2:30" ht="15" customHeight="1">
      <c r="B66" s="1458"/>
      <c r="C66" s="1570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5"/>
      <c r="S66" s="885"/>
      <c r="T66" s="885"/>
      <c r="U66" s="885"/>
      <c r="V66" s="885"/>
      <c r="W66" s="885"/>
      <c r="X66" s="885"/>
      <c r="Y66" s="885"/>
      <c r="Z66" s="885"/>
      <c r="AA66" s="885"/>
      <c r="AB66" s="885"/>
      <c r="AC66" s="1510"/>
      <c r="AD66" s="1510"/>
    </row>
    <row r="67" spans="2:30" ht="15" customHeight="1">
      <c r="B67" s="1571"/>
      <c r="C67" s="1571"/>
      <c r="D67" s="1518"/>
      <c r="E67" s="1518"/>
      <c r="F67" s="1518"/>
      <c r="G67" s="1518"/>
      <c r="H67" s="1518"/>
      <c r="I67" s="1518"/>
      <c r="J67" s="1518"/>
      <c r="K67" s="1518"/>
      <c r="L67" s="1518"/>
      <c r="M67" s="1518"/>
      <c r="N67" s="1518"/>
      <c r="O67" s="1518"/>
      <c r="P67" s="1518"/>
      <c r="Q67" s="1518"/>
      <c r="R67" s="1518"/>
      <c r="S67" s="1518"/>
      <c r="T67" s="1518"/>
      <c r="U67" s="1518"/>
      <c r="V67" s="1518"/>
      <c r="W67" s="1518"/>
      <c r="X67" s="1518"/>
      <c r="Y67" s="1518"/>
      <c r="Z67" s="1518"/>
      <c r="AA67" s="1518"/>
      <c r="AB67" s="1518"/>
      <c r="AC67" s="1510"/>
      <c r="AD67" s="1510"/>
    </row>
    <row r="68" spans="2:30" ht="15" customHeight="1">
      <c r="B68" s="1510"/>
      <c r="C68" s="1572"/>
      <c r="D68" s="1572"/>
      <c r="E68" s="1572"/>
      <c r="F68" s="1510"/>
      <c r="G68" s="1510"/>
      <c r="H68" s="1510"/>
      <c r="I68" s="1510"/>
      <c r="J68" s="1510"/>
      <c r="K68" s="1510"/>
      <c r="L68" s="1510"/>
      <c r="M68" s="1510"/>
      <c r="N68" s="1510"/>
      <c r="O68" s="1510"/>
      <c r="P68" s="1510"/>
      <c r="Q68" s="1510"/>
      <c r="R68" s="1510"/>
      <c r="S68" s="1510"/>
      <c r="T68" s="1510"/>
      <c r="U68" s="1510"/>
      <c r="V68" s="1510"/>
      <c r="W68" s="1510"/>
      <c r="X68" s="1510"/>
      <c r="Y68" s="1510"/>
      <c r="Z68" s="1510"/>
      <c r="AA68" s="1510"/>
      <c r="AB68" s="1510"/>
      <c r="AC68" s="1510"/>
      <c r="AD68" s="1510"/>
    </row>
    <row r="69" spans="2:30" ht="15" customHeight="1">
      <c r="B69" s="1510"/>
      <c r="C69" s="1572"/>
      <c r="D69" s="1572"/>
      <c r="E69" s="1572"/>
      <c r="F69" s="1510"/>
      <c r="G69" s="1510"/>
      <c r="H69" s="1510"/>
      <c r="I69" s="1510"/>
      <c r="J69" s="1510"/>
      <c r="K69" s="1510"/>
      <c r="L69" s="1510"/>
      <c r="M69" s="1510"/>
      <c r="N69" s="1510"/>
      <c r="O69" s="1510"/>
      <c r="P69" s="1510"/>
      <c r="Q69" s="1510"/>
      <c r="R69" s="1510"/>
      <c r="S69" s="1510"/>
      <c r="T69" s="1510"/>
      <c r="U69" s="1510"/>
      <c r="V69" s="1510"/>
      <c r="W69" s="1510"/>
      <c r="X69" s="1510"/>
      <c r="Y69" s="1510"/>
      <c r="Z69" s="1510"/>
      <c r="AA69" s="1510"/>
      <c r="AB69" s="1510"/>
      <c r="AC69" s="1510"/>
      <c r="AD69" s="1510"/>
    </row>
    <row r="71" spans="2:30" ht="15" customHeight="1">
      <c r="H71" s="893"/>
      <c r="J71" s="893"/>
    </row>
    <row r="72" spans="2:30" ht="15" customHeight="1">
      <c r="H72" s="893"/>
      <c r="J72" s="893"/>
    </row>
    <row r="73" spans="2:30" ht="15" customHeight="1">
      <c r="H73" s="893"/>
      <c r="J73" s="893"/>
    </row>
    <row r="74" spans="2:30" ht="15" customHeight="1">
      <c r="H74" s="893"/>
      <c r="J74" s="893"/>
    </row>
    <row r="75" spans="2:30" ht="15" customHeight="1">
      <c r="H75" s="893"/>
      <c r="J75" s="893"/>
    </row>
    <row r="76" spans="2:30" ht="15" customHeight="1">
      <c r="H76" s="893"/>
      <c r="J76" s="893"/>
    </row>
    <row r="77" spans="2:30" ht="15" customHeight="1">
      <c r="H77" s="893"/>
      <c r="J77" s="893"/>
    </row>
    <row r="78" spans="2:30" ht="15" customHeight="1">
      <c r="H78" s="893"/>
      <c r="J78" s="893"/>
    </row>
    <row r="79" spans="2:30" ht="15" customHeight="1">
      <c r="H79" s="893"/>
      <c r="J79" s="893"/>
    </row>
    <row r="80" spans="2:30" ht="15" customHeight="1">
      <c r="H80" s="893"/>
      <c r="J80" s="893"/>
    </row>
    <row r="81" spans="8:10" ht="15" customHeight="1">
      <c r="H81" s="893"/>
      <c r="J81" s="893"/>
    </row>
    <row r="82" spans="8:10" ht="15" customHeight="1">
      <c r="H82" s="893"/>
      <c r="J82" s="893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D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5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353"/>
      <c r="P2" s="353"/>
      <c r="Q2" s="353"/>
      <c r="R2" s="9"/>
      <c r="S2" s="9"/>
      <c r="T2" s="9"/>
      <c r="U2" s="9"/>
      <c r="V2" s="9"/>
    </row>
    <row r="3" spans="1:22">
      <c r="A3" s="666" t="s">
        <v>1324</v>
      </c>
      <c r="B3" s="65"/>
      <c r="C3" s="65"/>
      <c r="D3" s="65"/>
      <c r="E3" s="65"/>
      <c r="F3" s="664"/>
      <c r="G3" s="353"/>
      <c r="H3" s="353"/>
      <c r="I3" s="666" t="s">
        <v>1325</v>
      </c>
      <c r="J3" s="353"/>
      <c r="K3" s="667"/>
      <c r="L3" s="9"/>
      <c r="M3" s="9"/>
      <c r="N3" s="664"/>
      <c r="O3" s="353"/>
      <c r="P3" s="353"/>
      <c r="Q3" s="353"/>
      <c r="R3" s="9"/>
      <c r="S3" s="9"/>
      <c r="T3" s="9"/>
      <c r="U3" s="9"/>
      <c r="V3" s="9"/>
    </row>
    <row r="4" spans="1:22" ht="25.5">
      <c r="A4" s="1325" t="s">
        <v>22</v>
      </c>
      <c r="B4" s="1326"/>
      <c r="C4" s="668" t="s">
        <v>851</v>
      </c>
      <c r="D4" s="668" t="s">
        <v>1326</v>
      </c>
      <c r="E4" s="668" t="s">
        <v>1327</v>
      </c>
      <c r="F4" s="668" t="s">
        <v>8</v>
      </c>
      <c r="G4" s="669" t="s">
        <v>1328</v>
      </c>
      <c r="H4" s="353"/>
      <c r="I4" s="1325" t="s">
        <v>22</v>
      </c>
      <c r="J4" s="1325"/>
      <c r="K4" s="1325"/>
      <c r="L4" s="668" t="s">
        <v>1327</v>
      </c>
      <c r="M4" s="668" t="s">
        <v>8</v>
      </c>
      <c r="N4" s="669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7" t="s">
        <v>698</v>
      </c>
      <c r="B5" s="1328"/>
      <c r="C5" s="1329">
        <f>SUMPRODUCT(C16:Q16,$C$22:$Q$22)</f>
        <v>0</v>
      </c>
      <c r="D5" s="673">
        <f>SUMPRODUCT(C28:Q28,$C$34:$Q$34)</f>
        <v>0</v>
      </c>
      <c r="E5" s="1330">
        <f>C5-D5</f>
        <v>0</v>
      </c>
      <c r="F5" s="1331">
        <f>Resultado!M9</f>
        <v>0</v>
      </c>
      <c r="G5" s="670">
        <f>F5+E5</f>
        <v>0</v>
      </c>
      <c r="H5" s="353"/>
      <c r="I5" s="1327" t="s">
        <v>698</v>
      </c>
      <c r="J5" s="1327"/>
      <c r="K5" s="1327"/>
      <c r="L5" s="1331">
        <f t="shared" ref="L5:N10" si="0">E5/12</f>
        <v>0</v>
      </c>
      <c r="M5" s="1331">
        <f t="shared" si="0"/>
        <v>0</v>
      </c>
      <c r="N5" s="1329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700</v>
      </c>
      <c r="B6" s="671"/>
      <c r="C6" s="672">
        <f t="shared" ref="C6:C10" si="1">SUMPRODUCT(C17:Q17,$C$22:$Q$22)</f>
        <v>0</v>
      </c>
      <c r="D6" s="673">
        <f t="shared" ref="D6:D10" si="2">SUMPRODUCT(C29:Q29,$C$34:$Q$34)</f>
        <v>0</v>
      </c>
      <c r="E6" s="690">
        <f t="shared" ref="E6:E10" si="3">C6-D6</f>
        <v>0</v>
      </c>
      <c r="F6" s="673">
        <f>Resultado!M10</f>
        <v>0</v>
      </c>
      <c r="G6" s="670">
        <f t="shared" ref="G6:G10" si="4">F6+E6</f>
        <v>0</v>
      </c>
      <c r="H6" s="353"/>
      <c r="I6" s="65" t="s">
        <v>700</v>
      </c>
      <c r="J6" s="65"/>
      <c r="K6" s="65"/>
      <c r="L6" s="673">
        <f t="shared" si="0"/>
        <v>0</v>
      </c>
      <c r="M6" s="673">
        <f t="shared" si="0"/>
        <v>0</v>
      </c>
      <c r="N6" s="672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702</v>
      </c>
      <c r="B7" s="671"/>
      <c r="C7" s="672">
        <f t="shared" si="1"/>
        <v>0</v>
      </c>
      <c r="D7" s="673">
        <f t="shared" si="2"/>
        <v>0</v>
      </c>
      <c r="E7" s="690">
        <f t="shared" si="3"/>
        <v>0</v>
      </c>
      <c r="F7" s="673">
        <f>-Financeiros!D34+Resultado!M11</f>
        <v>0</v>
      </c>
      <c r="G7" s="670">
        <f t="shared" si="4"/>
        <v>0</v>
      </c>
      <c r="H7" s="353"/>
      <c r="I7" s="65" t="s">
        <v>702</v>
      </c>
      <c r="J7" s="65"/>
      <c r="K7" s="65"/>
      <c r="L7" s="673">
        <f t="shared" si="0"/>
        <v>0</v>
      </c>
      <c r="M7" s="673">
        <f t="shared" si="0"/>
        <v>0</v>
      </c>
      <c r="N7" s="672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703</v>
      </c>
      <c r="B8" s="671"/>
      <c r="C8" s="672">
        <f t="shared" si="1"/>
        <v>12804.633545286648</v>
      </c>
      <c r="D8" s="673">
        <f t="shared" si="2"/>
        <v>9334.2933700832673</v>
      </c>
      <c r="E8" s="690">
        <f t="shared" si="3"/>
        <v>3470.3401752033806</v>
      </c>
      <c r="F8" s="673">
        <f>Resultado!M12</f>
        <v>6784.3112007513564</v>
      </c>
      <c r="G8" s="670">
        <f t="shared" si="4"/>
        <v>10254.651375954738</v>
      </c>
      <c r="H8" s="353"/>
      <c r="I8" s="65" t="s">
        <v>703</v>
      </c>
      <c r="J8" s="65"/>
      <c r="K8" s="65"/>
      <c r="L8" s="673">
        <f t="shared" si="0"/>
        <v>289.1950146002817</v>
      </c>
      <c r="M8" s="673">
        <f t="shared" si="0"/>
        <v>565.35926672927974</v>
      </c>
      <c r="N8" s="672">
        <f t="shared" si="0"/>
        <v>854.55428132956149</v>
      </c>
      <c r="P8" s="353"/>
      <c r="Q8" s="353"/>
      <c r="R8" s="9"/>
      <c r="S8" s="9"/>
      <c r="T8" s="9"/>
      <c r="U8" s="9"/>
      <c r="V8" s="9"/>
    </row>
    <row r="9" spans="1:22">
      <c r="A9" s="65" t="s">
        <v>706</v>
      </c>
      <c r="B9" s="671"/>
      <c r="C9" s="672">
        <f t="shared" si="1"/>
        <v>269320.73760010861</v>
      </c>
      <c r="D9" s="673">
        <f t="shared" si="2"/>
        <v>289347.29764821375</v>
      </c>
      <c r="E9" s="690">
        <f>C9-D9</f>
        <v>-20026.560048105137</v>
      </c>
      <c r="F9" s="673">
        <f>Resultado!M13</f>
        <v>142940.12385287479</v>
      </c>
      <c r="G9" s="670">
        <f t="shared" si="4"/>
        <v>122913.56380476966</v>
      </c>
      <c r="H9" s="353"/>
      <c r="I9" s="65" t="s">
        <v>706</v>
      </c>
      <c r="J9" s="65"/>
      <c r="K9" s="65"/>
      <c r="L9" s="673">
        <f t="shared" si="0"/>
        <v>-1668.8800040087615</v>
      </c>
      <c r="M9" s="673">
        <f t="shared" si="0"/>
        <v>11911.676987739565</v>
      </c>
      <c r="N9" s="672">
        <f t="shared" si="0"/>
        <v>10242.796983730805</v>
      </c>
      <c r="P9" s="353"/>
      <c r="Q9" s="353"/>
      <c r="R9" s="9"/>
      <c r="S9" s="9"/>
      <c r="T9" s="9"/>
      <c r="U9" s="9"/>
      <c r="V9" s="9"/>
    </row>
    <row r="10" spans="1:22">
      <c r="A10" s="1065" t="s">
        <v>708</v>
      </c>
      <c r="B10" s="674"/>
      <c r="C10" s="672">
        <f t="shared" si="1"/>
        <v>4242.2858968190267</v>
      </c>
      <c r="D10" s="673">
        <f t="shared" si="2"/>
        <v>6815.8282280710882</v>
      </c>
      <c r="E10" s="1332">
        <f t="shared" si="3"/>
        <v>-2573.5423312520616</v>
      </c>
      <c r="F10" s="1333">
        <f>Resultado!M14</f>
        <v>4282.8283740563566</v>
      </c>
      <c r="G10" s="670">
        <f t="shared" si="4"/>
        <v>1709.286042804295</v>
      </c>
      <c r="H10" s="353"/>
      <c r="I10" s="1065" t="s">
        <v>708</v>
      </c>
      <c r="J10" s="1065"/>
      <c r="K10" s="1065"/>
      <c r="L10" s="1333">
        <f t="shared" si="0"/>
        <v>-214.46186093767179</v>
      </c>
      <c r="M10" s="1333">
        <f t="shared" si="0"/>
        <v>356.90236450469638</v>
      </c>
      <c r="N10" s="675">
        <f t="shared" si="0"/>
        <v>142.44050356702459</v>
      </c>
      <c r="P10" s="353"/>
      <c r="Q10" s="353"/>
      <c r="R10" s="9"/>
      <c r="S10" s="9"/>
      <c r="T10" s="9"/>
      <c r="U10" s="9"/>
      <c r="V10" s="9"/>
    </row>
    <row r="11" spans="1:22">
      <c r="A11" s="1334" t="s">
        <v>770</v>
      </c>
      <c r="B11" s="1334"/>
      <c r="C11" s="1335">
        <f>SUM(C5:C10)</f>
        <v>286367.6570422143</v>
      </c>
      <c r="D11" s="1335">
        <f>SUM(D5:D10)</f>
        <v>305497.41924636811</v>
      </c>
      <c r="E11" s="1335">
        <f t="shared" ref="E11" si="5">SUM(E5:E10)</f>
        <v>-19129.762204153816</v>
      </c>
      <c r="F11" s="1335">
        <f>SUM(F5:F10)</f>
        <v>154007.26342768251</v>
      </c>
      <c r="G11" s="1336">
        <f>SUM(G5:G10)</f>
        <v>134877.5012235287</v>
      </c>
      <c r="H11" s="353"/>
      <c r="I11" s="1334" t="s">
        <v>770</v>
      </c>
      <c r="J11" s="1334"/>
      <c r="K11" s="1334"/>
      <c r="L11" s="1335">
        <f>SUM(L5:L10)</f>
        <v>-1594.1468503461517</v>
      </c>
      <c r="M11" s="1335">
        <f>SUM(M5:M10)</f>
        <v>12833.938618973541</v>
      </c>
      <c r="N11" s="1336">
        <f>SUM(N5:N10)</f>
        <v>11239.79176862739</v>
      </c>
      <c r="P11" s="353"/>
      <c r="Q11" s="353"/>
      <c r="R11" s="9"/>
      <c r="S11" s="9"/>
      <c r="T11" s="9"/>
      <c r="U11" s="9"/>
      <c r="V11" s="9"/>
    </row>
    <row r="12" spans="1:22">
      <c r="A12" s="664"/>
      <c r="B12" s="664"/>
      <c r="C12" s="664"/>
      <c r="D12" s="664"/>
      <c r="E12" s="664"/>
      <c r="F12" s="664"/>
      <c r="G12" s="664"/>
      <c r="H12" s="664"/>
      <c r="I12" s="9"/>
      <c r="J12" s="664"/>
      <c r="K12" s="664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6" t="s">
        <v>1329</v>
      </c>
      <c r="B13" s="664"/>
      <c r="C13" s="353"/>
      <c r="D13" s="353"/>
      <c r="E13" s="353"/>
      <c r="F13" s="664"/>
      <c r="G13" s="664"/>
      <c r="H13" s="664"/>
      <c r="I13" s="664"/>
      <c r="J13" s="664"/>
      <c r="K13" s="664"/>
      <c r="L13" s="664"/>
      <c r="M13" s="664"/>
      <c r="N13" s="664"/>
      <c r="O13" s="353"/>
      <c r="P13" s="353"/>
      <c r="Q13" s="353"/>
      <c r="R13" s="9"/>
      <c r="S13" s="9"/>
      <c r="T13" s="9"/>
      <c r="U13" s="9"/>
      <c r="V13" s="9"/>
    </row>
    <row r="14" spans="1:22">
      <c r="A14" s="1841" t="s">
        <v>22</v>
      </c>
      <c r="B14" s="1842" t="s">
        <v>1330</v>
      </c>
      <c r="C14" s="353"/>
      <c r="D14" s="353"/>
      <c r="E14" s="353"/>
      <c r="F14" s="676" t="s">
        <v>875</v>
      </c>
      <c r="G14" s="676" t="s">
        <v>875</v>
      </c>
      <c r="H14" s="676" t="s">
        <v>875</v>
      </c>
      <c r="I14" s="676" t="s">
        <v>875</v>
      </c>
      <c r="J14" s="676" t="s">
        <v>875</v>
      </c>
      <c r="K14" s="676" t="s">
        <v>875</v>
      </c>
      <c r="L14" s="676" t="s">
        <v>875</v>
      </c>
      <c r="M14" s="676" t="s">
        <v>875</v>
      </c>
      <c r="N14" s="676" t="s">
        <v>875</v>
      </c>
      <c r="O14" s="676" t="s">
        <v>875</v>
      </c>
      <c r="P14" s="676" t="s">
        <v>875</v>
      </c>
      <c r="Q14" s="676" t="s">
        <v>875</v>
      </c>
      <c r="R14" s="9"/>
      <c r="S14" s="9"/>
      <c r="T14" s="9"/>
      <c r="U14" s="9"/>
      <c r="V14" s="9"/>
    </row>
    <row r="15" spans="1:22">
      <c r="A15" s="1841"/>
      <c r="B15" s="1842"/>
      <c r="C15" s="677">
        <f t="shared" ref="C15:P15" si="6">EDATE(D15,-1)</f>
        <v>44348</v>
      </c>
      <c r="D15" s="677">
        <f>EDATE(E15,-1)</f>
        <v>44378</v>
      </c>
      <c r="E15" s="677">
        <f>EDATE(F15,-1)</f>
        <v>44409</v>
      </c>
      <c r="F15" s="678">
        <f>EDATE(G15,-1)</f>
        <v>44440</v>
      </c>
      <c r="G15" s="678">
        <f t="shared" si="6"/>
        <v>44470</v>
      </c>
      <c r="H15" s="678">
        <f t="shared" si="6"/>
        <v>44501</v>
      </c>
      <c r="I15" s="678">
        <f t="shared" si="6"/>
        <v>44531</v>
      </c>
      <c r="J15" s="678">
        <f t="shared" si="6"/>
        <v>44562</v>
      </c>
      <c r="K15" s="678">
        <f t="shared" si="6"/>
        <v>44593</v>
      </c>
      <c r="L15" s="678">
        <f t="shared" si="6"/>
        <v>44621</v>
      </c>
      <c r="M15" s="678">
        <f t="shared" si="6"/>
        <v>44652</v>
      </c>
      <c r="N15" s="678">
        <f t="shared" si="6"/>
        <v>44682</v>
      </c>
      <c r="O15" s="678">
        <f t="shared" si="6"/>
        <v>44713</v>
      </c>
      <c r="P15" s="678">
        <f t="shared" si="6"/>
        <v>44743</v>
      </c>
      <c r="Q15" s="678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9" t="s">
        <v>1331</v>
      </c>
      <c r="B16" s="680" t="s">
        <v>927</v>
      </c>
      <c r="C16" s="681">
        <f>C40</f>
        <v>0</v>
      </c>
      <c r="D16" s="681">
        <f t="shared" ref="D16:E16" si="7">D40</f>
        <v>0</v>
      </c>
      <c r="E16" s="681">
        <f t="shared" si="7"/>
        <v>0</v>
      </c>
      <c r="F16" s="681">
        <f t="shared" ref="F16:Q21" si="8">DSUM(MercadoBase,$B16,F$14:F$15)</f>
        <v>0</v>
      </c>
      <c r="G16" s="681">
        <f t="shared" si="8"/>
        <v>0</v>
      </c>
      <c r="H16" s="681">
        <f t="shared" si="8"/>
        <v>0</v>
      </c>
      <c r="I16" s="681">
        <f t="shared" si="8"/>
        <v>0</v>
      </c>
      <c r="J16" s="681">
        <f t="shared" si="8"/>
        <v>0</v>
      </c>
      <c r="K16" s="681">
        <f t="shared" si="8"/>
        <v>0</v>
      </c>
      <c r="L16" s="681">
        <f t="shared" si="8"/>
        <v>0</v>
      </c>
      <c r="M16" s="681">
        <f t="shared" si="8"/>
        <v>0</v>
      </c>
      <c r="N16" s="681">
        <f t="shared" si="8"/>
        <v>0</v>
      </c>
      <c r="O16" s="681">
        <f t="shared" si="8"/>
        <v>0</v>
      </c>
      <c r="P16" s="681">
        <f t="shared" si="8"/>
        <v>0</v>
      </c>
      <c r="Q16" s="681">
        <f t="shared" si="8"/>
        <v>0</v>
      </c>
      <c r="R16" s="9"/>
      <c r="S16" s="9"/>
      <c r="T16" s="9"/>
      <c r="U16" s="9"/>
      <c r="V16" s="9"/>
    </row>
    <row r="17" spans="1:22">
      <c r="A17" s="679" t="s">
        <v>1332</v>
      </c>
      <c r="B17" s="680" t="s">
        <v>928</v>
      </c>
      <c r="C17" s="681">
        <f t="shared" ref="C17:E21" si="9">C41</f>
        <v>0</v>
      </c>
      <c r="D17" s="681">
        <f t="shared" si="9"/>
        <v>0</v>
      </c>
      <c r="E17" s="681">
        <f t="shared" si="9"/>
        <v>0</v>
      </c>
      <c r="F17" s="681">
        <f t="shared" si="8"/>
        <v>0</v>
      </c>
      <c r="G17" s="681">
        <f t="shared" si="8"/>
        <v>0</v>
      </c>
      <c r="H17" s="681">
        <f t="shared" si="8"/>
        <v>0</v>
      </c>
      <c r="I17" s="681">
        <f t="shared" si="8"/>
        <v>0</v>
      </c>
      <c r="J17" s="681">
        <f t="shared" si="8"/>
        <v>0</v>
      </c>
      <c r="K17" s="681">
        <f t="shared" si="8"/>
        <v>0</v>
      </c>
      <c r="L17" s="681">
        <f t="shared" si="8"/>
        <v>0</v>
      </c>
      <c r="M17" s="681">
        <f t="shared" si="8"/>
        <v>0</v>
      </c>
      <c r="N17" s="681">
        <f t="shared" si="8"/>
        <v>0</v>
      </c>
      <c r="O17" s="681">
        <f t="shared" si="8"/>
        <v>0</v>
      </c>
      <c r="P17" s="681">
        <f t="shared" si="8"/>
        <v>0</v>
      </c>
      <c r="Q17" s="681">
        <f t="shared" si="8"/>
        <v>0</v>
      </c>
      <c r="R17" s="9"/>
      <c r="S17" s="9"/>
      <c r="T17" s="9"/>
      <c r="U17" s="9"/>
      <c r="V17" s="9"/>
    </row>
    <row r="18" spans="1:22">
      <c r="A18" s="679" t="s">
        <v>1333</v>
      </c>
      <c r="B18" s="680" t="s">
        <v>929</v>
      </c>
      <c r="C18" s="681">
        <f t="shared" si="9"/>
        <v>0</v>
      </c>
      <c r="D18" s="681">
        <f t="shared" si="9"/>
        <v>0</v>
      </c>
      <c r="E18" s="681">
        <f t="shared" si="9"/>
        <v>0</v>
      </c>
      <c r="F18" s="681">
        <f t="shared" si="8"/>
        <v>0</v>
      </c>
      <c r="G18" s="681">
        <f t="shared" si="8"/>
        <v>0</v>
      </c>
      <c r="H18" s="681">
        <f t="shared" si="8"/>
        <v>0</v>
      </c>
      <c r="I18" s="681">
        <f t="shared" si="8"/>
        <v>0</v>
      </c>
      <c r="J18" s="681">
        <f t="shared" si="8"/>
        <v>0</v>
      </c>
      <c r="K18" s="681">
        <f t="shared" si="8"/>
        <v>0</v>
      </c>
      <c r="L18" s="681">
        <f t="shared" si="8"/>
        <v>0</v>
      </c>
      <c r="M18" s="681">
        <f t="shared" si="8"/>
        <v>0</v>
      </c>
      <c r="N18" s="681">
        <f t="shared" si="8"/>
        <v>0</v>
      </c>
      <c r="O18" s="681">
        <f t="shared" si="8"/>
        <v>0</v>
      </c>
      <c r="P18" s="681">
        <f t="shared" si="8"/>
        <v>0</v>
      </c>
      <c r="Q18" s="681">
        <f t="shared" si="8"/>
        <v>0</v>
      </c>
      <c r="R18" s="9"/>
      <c r="S18" s="9"/>
      <c r="T18" s="9"/>
      <c r="U18" s="9"/>
      <c r="V18" s="9"/>
    </row>
    <row r="19" spans="1:22">
      <c r="A19" s="679" t="s">
        <v>1334</v>
      </c>
      <c r="B19" s="680" t="s">
        <v>930</v>
      </c>
      <c r="C19" s="681">
        <f t="shared" si="9"/>
        <v>0</v>
      </c>
      <c r="D19" s="681">
        <f t="shared" si="9"/>
        <v>0</v>
      </c>
      <c r="E19" s="681">
        <f t="shared" si="9"/>
        <v>0</v>
      </c>
      <c r="F19" s="681">
        <f t="shared" si="8"/>
        <v>671.53986120000059</v>
      </c>
      <c r="G19" s="681">
        <f t="shared" si="8"/>
        <v>657.4231728000002</v>
      </c>
      <c r="H19" s="681">
        <f t="shared" si="8"/>
        <v>907.99907040000016</v>
      </c>
      <c r="I19" s="681">
        <f t="shared" si="8"/>
        <v>875.71262159999878</v>
      </c>
      <c r="J19" s="681">
        <f t="shared" si="8"/>
        <v>1106.3869547999991</v>
      </c>
      <c r="K19" s="681">
        <f t="shared" si="8"/>
        <v>1227.8069663999995</v>
      </c>
      <c r="L19" s="681">
        <f t="shared" si="8"/>
        <v>1120.9046064000017</v>
      </c>
      <c r="M19" s="681">
        <f t="shared" si="8"/>
        <v>1151.7432432000005</v>
      </c>
      <c r="N19" s="681">
        <f t="shared" si="8"/>
        <v>1099.7606472000014</v>
      </c>
      <c r="O19" s="681">
        <f t="shared" si="8"/>
        <v>1187.1447936000018</v>
      </c>
      <c r="P19" s="681">
        <f t="shared" si="8"/>
        <v>1155.9461172000003</v>
      </c>
      <c r="Q19" s="681">
        <f t="shared" si="8"/>
        <v>1155.9461172000003</v>
      </c>
      <c r="R19" s="9"/>
      <c r="S19" s="9"/>
      <c r="T19" s="9"/>
      <c r="U19" s="9"/>
      <c r="V19" s="9"/>
    </row>
    <row r="20" spans="1:22">
      <c r="A20" s="679" t="s">
        <v>1335</v>
      </c>
      <c r="B20" s="680" t="s">
        <v>931</v>
      </c>
      <c r="C20" s="681">
        <f t="shared" si="9"/>
        <v>0</v>
      </c>
      <c r="D20" s="681">
        <f t="shared" si="9"/>
        <v>0</v>
      </c>
      <c r="E20" s="681">
        <f t="shared" si="9"/>
        <v>0</v>
      </c>
      <c r="F20" s="681">
        <f t="shared" si="8"/>
        <v>19738.912973600007</v>
      </c>
      <c r="G20" s="681">
        <f t="shared" si="8"/>
        <v>24357.131184000002</v>
      </c>
      <c r="H20" s="681">
        <f t="shared" si="8"/>
        <v>26982.002688800003</v>
      </c>
      <c r="I20" s="681">
        <f t="shared" si="8"/>
        <v>26061.882713600007</v>
      </c>
      <c r="J20" s="681">
        <f t="shared" si="8"/>
        <v>26084.417979200007</v>
      </c>
      <c r="K20" s="681">
        <f t="shared" si="8"/>
        <v>21965.626433600006</v>
      </c>
      <c r="L20" s="681">
        <f t="shared" si="8"/>
        <v>20890.458449599999</v>
      </c>
      <c r="M20" s="681">
        <f t="shared" si="8"/>
        <v>18287.703084800007</v>
      </c>
      <c r="N20" s="681">
        <f t="shared" si="8"/>
        <v>17500.861918400002</v>
      </c>
      <c r="O20" s="681">
        <f t="shared" si="8"/>
        <v>18898.341456000002</v>
      </c>
      <c r="P20" s="681">
        <f t="shared" si="8"/>
        <v>17862.022856800006</v>
      </c>
      <c r="Q20" s="681">
        <f t="shared" si="8"/>
        <v>17862.022856800006</v>
      </c>
      <c r="R20" s="9"/>
      <c r="S20" s="9"/>
      <c r="T20" s="9"/>
      <c r="U20" s="9"/>
      <c r="V20" s="9"/>
    </row>
    <row r="21" spans="1:22">
      <c r="A21" s="679" t="s">
        <v>1336</v>
      </c>
      <c r="B21" s="680" t="s">
        <v>932</v>
      </c>
      <c r="C21" s="681">
        <f t="shared" si="9"/>
        <v>0</v>
      </c>
      <c r="D21" s="681">
        <f t="shared" si="9"/>
        <v>0</v>
      </c>
      <c r="E21" s="681">
        <f t="shared" si="9"/>
        <v>0</v>
      </c>
      <c r="F21" s="681">
        <f t="shared" si="8"/>
        <v>281.26778399999995</v>
      </c>
      <c r="G21" s="681">
        <f t="shared" si="8"/>
        <v>308.29652000000004</v>
      </c>
      <c r="H21" s="681">
        <f t="shared" si="8"/>
        <v>725.13030800000013</v>
      </c>
      <c r="I21" s="681">
        <f t="shared" si="8"/>
        <v>941.78252000000009</v>
      </c>
      <c r="J21" s="681">
        <f t="shared" si="8"/>
        <v>184.133264</v>
      </c>
      <c r="K21" s="681">
        <f t="shared" si="8"/>
        <v>430.77048000000002</v>
      </c>
      <c r="L21" s="681">
        <f t="shared" si="8"/>
        <v>369.95582400000006</v>
      </c>
      <c r="M21" s="681">
        <f t="shared" si="8"/>
        <v>286.75799600000005</v>
      </c>
      <c r="N21" s="681">
        <f t="shared" si="8"/>
        <v>160.48312000000001</v>
      </c>
      <c r="O21" s="681">
        <f t="shared" si="8"/>
        <v>113.60515600000001</v>
      </c>
      <c r="P21" s="681">
        <f>DSUM(MercadoBase,$B21,P$14:P$15)</f>
        <v>92.911280000000005</v>
      </c>
      <c r="Q21" s="681">
        <f t="shared" si="8"/>
        <v>92.911280000000005</v>
      </c>
      <c r="R21" s="9"/>
      <c r="S21" s="9"/>
      <c r="T21" s="9"/>
      <c r="U21" s="9"/>
      <c r="V21" s="9"/>
    </row>
    <row r="22" spans="1:22">
      <c r="A22" s="1337" t="s">
        <v>1337</v>
      </c>
      <c r="B22" s="1338" t="s">
        <v>1195</v>
      </c>
      <c r="C22" s="1339">
        <f>VLOOKUP($Q$15,Índices!$B:$F,2,FALSE)/VLOOKUP(EDATE(C15,-1),Índices!$B:$F,2,FALSE)</f>
        <v>1.1082167683385875</v>
      </c>
      <c r="D22" s="1339">
        <f>VLOOKUP($Q$15,Índices!$B:$F,2,FALSE)/VLOOKUP(EDATE(D15,-1),Índices!$B:$F,2,FALSE)</f>
        <v>1.1015781797155986</v>
      </c>
      <c r="E22" s="1339">
        <f>VLOOKUP($Q$15,Índices!$B:$F,2,FALSE)/VLOOKUP(EDATE(E15,-1),Índices!$B:$F,2,FALSE)</f>
        <v>1.0930813258985603</v>
      </c>
      <c r="F22" s="1339">
        <f>VLOOKUP($Q$15,Índices!$B:$F,2,FALSE)/VLOOKUP(EDATE(F15,-1),Índices!$B:$F,2,FALSE)</f>
        <v>1.0858745154816776</v>
      </c>
      <c r="G22" s="1339">
        <f>VLOOKUP($Q$15,Índices!$B:$F,2,FALSE)/VLOOKUP(EDATE(G15,-1),Índices!$B:$F,2,FALSE)</f>
        <v>1.0928625709205468</v>
      </c>
      <c r="H22" s="1339">
        <f>VLOOKUP($Q$15,Índices!$B:$F,2,FALSE)/VLOOKUP(EDATE(H15,-1),Índices!$B:$F,2,FALSE)</f>
        <v>1.0858814807891262</v>
      </c>
      <c r="I22" s="1339">
        <f>VLOOKUP($Q$15,Índices!$B:$F,2,FALSE)/VLOOKUP(EDATE(I15,-1),Índices!$B:$F,2,FALSE)</f>
        <v>1.0856825071943401</v>
      </c>
      <c r="J22" s="1339">
        <f>VLOOKUP($Q$15,Índices!$B:$F,2,FALSE)/VLOOKUP(EDATE(J15,-1),Índices!$B:$F,2,FALSE)</f>
        <v>1.0763096418852884</v>
      </c>
      <c r="K22" s="1339">
        <f>VLOOKUP($Q$15,Índices!$B:$F,2,FALSE)/VLOOKUP(EDATE(K15,-1),Índices!$B:$F,2,FALSE)</f>
        <v>1.0570963934847399</v>
      </c>
      <c r="L22" s="1339">
        <f>VLOOKUP($Q$15,Índices!$B:$F,2,FALSE)/VLOOKUP(EDATE(L15,-1),Índices!$B:$F,2,FALSE)</f>
        <v>1.0380694251480009</v>
      </c>
      <c r="M22" s="1339">
        <f>VLOOKUP($Q$15,Índices!$B:$F,2,FALSE)/VLOOKUP(EDATE(M15,-1),Índices!$B:$F,2,FALSE)</f>
        <v>1.0203079339221537</v>
      </c>
      <c r="N22" s="1339">
        <f>VLOOKUP($Q$15,Índices!$B:$F,2,FALSE)/VLOOKUP(EDATE(N15,-1),Índices!$B:$F,2,FALSE)</f>
        <v>1.0061088003233121</v>
      </c>
      <c r="O22" s="1339">
        <f>VLOOKUP($Q$15,Índices!$B:$F,2,FALSE)/VLOOKUP(EDATE(O15,-1),Índices!$B:$F,2,FALSE)</f>
        <v>1.0008877041571751</v>
      </c>
      <c r="P22" s="1339">
        <f>VLOOKUP($Q$15,Índices!$B:$F,2,FALSE)/VLOOKUP(EDATE(P15,-1),Índices!$B:$F,2,FALSE)</f>
        <v>0.99506416252827723</v>
      </c>
      <c r="Q22" s="1339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0" t="s">
        <v>1338</v>
      </c>
      <c r="B23" s="1341"/>
      <c r="C23" s="1342">
        <f t="shared" ref="C23:Q23" si="10">SUM(C16:C21)*C22</f>
        <v>0</v>
      </c>
      <c r="D23" s="1342">
        <f t="shared" si="10"/>
        <v>0</v>
      </c>
      <c r="E23" s="1342">
        <f t="shared" si="10"/>
        <v>0</v>
      </c>
      <c r="F23" s="1343">
        <f>SUM(F16:F21)*F22</f>
        <v>22468.612101421695</v>
      </c>
      <c r="G23" s="1343">
        <f t="shared" si="10"/>
        <v>27674.395912257274</v>
      </c>
      <c r="H23" s="1343">
        <f t="shared" si="10"/>
        <v>31072.641982107551</v>
      </c>
      <c r="I23" s="1343">
        <f t="shared" si="10"/>
        <v>30268.152848851907</v>
      </c>
      <c r="J23" s="1343">
        <f t="shared" si="10"/>
        <v>29463.909928521291</v>
      </c>
      <c r="K23" s="1343">
        <f t="shared" si="10"/>
        <v>24973.060720496203</v>
      </c>
      <c r="L23" s="1343">
        <f t="shared" si="10"/>
        <v>23233.362823815703</v>
      </c>
      <c r="M23" s="1343">
        <f t="shared" si="10"/>
        <v>20126.802777946701</v>
      </c>
      <c r="N23" s="1343">
        <f t="shared" si="10"/>
        <v>18875.713534077888</v>
      </c>
      <c r="O23" s="1343">
        <f t="shared" si="10"/>
        <v>20217.022223011914</v>
      </c>
      <c r="P23" s="1343">
        <f t="shared" si="10"/>
        <v>19016.552055124706</v>
      </c>
      <c r="Q23" s="1343">
        <f t="shared" si="10"/>
        <v>18977.430134581449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6" t="s">
        <v>1340</v>
      </c>
      <c r="B25" s="664"/>
      <c r="C25" s="664"/>
      <c r="D25" s="664"/>
      <c r="E25" s="664"/>
      <c r="F25" s="664"/>
      <c r="G25" s="664"/>
      <c r="H25" s="664"/>
      <c r="I25" s="664"/>
      <c r="J25" s="664"/>
      <c r="K25" s="664"/>
      <c r="L25" s="664"/>
      <c r="M25" s="664"/>
      <c r="N25" s="664"/>
      <c r="O25" s="353"/>
      <c r="P25" s="353"/>
      <c r="Q25" s="353"/>
      <c r="R25" s="9"/>
      <c r="S25" s="9"/>
      <c r="T25" s="9"/>
      <c r="U25" s="9"/>
      <c r="V25" s="9"/>
    </row>
    <row r="26" spans="1:22">
      <c r="A26" s="1841" t="s">
        <v>22</v>
      </c>
      <c r="B26" s="1842" t="s">
        <v>1330</v>
      </c>
      <c r="C26" s="676" t="s">
        <v>875</v>
      </c>
      <c r="D26" s="676" t="s">
        <v>875</v>
      </c>
      <c r="E26" s="676" t="s">
        <v>875</v>
      </c>
      <c r="F26" s="676" t="s">
        <v>875</v>
      </c>
      <c r="G26" s="676" t="s">
        <v>875</v>
      </c>
      <c r="H26" s="676" t="s">
        <v>875</v>
      </c>
      <c r="I26" s="676" t="s">
        <v>875</v>
      </c>
      <c r="J26" s="676" t="s">
        <v>875</v>
      </c>
      <c r="K26" s="676" t="s">
        <v>875</v>
      </c>
      <c r="L26" s="676" t="s">
        <v>875</v>
      </c>
      <c r="M26" s="676" t="s">
        <v>875</v>
      </c>
      <c r="N26" s="676" t="s">
        <v>875</v>
      </c>
      <c r="O26" s="676" t="s">
        <v>875</v>
      </c>
      <c r="P26" s="676" t="s">
        <v>875</v>
      </c>
      <c r="Q26" s="676" t="s">
        <v>875</v>
      </c>
      <c r="R26" s="9"/>
      <c r="S26" s="9"/>
      <c r="T26" s="9"/>
      <c r="U26" s="9"/>
      <c r="V26" s="9"/>
    </row>
    <row r="27" spans="1:22">
      <c r="A27" s="1841"/>
      <c r="B27" s="1842"/>
      <c r="C27" s="677">
        <f t="shared" ref="C27:Q27" si="11">C15</f>
        <v>44348</v>
      </c>
      <c r="D27" s="677">
        <f t="shared" si="11"/>
        <v>44378</v>
      </c>
      <c r="E27" s="677">
        <f t="shared" si="11"/>
        <v>44409</v>
      </c>
      <c r="F27" s="678">
        <f>F15</f>
        <v>44440</v>
      </c>
      <c r="G27" s="678">
        <f t="shared" si="11"/>
        <v>44470</v>
      </c>
      <c r="H27" s="678">
        <f t="shared" si="11"/>
        <v>44501</v>
      </c>
      <c r="I27" s="678">
        <f t="shared" si="11"/>
        <v>44531</v>
      </c>
      <c r="J27" s="678">
        <f t="shared" si="11"/>
        <v>44562</v>
      </c>
      <c r="K27" s="678">
        <f t="shared" si="11"/>
        <v>44593</v>
      </c>
      <c r="L27" s="678">
        <f t="shared" si="11"/>
        <v>44621</v>
      </c>
      <c r="M27" s="678">
        <f t="shared" si="11"/>
        <v>44652</v>
      </c>
      <c r="N27" s="678">
        <f t="shared" si="11"/>
        <v>44682</v>
      </c>
      <c r="O27" s="678">
        <f t="shared" si="11"/>
        <v>44713</v>
      </c>
      <c r="P27" s="678">
        <f t="shared" si="11"/>
        <v>44743</v>
      </c>
      <c r="Q27" s="678">
        <f t="shared" si="11"/>
        <v>44774</v>
      </c>
      <c r="S27" s="9"/>
      <c r="T27" s="9"/>
      <c r="U27" s="9"/>
      <c r="V27" s="9"/>
    </row>
    <row r="28" spans="1:22">
      <c r="A28" s="679" t="s">
        <v>1331</v>
      </c>
      <c r="B28" s="680" t="s">
        <v>698</v>
      </c>
      <c r="C28" s="681">
        <f>IF(C40=0,0,VLOOKUP($B28,BD!$B$61:$C$66,2,FALSE))</f>
        <v>0</v>
      </c>
      <c r="D28" s="681">
        <f>IF(D40=0,0,VLOOKUP($B28,BD!$B$61:$C$66,2,FALSE))</f>
        <v>0</v>
      </c>
      <c r="E28" s="681">
        <f>IF(E40=0,0,VLOOKUP($B28,BD!$B$61:$C$66,2,FALSE))</f>
        <v>0</v>
      </c>
      <c r="F28" s="681">
        <f>VLOOKUP($B28,BD!$B$61:$C$66,2,FALSE)</f>
        <v>0</v>
      </c>
      <c r="G28" s="681">
        <f>VLOOKUP($B28,BD!$B$61:$C$66,2,FALSE)</f>
        <v>0</v>
      </c>
      <c r="H28" s="681">
        <f>VLOOKUP($B28,BD!$B$61:$C$66,2,FALSE)</f>
        <v>0</v>
      </c>
      <c r="I28" s="681">
        <f>VLOOKUP($B28,BD!$B$61:$C$66,2,FALSE)</f>
        <v>0</v>
      </c>
      <c r="J28" s="681">
        <f>VLOOKUP($B28,BD!$B$61:$C$66,2,FALSE)</f>
        <v>0</v>
      </c>
      <c r="K28" s="681">
        <f>VLOOKUP($B28,BD!$B$61:$C$66,2,FALSE)</f>
        <v>0</v>
      </c>
      <c r="L28" s="681">
        <f>VLOOKUP($B28,BD!$B$61:$C$66,2,FALSE)</f>
        <v>0</v>
      </c>
      <c r="M28" s="681">
        <f>VLOOKUP($B28,BD!$B$61:$C$66,2,FALSE)</f>
        <v>0</v>
      </c>
      <c r="N28" s="681">
        <f>VLOOKUP($B28,BD!$B$61:$C$66,2,FALSE)</f>
        <v>0</v>
      </c>
      <c r="O28" s="681">
        <f>VLOOKUP($B28,BD!$B$61:$C$66,2,FALSE)</f>
        <v>0</v>
      </c>
      <c r="P28" s="681">
        <f>VLOOKUP($B28,BD!$B$61:$C$66,2,FALSE)</f>
        <v>0</v>
      </c>
      <c r="Q28" s="681">
        <f>VLOOKUP($B28,BD!$B$61:$C$66,2,FALSE)</f>
        <v>0</v>
      </c>
      <c r="S28" s="9"/>
      <c r="T28" s="9"/>
      <c r="U28" s="9"/>
      <c r="V28" s="9"/>
    </row>
    <row r="29" spans="1:22">
      <c r="A29" s="679" t="s">
        <v>1332</v>
      </c>
      <c r="B29" s="680" t="s">
        <v>700</v>
      </c>
      <c r="C29" s="681">
        <f>IF(C41=0,0,VLOOKUP($B29,BD!$B$61:$C$66,2,FALSE))</f>
        <v>0</v>
      </c>
      <c r="D29" s="681">
        <f>IF(D41=0,0,VLOOKUP($B29,BD!$B$61:$C$66,2,FALSE))</f>
        <v>0</v>
      </c>
      <c r="E29" s="681">
        <f>IF(E41=0,0,VLOOKUP($B29,BD!$B$61:$C$66,2,FALSE))</f>
        <v>0</v>
      </c>
      <c r="F29" s="681">
        <f>VLOOKUP($B29,BD!$B$61:$C$66,2,FALSE)</f>
        <v>0</v>
      </c>
      <c r="G29" s="681">
        <f>VLOOKUP($B29,BD!$B$61:$C$66,2,FALSE)</f>
        <v>0</v>
      </c>
      <c r="H29" s="681">
        <f>VLOOKUP($B29,BD!$B$61:$C$66,2,FALSE)</f>
        <v>0</v>
      </c>
      <c r="I29" s="681">
        <f>VLOOKUP($B29,BD!$B$61:$C$66,2,FALSE)</f>
        <v>0</v>
      </c>
      <c r="J29" s="681">
        <f>VLOOKUP($B29,BD!$B$61:$C$66,2,FALSE)</f>
        <v>0</v>
      </c>
      <c r="K29" s="681">
        <f>VLOOKUP($B29,BD!$B$61:$C$66,2,FALSE)</f>
        <v>0</v>
      </c>
      <c r="L29" s="681">
        <f>VLOOKUP($B29,BD!$B$61:$C$66,2,FALSE)</f>
        <v>0</v>
      </c>
      <c r="M29" s="681">
        <f>VLOOKUP($B29,BD!$B$61:$C$66,2,FALSE)</f>
        <v>0</v>
      </c>
      <c r="N29" s="681">
        <f>VLOOKUP($B29,BD!$B$61:$C$66,2,FALSE)</f>
        <v>0</v>
      </c>
      <c r="O29" s="681">
        <f>VLOOKUP($B29,BD!$B$61:$C$66,2,FALSE)</f>
        <v>0</v>
      </c>
      <c r="P29" s="681">
        <f>VLOOKUP($B29,BD!$B$61:$C$66,2,FALSE)</f>
        <v>0</v>
      </c>
      <c r="Q29" s="681">
        <f>VLOOKUP($B29,BD!$B$61:$C$66,2,FALSE)</f>
        <v>0</v>
      </c>
      <c r="S29" s="9"/>
      <c r="T29" s="9"/>
      <c r="U29" s="9"/>
      <c r="V29" s="9"/>
    </row>
    <row r="30" spans="1:22">
      <c r="A30" s="679" t="s">
        <v>1333</v>
      </c>
      <c r="B30" s="680" t="s">
        <v>702</v>
      </c>
      <c r="C30" s="681">
        <f>IF(C42=0,0,VLOOKUP($B30,BD!$B$61:$C$66,2,FALSE))</f>
        <v>0</v>
      </c>
      <c r="D30" s="681">
        <f>IF(D42=0,0,VLOOKUP($B30,BD!$B$61:$C$66,2,FALSE))</f>
        <v>0</v>
      </c>
      <c r="E30" s="681">
        <f>IF(E42=0,0,VLOOKUP($B30,BD!$B$61:$C$66,2,FALSE))</f>
        <v>0</v>
      </c>
      <c r="F30" s="681">
        <f>VLOOKUP($B30,BD!$B$61:$C$66,2,FALSE)</f>
        <v>0</v>
      </c>
      <c r="G30" s="681">
        <f>VLOOKUP($B30,BD!$B$61:$C$66,2,FALSE)</f>
        <v>0</v>
      </c>
      <c r="H30" s="681">
        <f>VLOOKUP($B30,BD!$B$61:$C$66,2,FALSE)</f>
        <v>0</v>
      </c>
      <c r="I30" s="681">
        <f>VLOOKUP($B30,BD!$B$61:$C$66,2,FALSE)</f>
        <v>0</v>
      </c>
      <c r="J30" s="681">
        <f>VLOOKUP($B30,BD!$B$61:$C$66,2,FALSE)</f>
        <v>0</v>
      </c>
      <c r="K30" s="681">
        <f>VLOOKUP($B30,BD!$B$61:$C$66,2,FALSE)</f>
        <v>0</v>
      </c>
      <c r="L30" s="681">
        <f>VLOOKUP($B30,BD!$B$61:$C$66,2,FALSE)</f>
        <v>0</v>
      </c>
      <c r="M30" s="681">
        <f>VLOOKUP($B30,BD!$B$61:$C$66,2,FALSE)</f>
        <v>0</v>
      </c>
      <c r="N30" s="681">
        <f>VLOOKUP($B30,BD!$B$61:$C$66,2,FALSE)</f>
        <v>0</v>
      </c>
      <c r="O30" s="681">
        <f>VLOOKUP($B30,BD!$B$61:$C$66,2,FALSE)</f>
        <v>0</v>
      </c>
      <c r="P30" s="681">
        <f>VLOOKUP($B30,BD!$B$61:$C$66,2,FALSE)</f>
        <v>0</v>
      </c>
      <c r="Q30" s="681">
        <f>VLOOKUP($B30,BD!$B$61:$C$66,2,FALSE)</f>
        <v>0</v>
      </c>
      <c r="S30" s="9"/>
      <c r="T30" s="9"/>
      <c r="U30" s="9"/>
      <c r="V30" s="9"/>
    </row>
    <row r="31" spans="1:22">
      <c r="A31" s="679" t="s">
        <v>1334</v>
      </c>
      <c r="B31" s="680" t="s">
        <v>703</v>
      </c>
      <c r="C31" s="681">
        <f>IF(C43=0,0,VLOOKUP($B31,BD!$B$61:$C$66,2,FALSE))</f>
        <v>0</v>
      </c>
      <c r="D31" s="681">
        <f>IF(D43=0,0,VLOOKUP($B31,BD!$B$61:$C$66,2,FALSE))</f>
        <v>0</v>
      </c>
      <c r="E31" s="681">
        <f>IF(E43=0,0,VLOOKUP($B31,BD!$B$61:$C$66,2,FALSE))</f>
        <v>0</v>
      </c>
      <c r="F31" s="681">
        <f>VLOOKUP($B31,BD!$B$61:$C$66,2,FALSE)</f>
        <v>744.53</v>
      </c>
      <c r="G31" s="681">
        <f>VLOOKUP($B31,BD!$B$61:$C$66,2,FALSE)</f>
        <v>744.53</v>
      </c>
      <c r="H31" s="681">
        <f>VLOOKUP($B31,BD!$B$61:$C$66,2,FALSE)</f>
        <v>744.53</v>
      </c>
      <c r="I31" s="681">
        <f>VLOOKUP($B31,BD!$B$61:$C$66,2,FALSE)</f>
        <v>744.53</v>
      </c>
      <c r="J31" s="681">
        <f>VLOOKUP($B31,BD!$B$61:$C$66,2,FALSE)</f>
        <v>744.53</v>
      </c>
      <c r="K31" s="681">
        <f>VLOOKUP($B31,BD!$B$61:$C$66,2,FALSE)</f>
        <v>744.53</v>
      </c>
      <c r="L31" s="681">
        <f>VLOOKUP($B31,BD!$B$61:$C$66,2,FALSE)</f>
        <v>744.53</v>
      </c>
      <c r="M31" s="681">
        <f>VLOOKUP($B31,BD!$B$61:$C$66,2,FALSE)</f>
        <v>744.53</v>
      </c>
      <c r="N31" s="681">
        <f>VLOOKUP($B31,BD!$B$61:$C$66,2,FALSE)</f>
        <v>744.53</v>
      </c>
      <c r="O31" s="681">
        <f>VLOOKUP($B31,BD!$B$61:$C$66,2,FALSE)</f>
        <v>744.53</v>
      </c>
      <c r="P31" s="681">
        <f>VLOOKUP($B31,BD!$B$61:$C$66,2,FALSE)</f>
        <v>744.53</v>
      </c>
      <c r="Q31" s="681">
        <f>VLOOKUP($B31,BD!$B$61:$C$66,2,FALSE)</f>
        <v>744.53</v>
      </c>
      <c r="S31" s="9"/>
      <c r="T31" s="9"/>
      <c r="U31" s="9"/>
      <c r="V31" s="9"/>
    </row>
    <row r="32" spans="1:22">
      <c r="A32" s="679" t="s">
        <v>1335</v>
      </c>
      <c r="B32" s="680" t="s">
        <v>706</v>
      </c>
      <c r="C32" s="681">
        <f>IF(C44=0,0,VLOOKUP($B32,BD!$B$61:$C$66,2,FALSE))</f>
        <v>0</v>
      </c>
      <c r="D32" s="681">
        <f>IF(D44=0,0,VLOOKUP($B32,BD!$B$61:$C$66,2,FALSE))</f>
        <v>0</v>
      </c>
      <c r="E32" s="681">
        <f>IF(E44=0,0,VLOOKUP($B32,BD!$B$61:$C$66,2,FALSE))</f>
        <v>0</v>
      </c>
      <c r="F32" s="681">
        <f>VLOOKUP($B32,BD!$B$61:$C$66,2,FALSE)</f>
        <v>23079.17</v>
      </c>
      <c r="G32" s="681">
        <f>VLOOKUP($B32,BD!$B$61:$C$66,2,FALSE)</f>
        <v>23079.17</v>
      </c>
      <c r="H32" s="681">
        <f>VLOOKUP($B32,BD!$B$61:$C$66,2,FALSE)</f>
        <v>23079.17</v>
      </c>
      <c r="I32" s="681">
        <f>VLOOKUP($B32,BD!$B$61:$C$66,2,FALSE)</f>
        <v>23079.17</v>
      </c>
      <c r="J32" s="681">
        <f>VLOOKUP($B32,BD!$B$61:$C$66,2,FALSE)</f>
        <v>23079.17</v>
      </c>
      <c r="K32" s="681">
        <f>VLOOKUP($B32,BD!$B$61:$C$66,2,FALSE)</f>
        <v>23079.17</v>
      </c>
      <c r="L32" s="681">
        <f>VLOOKUP($B32,BD!$B$61:$C$66,2,FALSE)</f>
        <v>23079.17</v>
      </c>
      <c r="M32" s="681">
        <f>VLOOKUP($B32,BD!$B$61:$C$66,2,FALSE)</f>
        <v>23079.17</v>
      </c>
      <c r="N32" s="681">
        <f>VLOOKUP($B32,BD!$B$61:$C$66,2,FALSE)</f>
        <v>23079.17</v>
      </c>
      <c r="O32" s="681">
        <f>VLOOKUP($B32,BD!$B$61:$C$66,2,FALSE)</f>
        <v>23079.17</v>
      </c>
      <c r="P32" s="681">
        <f>VLOOKUP($B32,BD!$B$61:$C$66,2,FALSE)</f>
        <v>23079.17</v>
      </c>
      <c r="Q32" s="681">
        <f>VLOOKUP($B32,BD!$B$61:$C$66,2,FALSE)</f>
        <v>23079.17</v>
      </c>
      <c r="S32" s="9"/>
      <c r="T32" s="9"/>
      <c r="U32" s="9"/>
      <c r="V32" s="9"/>
    </row>
    <row r="33" spans="1:22">
      <c r="A33" s="682" t="s">
        <v>1336</v>
      </c>
      <c r="B33" s="680" t="s">
        <v>708</v>
      </c>
      <c r="C33" s="681">
        <f>IF(C45=0,0,VLOOKUP($B33,BD!$B$61:$C$66,2,FALSE))</f>
        <v>0</v>
      </c>
      <c r="D33" s="681">
        <f>IF(D45=0,0,VLOOKUP($B33,BD!$B$61:$C$66,2,FALSE))</f>
        <v>0</v>
      </c>
      <c r="E33" s="681">
        <f>IF(E45=0,0,VLOOKUP($B33,BD!$B$61:$C$66,2,FALSE))</f>
        <v>0</v>
      </c>
      <c r="F33" s="681">
        <f>VLOOKUP($B33,BD!$B$61:$C$66,2,FALSE)</f>
        <v>543.65</v>
      </c>
      <c r="G33" s="681">
        <f>VLOOKUP($B33,BD!$B$61:$C$66,2,FALSE)</f>
        <v>543.65</v>
      </c>
      <c r="H33" s="681">
        <f>VLOOKUP($B33,BD!$B$61:$C$66,2,FALSE)</f>
        <v>543.65</v>
      </c>
      <c r="I33" s="681">
        <f>VLOOKUP($B33,BD!$B$61:$C$66,2,FALSE)</f>
        <v>543.65</v>
      </c>
      <c r="J33" s="681">
        <f>VLOOKUP($B33,BD!$B$61:$C$66,2,FALSE)</f>
        <v>543.65</v>
      </c>
      <c r="K33" s="681">
        <f>VLOOKUP($B33,BD!$B$61:$C$66,2,FALSE)</f>
        <v>543.65</v>
      </c>
      <c r="L33" s="681">
        <f>VLOOKUP($B33,BD!$B$61:$C$66,2,FALSE)</f>
        <v>543.65</v>
      </c>
      <c r="M33" s="681">
        <f>VLOOKUP($B33,BD!$B$61:$C$66,2,FALSE)</f>
        <v>543.65</v>
      </c>
      <c r="N33" s="681">
        <f>VLOOKUP($B33,BD!$B$61:$C$66,2,FALSE)</f>
        <v>543.65</v>
      </c>
      <c r="O33" s="681">
        <f>VLOOKUP($B33,BD!$B$61:$C$66,2,FALSE)</f>
        <v>543.65</v>
      </c>
      <c r="P33" s="681">
        <f>VLOOKUP($B33,BD!$B$61:$C$66,2,FALSE)</f>
        <v>543.65</v>
      </c>
      <c r="Q33" s="681">
        <f>VLOOKUP($B33,BD!$B$61:$C$66,2,FALSE)</f>
        <v>543.65</v>
      </c>
      <c r="S33" s="9"/>
      <c r="T33" s="9"/>
      <c r="U33" s="9"/>
      <c r="V33" s="9"/>
    </row>
    <row r="34" spans="1:22">
      <c r="A34" s="1337" t="s">
        <v>1337</v>
      </c>
      <c r="B34" s="1338" t="s">
        <v>1195</v>
      </c>
      <c r="C34" s="1344">
        <f t="shared" ref="C34:Q34" si="12">C22</f>
        <v>1.1082167683385875</v>
      </c>
      <c r="D34" s="1344">
        <f t="shared" si="12"/>
        <v>1.1015781797155986</v>
      </c>
      <c r="E34" s="1344">
        <f t="shared" si="12"/>
        <v>1.0930813258985603</v>
      </c>
      <c r="F34" s="1339">
        <f t="shared" si="12"/>
        <v>1.0858745154816776</v>
      </c>
      <c r="G34" s="1339">
        <f t="shared" si="12"/>
        <v>1.0928625709205468</v>
      </c>
      <c r="H34" s="1339">
        <f t="shared" si="12"/>
        <v>1.0858814807891262</v>
      </c>
      <c r="I34" s="1339">
        <f t="shared" si="12"/>
        <v>1.0856825071943401</v>
      </c>
      <c r="J34" s="1339">
        <f t="shared" si="12"/>
        <v>1.0763096418852884</v>
      </c>
      <c r="K34" s="1339">
        <f t="shared" si="12"/>
        <v>1.0570963934847399</v>
      </c>
      <c r="L34" s="1339">
        <f t="shared" si="12"/>
        <v>1.0380694251480009</v>
      </c>
      <c r="M34" s="1339">
        <f t="shared" si="12"/>
        <v>1.0203079339221537</v>
      </c>
      <c r="N34" s="1339">
        <f t="shared" si="12"/>
        <v>1.0061088003233121</v>
      </c>
      <c r="O34" s="1339">
        <f t="shared" si="12"/>
        <v>1.0008877041571751</v>
      </c>
      <c r="P34" s="1339">
        <f t="shared" si="12"/>
        <v>0.99506416252827723</v>
      </c>
      <c r="Q34" s="1339">
        <f t="shared" si="12"/>
        <v>0.99301706056210437</v>
      </c>
      <c r="S34" s="9"/>
      <c r="T34" s="9"/>
      <c r="U34" s="9"/>
      <c r="V34" s="9"/>
    </row>
    <row r="35" spans="1:22">
      <c r="A35" s="1340" t="s">
        <v>1338</v>
      </c>
      <c r="B35" s="1341"/>
      <c r="C35" s="1342">
        <f>SUM(C28:C33)*C34</f>
        <v>0</v>
      </c>
      <c r="D35" s="1342">
        <f t="shared" ref="D35:Q35" si="13">SUM(D28:D33)*D34</f>
        <v>0</v>
      </c>
      <c r="E35" s="1342">
        <f t="shared" si="13"/>
        <v>0</v>
      </c>
      <c r="F35" s="1343">
        <f t="shared" si="13"/>
        <v>26459.884374822454</v>
      </c>
      <c r="G35" s="1343">
        <f t="shared" si="13"/>
        <v>26630.164767520786</v>
      </c>
      <c r="H35" s="1343">
        <f t="shared" si="13"/>
        <v>26460.054100906913</v>
      </c>
      <c r="I35" s="1343">
        <f t="shared" si="13"/>
        <v>26455.205641682001</v>
      </c>
      <c r="J35" s="1343">
        <f t="shared" si="13"/>
        <v>26226.81375219348</v>
      </c>
      <c r="K35" s="1343">
        <f t="shared" si="13"/>
        <v>25758.637803780377</v>
      </c>
      <c r="L35" s="1343">
        <f t="shared" si="13"/>
        <v>25295.001006880138</v>
      </c>
      <c r="M35" s="1343">
        <f t="shared" si="13"/>
        <v>24862.20053365799</v>
      </c>
      <c r="N35" s="1343">
        <f t="shared" si="13"/>
        <v>24516.205275558255</v>
      </c>
      <c r="O35" s="1343">
        <f t="shared" si="13"/>
        <v>24388.980997894338</v>
      </c>
      <c r="P35" s="1343">
        <f t="shared" si="13"/>
        <v>24247.076720783414</v>
      </c>
      <c r="Q35" s="1343">
        <f t="shared" si="13"/>
        <v>24197.194270687993</v>
      </c>
      <c r="R35" s="9"/>
      <c r="S35" s="9"/>
      <c r="T35" s="9"/>
      <c r="U35" s="9"/>
      <c r="V35" s="9"/>
    </row>
    <row r="36" spans="1:22">
      <c r="A36" s="1345"/>
      <c r="B36" s="1327"/>
      <c r="C36" s="1345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6" t="s">
        <v>1341</v>
      </c>
      <c r="B37" s="680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1" t="s">
        <v>22</v>
      </c>
      <c r="B38" s="1842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1"/>
      <c r="B39" s="1843"/>
      <c r="C39" s="1346">
        <f>C27</f>
        <v>44348</v>
      </c>
      <c r="D39" s="1346">
        <f t="shared" ref="D39:E39" si="14">D27</f>
        <v>44378</v>
      </c>
      <c r="E39" s="1346">
        <f t="shared" si="14"/>
        <v>44409</v>
      </c>
      <c r="G39" s="837"/>
      <c r="H39" s="837"/>
      <c r="I39" s="837"/>
      <c r="J39" s="837"/>
      <c r="K39" s="837"/>
      <c r="L39" s="840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9" t="s">
        <v>1331</v>
      </c>
      <c r="B40" s="683"/>
      <c r="C40" s="684"/>
      <c r="D40" s="685"/>
      <c r="E40" s="685"/>
      <c r="F40" s="65"/>
      <c r="G40" s="841"/>
      <c r="H40" s="681"/>
      <c r="I40" s="681"/>
      <c r="J40" s="681"/>
      <c r="K40" s="681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9" t="s">
        <v>1332</v>
      </c>
      <c r="B41" s="683"/>
      <c r="C41" s="684"/>
      <c r="D41" s="685"/>
      <c r="E41" s="685"/>
      <c r="F41" s="65"/>
      <c r="G41" s="841"/>
      <c r="H41" s="681"/>
      <c r="I41" s="681"/>
      <c r="J41" s="681"/>
      <c r="K41" s="681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9" t="s">
        <v>1333</v>
      </c>
      <c r="B42" s="683"/>
      <c r="C42" s="684"/>
      <c r="D42" s="685"/>
      <c r="E42" s="685"/>
      <c r="F42" s="65"/>
      <c r="G42" s="841"/>
      <c r="H42" s="681"/>
      <c r="I42" s="681"/>
      <c r="J42" s="681"/>
      <c r="K42" s="681"/>
      <c r="L42" s="842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9" t="s">
        <v>1334</v>
      </c>
      <c r="B43" s="683"/>
      <c r="C43" s="684"/>
      <c r="D43" s="685"/>
      <c r="E43" s="685"/>
      <c r="F43" s="65"/>
      <c r="G43" s="841"/>
      <c r="H43" s="681"/>
      <c r="I43" s="681"/>
      <c r="J43" s="681"/>
      <c r="K43" s="681"/>
      <c r="L43" s="842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9" t="s">
        <v>1335</v>
      </c>
      <c r="B44" s="683"/>
      <c r="C44" s="684"/>
      <c r="D44" s="685"/>
      <c r="E44" s="685"/>
      <c r="F44" s="65"/>
      <c r="G44" s="841"/>
      <c r="H44" s="681"/>
      <c r="I44" s="681"/>
      <c r="J44" s="681"/>
      <c r="K44" s="681"/>
      <c r="L44" s="842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2" t="s">
        <v>1336</v>
      </c>
      <c r="B45" s="683"/>
      <c r="C45" s="686"/>
      <c r="D45" s="839"/>
      <c r="E45" s="839"/>
      <c r="F45" s="65"/>
      <c r="G45" s="841"/>
      <c r="H45" s="681"/>
      <c r="I45" s="681"/>
      <c r="J45" s="681"/>
      <c r="K45" s="681"/>
      <c r="L45" s="842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3"/>
      <c r="L46" s="844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7" t="s">
        <v>8</v>
      </c>
      <c r="B49" s="1348"/>
      <c r="C49" s="1347"/>
      <c r="D49" s="9"/>
    </row>
    <row r="50" spans="1:10">
      <c r="A50" s="1348" t="s">
        <v>2</v>
      </c>
      <c r="B50" s="1348"/>
      <c r="C50" s="1324"/>
    </row>
    <row r="51" spans="1:10">
      <c r="A51" s="1348" t="s">
        <v>3</v>
      </c>
      <c r="B51" s="1348"/>
      <c r="C51" s="1324"/>
      <c r="D51" s="232"/>
    </row>
    <row r="52" spans="1:10">
      <c r="A52" s="1348" t="s">
        <v>4</v>
      </c>
      <c r="B52" s="1348"/>
      <c r="C52" s="1324"/>
      <c r="D52" s="232"/>
    </row>
    <row r="53" spans="1:10">
      <c r="A53" s="1348" t="s">
        <v>5</v>
      </c>
      <c r="B53" s="1348"/>
      <c r="C53" s="1324"/>
      <c r="D53" s="232"/>
    </row>
    <row r="54" spans="1:10">
      <c r="A54" s="1348" t="s">
        <v>6</v>
      </c>
      <c r="B54" s="1348"/>
      <c r="C54" s="1324"/>
      <c r="D54" s="232"/>
      <c r="H54" s="1349"/>
      <c r="I54" s="1350"/>
      <c r="J54" s="1351"/>
    </row>
    <row r="55" spans="1:10">
      <c r="A55" s="1348" t="s">
        <v>7</v>
      </c>
      <c r="B55" s="1348"/>
      <c r="C55" s="1324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D1" zoomScale="85" zoomScaleNormal="85" workbookViewId="0">
      <pane ySplit="3" topLeftCell="A25" activePane="bottomLeft" state="frozen"/>
      <selection activeCell="D36" sqref="D36"/>
      <selection pane="bottomLeft" activeCell="L49" sqref="L49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1" t="s">
        <v>1342</v>
      </c>
      <c r="C1" s="258"/>
      <c r="D1" s="258"/>
      <c r="E1" s="204"/>
      <c r="F1" s="1352"/>
      <c r="G1" s="1130" t="s">
        <v>874</v>
      </c>
      <c r="H1" s="1131">
        <f ca="1">LnkTXTIRTEco</f>
        <v>0.1195</v>
      </c>
    </row>
    <row r="2" spans="2:26" ht="14.25">
      <c r="B2" s="136" t="str">
        <f>CAPA!C9</f>
        <v>Cermoful</v>
      </c>
      <c r="C2" s="1353"/>
      <c r="D2" s="1353"/>
      <c r="E2" s="1353"/>
      <c r="F2" s="1354"/>
      <c r="G2" s="120" t="s">
        <v>878</v>
      </c>
      <c r="H2" s="121">
        <f ca="1">LnkTXTIRTTotal</f>
        <v>7.6999999999999999E-2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4"/>
      <c r="P4" s="1844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5" t="s">
        <v>1343</v>
      </c>
      <c r="M6" s="1356"/>
      <c r="O6" s="267"/>
      <c r="P6" s="287"/>
      <c r="Z6" s="68"/>
    </row>
    <row r="7" spans="2:26" ht="14.25">
      <c r="C7" s="71"/>
      <c r="L7" s="212" t="s">
        <v>1195</v>
      </c>
      <c r="M7" s="213">
        <v>1</v>
      </c>
      <c r="O7" s="267"/>
      <c r="P7" s="287"/>
      <c r="Z7" s="68"/>
    </row>
    <row r="8" spans="2:26" ht="14.25">
      <c r="L8" s="212" t="s">
        <v>773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47" t="s">
        <v>1348</v>
      </c>
      <c r="C11" s="1848"/>
      <c r="D11" s="1357" t="s">
        <v>1349</v>
      </c>
      <c r="E11" s="1358" t="s">
        <v>1350</v>
      </c>
      <c r="F11" s="1359" t="s">
        <v>1351</v>
      </c>
      <c r="G11" s="1358"/>
      <c r="H11" s="1358"/>
      <c r="I11" s="1358"/>
      <c r="J11" s="1358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53" t="s">
        <v>1353</v>
      </c>
      <c r="C12" s="1848"/>
      <c r="D12" s="1360" t="s">
        <v>1346</v>
      </c>
      <c r="E12" s="1360" t="s">
        <v>773</v>
      </c>
      <c r="F12" s="1360" t="s">
        <v>773</v>
      </c>
      <c r="G12" s="1360" t="s">
        <v>773</v>
      </c>
      <c r="H12" s="1360" t="s">
        <v>773</v>
      </c>
      <c r="I12" s="1360" t="s">
        <v>773</v>
      </c>
      <c r="J12" s="1360" t="s">
        <v>773</v>
      </c>
      <c r="L12" s="1361" t="s">
        <v>1354</v>
      </c>
      <c r="M12" s="1362">
        <v>41275</v>
      </c>
      <c r="O12" s="267"/>
      <c r="P12" s="287"/>
      <c r="Z12" s="68"/>
    </row>
    <row r="13" spans="2:26" ht="14.25">
      <c r="B13" s="1854" t="s">
        <v>1355</v>
      </c>
      <c r="C13" s="1855"/>
      <c r="D13" s="1363">
        <v>43617</v>
      </c>
      <c r="E13" s="1363">
        <v>43617</v>
      </c>
      <c r="F13" s="1363">
        <v>43617</v>
      </c>
      <c r="G13" s="1363">
        <f t="shared" ref="G13:J14" si="0">F13</f>
        <v>43617</v>
      </c>
      <c r="H13" s="1363">
        <f t="shared" si="0"/>
        <v>43617</v>
      </c>
      <c r="I13" s="1363">
        <f t="shared" si="0"/>
        <v>43617</v>
      </c>
      <c r="J13" s="1363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45" t="s">
        <v>1356</v>
      </c>
      <c r="C14" s="1846"/>
      <c r="D14" s="1363">
        <v>42887</v>
      </c>
      <c r="E14" s="1363">
        <v>43252</v>
      </c>
      <c r="F14" s="1363">
        <v>43252</v>
      </c>
      <c r="G14" s="1363">
        <f t="shared" si="0"/>
        <v>43252</v>
      </c>
      <c r="H14" s="1363">
        <f t="shared" si="0"/>
        <v>43252</v>
      </c>
      <c r="I14" s="1363">
        <f t="shared" si="0"/>
        <v>43252</v>
      </c>
      <c r="J14" s="1363">
        <f t="shared" si="0"/>
        <v>43252</v>
      </c>
      <c r="L14" s="1364"/>
      <c r="M14" s="1365">
        <v>41334</v>
      </c>
      <c r="O14" s="267"/>
      <c r="P14" s="287"/>
      <c r="Z14" s="68"/>
    </row>
    <row r="15" spans="2:26" ht="14.25">
      <c r="B15" s="1845" t="s">
        <v>1357</v>
      </c>
      <c r="C15" s="1846"/>
      <c r="D15" s="1366">
        <f>VLOOKUP(D13,Índices!$B$6:$F$500,VLOOKUP(D12,$L$7:$M$9,2,FALSE)+1,FALSE)/VLOOKUP(D14,Índices!$B$6:$F$500,VLOOKUP(D12,$L$7:$M$9,2,FALSE)+1,FALSE)</f>
        <v>1.1414978440075982</v>
      </c>
      <c r="E15" s="1366">
        <f>VLOOKUP(E13,Índices!$B$6:$F$500,VLOOKUP(E12,$L$7:$M$9,2,FALSE)+1,FALSE)/VLOOKUP(E14,Índices!$B$6:$F$500,VLOOKUP(E12,$L$7:$M$9,2,FALSE)+1,FALSE)</f>
        <v>1.0336626715248016</v>
      </c>
      <c r="F15" s="1366">
        <f>VLOOKUP(F13,Índices!$B$6:$F$500,VLOOKUP(F12,$L$7:$M$9,2,FALSE)+1,FALSE)/VLOOKUP(F14,Índices!$B$6:$F$500,VLOOKUP(F12,$L$7:$M$9,2,FALSE)+1,FALSE)</f>
        <v>1.0336626715248016</v>
      </c>
      <c r="G15" s="1366">
        <f>VLOOKUP(G13,Índices!$B$6:$F$500,VLOOKUP(G12,$L$7:$M$9,2,FALSE)+1,FALSE)/VLOOKUP(G14,Índices!$B$6:$F$500,VLOOKUP(G12,$L$7:$M$9,2,FALSE)+1,FALSE)</f>
        <v>1.0336626715248016</v>
      </c>
      <c r="H15" s="1366">
        <f>VLOOKUP(H13,Índices!$B$6:$F$500,VLOOKUP(H12,$L$7:$M$9,2,FALSE)+1,FALSE)/VLOOKUP(H14,Índices!$B$6:$F$500,VLOOKUP(H12,$L$7:$M$9,2,FALSE)+1,FALSE)</f>
        <v>1.0336626715248016</v>
      </c>
      <c r="I15" s="1366">
        <f>VLOOKUP(I13,Índices!$B$6:$F$500,VLOOKUP(I12,$L$7:$M$9,2,FALSE)+1,FALSE)/VLOOKUP(I14,Índices!$B$6:$F$500,VLOOKUP(I12,$L$7:$M$9,2,FALSE)+1,FALSE)</f>
        <v>1.0336626715248016</v>
      </c>
      <c r="J15" s="1366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45" t="s">
        <v>1358</v>
      </c>
      <c r="C16" s="1846"/>
      <c r="D16" s="1367"/>
      <c r="E16" s="1367"/>
      <c r="F16" s="1367"/>
      <c r="G16" s="1367"/>
      <c r="H16" s="1367"/>
      <c r="I16" s="1367"/>
      <c r="J16" s="1367"/>
      <c r="O16" s="267"/>
      <c r="P16" s="287"/>
      <c r="Z16" s="68"/>
    </row>
    <row r="17" spans="1:26" ht="14.25">
      <c r="B17" s="1851" t="s">
        <v>1359</v>
      </c>
      <c r="C17" s="1852"/>
      <c r="D17" s="1368">
        <f t="shared" ref="D17:E17" si="1">D16*D15</f>
        <v>0</v>
      </c>
      <c r="E17" s="1368">
        <f t="shared" si="1"/>
        <v>0</v>
      </c>
      <c r="F17" s="1368">
        <f>F16*F15</f>
        <v>0</v>
      </c>
      <c r="G17" s="1368">
        <f>G16*G15</f>
        <v>0</v>
      </c>
      <c r="H17" s="1368">
        <f>H16*H15</f>
        <v>0</v>
      </c>
      <c r="I17" s="1368">
        <f>I16*I15</f>
        <v>0</v>
      </c>
      <c r="J17" s="1368">
        <f>J16*J15</f>
        <v>0</v>
      </c>
      <c r="O17" s="267"/>
      <c r="P17" s="92"/>
      <c r="Z17" s="68"/>
    </row>
    <row r="18" spans="1:26" ht="14.25">
      <c r="E18" s="290" t="s">
        <v>1360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9" t="s">
        <v>1348</v>
      </c>
      <c r="C22" s="1849" t="s">
        <v>2282</v>
      </c>
      <c r="D22" s="1850"/>
      <c r="E22" s="1862" t="s">
        <v>1364</v>
      </c>
      <c r="F22" s="1863"/>
      <c r="G22" s="1862" t="str">
        <f>Financeiros!C25</f>
        <v>Ajuste CUST RB Fronteira + PIS Cofins RB Fronteira</v>
      </c>
      <c r="H22" s="1863"/>
      <c r="I22" s="1866" t="s">
        <v>1177</v>
      </c>
      <c r="J22" s="1867"/>
      <c r="K22" s="1856" t="s">
        <v>1365</v>
      </c>
      <c r="L22" s="1857"/>
      <c r="M22" s="1858" t="s">
        <v>2159</v>
      </c>
      <c r="N22" s="1859"/>
      <c r="O22" s="1860" t="s">
        <v>1366</v>
      </c>
      <c r="P22" s="1861"/>
      <c r="Q22" s="1860" t="s">
        <v>193</v>
      </c>
      <c r="R22" s="1861"/>
      <c r="S22" s="1860" t="s">
        <v>2044</v>
      </c>
      <c r="T22" s="1861"/>
      <c r="U22" s="1860" t="s">
        <v>2045</v>
      </c>
      <c r="V22" s="1861"/>
      <c r="Z22" s="68"/>
    </row>
    <row r="23" spans="1:26" ht="14.25">
      <c r="B23" s="1370" t="s">
        <v>926</v>
      </c>
      <c r="C23" s="1371" t="s">
        <v>1367</v>
      </c>
      <c r="D23" s="1372" t="s">
        <v>773</v>
      </c>
      <c r="E23" s="1371" t="s">
        <v>1367</v>
      </c>
      <c r="F23" s="1372" t="s">
        <v>773</v>
      </c>
      <c r="G23" s="1371" t="s">
        <v>1367</v>
      </c>
      <c r="H23" s="1372" t="s">
        <v>773</v>
      </c>
      <c r="I23" s="1371" t="s">
        <v>1367</v>
      </c>
      <c r="J23" s="1372" t="s">
        <v>773</v>
      </c>
      <c r="K23" s="1371" t="s">
        <v>1367</v>
      </c>
      <c r="L23" s="1372" t="s">
        <v>1346</v>
      </c>
      <c r="M23" s="1373" t="s">
        <v>1367</v>
      </c>
      <c r="N23" s="1374" t="s">
        <v>1346</v>
      </c>
      <c r="O23" s="1373" t="s">
        <v>1367</v>
      </c>
      <c r="P23" s="1374" t="s">
        <v>773</v>
      </c>
      <c r="Q23" s="1373" t="s">
        <v>1367</v>
      </c>
      <c r="R23" s="1374" t="s">
        <v>773</v>
      </c>
      <c r="S23" s="1373" t="s">
        <v>1367</v>
      </c>
      <c r="T23" s="1374" t="s">
        <v>773</v>
      </c>
      <c r="U23" s="1373" t="s">
        <v>1367</v>
      </c>
      <c r="V23" s="1374" t="s">
        <v>773</v>
      </c>
      <c r="Z23" s="68"/>
    </row>
    <row r="24" spans="1:26" ht="14.25">
      <c r="B24" s="1375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0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0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0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9066.32</v>
      </c>
      <c r="D36" s="225">
        <f>VLOOKUP($B$48,Índices!$B$6:$F$500,VLOOKUP(D$23,$L$7:$M$9,2,FALSE)+1,FALSE)/VLOOKUP(DATE(YEAR($B36),MONTH($B36)-1,1),Índices!$B$6:$F$500,VLOOKUP(D$23,$L$7:$M$9,2,FALSE)+1,FALSE)*C36</f>
        <v>9943.3237474014531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0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2" customFormat="1" ht="14.25">
      <c r="A37" s="826"/>
      <c r="B37" s="827">
        <f t="shared" si="2"/>
        <v>44440</v>
      </c>
      <c r="C37" s="828">
        <f>CAPA!C66</f>
        <v>60857.53</v>
      </c>
      <c r="D37" s="829">
        <f>VLOOKUP($B$48,Índices!$B$6:$F$500,VLOOKUP(D$23,$L$7:$M$9,2,FALSE)+1,FALSE)/VLOOKUP(DATE(YEAR($B37),MONTH($B37)-1,1),Índices!$B$6:$F$500,VLOOKUP(D$23,$L$7:$M$9,2,FALSE)+1,FALSE)*C37</f>
        <v>66168.743916593623</v>
      </c>
      <c r="E37" s="830"/>
      <c r="F37" s="829">
        <f>VLOOKUP($B$48,Índices!$B$6:$F$500,VLOOKUP(F$23,$L$7:$M$9,2,FALSE)+1,FALSE)/VLOOKUP(DATE(YEAR($B37),MONTH($B37)-1,1),Índices!$B$6:$F$500,VLOOKUP(H$23,$L$7:$M$9,2,FALSE)+1,FALSE)*E37</f>
        <v>0</v>
      </c>
      <c r="G37" s="830">
        <f>CAPA!E66</f>
        <v>0</v>
      </c>
      <c r="H37" s="829">
        <f>VLOOKUP($B$48,Índices!$B$6:$F$500,VLOOKUP(H$23,$L$7:$M$9,2,FALSE)+1,FALSE)/VLOOKUP(DATE(YEAR($B37),MONTH($B37)-1,1),Índices!$B$6:$F$500,VLOOKUP(H$23,$L$7:$M$9,2,FALSE)+1,FALSE)*G37</f>
        <v>0</v>
      </c>
      <c r="I37" s="831">
        <f>IFERROR(HLOOKUP(B37,'Rede Básica + Ajuste'!$E$70:$P$71,2,FALSE),0)</f>
        <v>0</v>
      </c>
      <c r="J37" s="831">
        <f>VLOOKUP($B$48,Índices!$B$6:$F$500,VLOOKUP(J$23,$L$7:$M$9,2,FALSE)+1,FALSE)/VLOOKUP(DATE(YEAR($B37),MONTH($B37)-1,1),Índices!$B$6:$F$500,VLOOKUP(J$23,$L$7:$M$9,2,FALSE)+1,FALSE)*I37</f>
        <v>0</v>
      </c>
      <c r="K37" s="830">
        <f>CAPA!H66</f>
        <v>0</v>
      </c>
      <c r="L37" s="829">
        <f>VLOOKUP($B$48,Índices!$B$6:$F$500,VLOOKUP(L$23,$L$7:$M$9,2,FALSE)+1,FALSE)/VLOOKUP(DATE(YEAR($B37),MONTH($B37)-1,1),Índices!$B$6:$F$500,VLOOKUP(L$23,$L$7:$M$9,2,FALSE)+1,FALSE)*K37</f>
        <v>0</v>
      </c>
      <c r="M37" s="830">
        <f>CVE!$I$14/12</f>
        <v>0</v>
      </c>
      <c r="N37" s="829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29">
        <f>VLOOKUP($B$48,Índices!$B$6:$F$500,VLOOKUP(P$23,$L$7:$M$9,2,FALSE)+1,FALSE)/VLOOKUP(DATE(YEAR($B37),MONTH($B37)-1,1),Índices!$B$6:$F$500,VLOOKUP(P$23,$L$7:$M$9,2,FALSE)+1,FALSE)*O37</f>
        <v>0</v>
      </c>
      <c r="Q37" s="830">
        <f>CAPA!D66</f>
        <v>0</v>
      </c>
      <c r="R37" s="829">
        <f>VLOOKUP($B$48,Índices!$B$6:$F$500,VLOOKUP(R$23,$L$7:$M$9,2,FALSE)+1,FALSE)/VLOOKUP(DATE(YEAR($B37),MONTH($B37)-1,1),Índices!$B$6:$F$500,VLOOKUP(R$23,$L$7:$M$9,2,FALSE)+1,FALSE)*Q37</f>
        <v>0</v>
      </c>
      <c r="S37" s="830">
        <f>'Tributos suprimento'!$B$14/12</f>
        <v>0</v>
      </c>
      <c r="T37" s="829">
        <f>VLOOKUP($B$48,Índices!$B$6:$F$500,VLOOKUP(T$23,$L$7:$M$9,2,FALSE)+1,FALSE)/VLOOKUP(DATE(YEAR($B37),MONTH($B37)-1,1),Índices!$B$6:$F$500,VLOOKUP(T$23,$L$7:$M$9,2,FALSE)+1,FALSE)*S37</f>
        <v>0</v>
      </c>
      <c r="U37" s="830">
        <f>'Tributos suprimento'!$B$13/12</f>
        <v>0</v>
      </c>
      <c r="V37" s="829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98707.829999999987</v>
      </c>
      <c r="D38" s="225">
        <f>VLOOKUP($B$48,Índices!$B$6:$F$500,VLOOKUP(D$23,$L$7:$M$9,2,FALSE)+1,FALSE)/VLOOKUP(DATE(YEAR($B38),MONTH($B38)-1,1),Índices!$B$6:$F$500,VLOOKUP(D$23,$L$7:$M$9,2,FALSE)+1,FALSE)*C38</f>
        <v>106091.72520016955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0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0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103640.04000000001</v>
      </c>
      <c r="D39" s="225">
        <f>VLOOKUP($B$48,Índices!$B$6:$F$500,VLOOKUP(D$23,$L$7:$M$9,2,FALSE)+1,FALSE)/VLOOKUP(DATE(YEAR($B39),MONTH($B39)-1,1),Índices!$B$6:$F$500,VLOOKUP(D$23,$L$7:$M$9,2,FALSE)+1,FALSE)*C39</f>
        <v>110017.71906249221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0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0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99950.31</v>
      </c>
      <c r="D40" s="225">
        <f>VLOOKUP($B$48,Índices!$B$6:$F$500,VLOOKUP(D$23,$L$7:$M$9,2,FALSE)+1,FALSE)/VLOOKUP(DATE(YEAR($B40),MONTH($B40)-1,1),Índices!$B$6:$F$500,VLOOKUP(D$23,$L$7:$M$9,2,FALSE)+1,FALSE)*C40</f>
        <v>105102.38953101623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0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0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137119.13</v>
      </c>
      <c r="D41" s="225">
        <f>VLOOKUP($B$48,Índices!$B$6:$F$500,VLOOKUP(D$23,$L$7:$M$9,2,FALSE)+1,FALSE)/VLOOKUP(DATE(YEAR($B41),MONTH($B41)-1,1),Índices!$B$6:$F$500,VLOOKUP(D$23,$L$7:$M$9,2,FALSE)+1,FALSE)*C41</f>
        <v>143142.2500642316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0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0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78335.62</v>
      </c>
      <c r="D42" s="225">
        <f>VLOOKUP($B$48,Índices!$B$6:$F$500,VLOOKUP(D$23,$L$7:$M$9,2,FALSE)+1,FALSE)/VLOOKUP(DATE(YEAR($B42),MONTH($B42)-1,1),Índices!$B$6:$F$500,VLOOKUP(D$23,$L$7:$M$9,2,FALSE)+1,FALSE)*C42</f>
        <v>81337.359367309749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0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0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94709.82</v>
      </c>
      <c r="D43" s="225">
        <f>VLOOKUP($B$48,Índices!$B$6:$F$500,VLOOKUP(D$23,$L$7:$M$9,2,FALSE)+1,FALSE)/VLOOKUP(DATE(YEAR($B43),MONTH($B43)-1,1),Índices!$B$6:$F$500,VLOOKUP(D$23,$L$7:$M$9,2,FALSE)+1,FALSE)*C43</f>
        <v>97355.649613434085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0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0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57967.05</v>
      </c>
      <c r="D44" s="225">
        <f>VLOOKUP($B$48,Índices!$B$6:$F$500,VLOOKUP(D$23,$L$7:$M$9,2,FALSE)+1,FALSE)/VLOOKUP(DATE(YEAR($B44),MONTH($B44)-1,1),Índices!$B$6:$F$500,VLOOKUP(D$23,$L$7:$M$9,2,FALSE)+1,FALSE)*C44</f>
        <v>58636.486904303885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0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0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89123.3</v>
      </c>
      <c r="D45" s="225">
        <f>VLOOKUP($B$48,Índices!$B$6:$F$500,VLOOKUP(D$23,$L$7:$M$9,2,FALSE)+1,FALSE)/VLOOKUP(DATE(YEAR($B45),MONTH($B45)-1,1),Índices!$B$6:$F$500,VLOOKUP(D$23,$L$7:$M$9,2,FALSE)+1,FALSE)*C45</f>
        <v>89206.937569091053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0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0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113003.94</v>
      </c>
      <c r="D46" s="225">
        <f>VLOOKUP($B$48,Índices!$B$6:$F$500,VLOOKUP(D$23,$L$7:$M$9,2,FALSE)+1,FALSE)/VLOOKUP(DATE(YEAR($B46),MONTH($B46)-1,1),Índices!$B$6:$F$500,VLOOKUP(D$23,$L$7:$M$9,2,FALSE)+1,FALSE)*C46</f>
        <v>112580.85012471775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1726729.8004999999</v>
      </c>
      <c r="L46" s="225">
        <f>VLOOKUP($B$48,Índices!$B$6:$F$500,VLOOKUP(L$23,$L$7:$M$9,2,FALSE)+1,FALSE)/VLOOKUP(DATE(YEAR($B46),MONTH($B46)-1,1),Índices!$B$6:$F$500,VLOOKUP(L$23,$L$7:$M$9,2,FALSE)+1,FALSE)*K46</f>
        <v>1782919.7096478262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0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0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142591.82</v>
      </c>
      <c r="D47" s="225">
        <f>VLOOKUP($B$48,Índices!$B$6:$F$500,VLOOKUP(D$23,$L$7:$M$9,2,FALSE)+1,FALSE)/VLOOKUP(DATE(YEAR($B47),MONTH($B47)-1,1),Índices!$B$6:$F$500,VLOOKUP(D$23,$L$7:$M$9,2,FALSE)+1,FALSE)*C47</f>
        <v>141112.41758148035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538253.71010000003</v>
      </c>
      <c r="L47" s="225">
        <f>VLOOKUP($B$48,Índices!$B$6:$F$500,VLOOKUP(L$23,$L$7:$M$9,2,FALSE)+1,FALSE)/VLOOKUP(DATE(YEAR($B47),MONTH($B47)-1,1),Índices!$B$6:$F$500,VLOOKUP(L$23,$L$7:$M$9,2,FALSE)+1,FALSE)*K47</f>
        <v>550183.05270685838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0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0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6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-92.01</v>
      </c>
      <c r="L48" s="225">
        <f>VLOOKUP($B$48,Índices!$B$6:$F$500,VLOOKUP(L$23,$L$7:$M$9,2,FALSE)+1,FALSE)/VLOOKUP(DATE(YEAR($B48),MONTH($B48)-1,1),Índices!$B$6:$F$500,VLOOKUP(L$23,$L$7:$M$9,2,FALSE)+1,FALSE)*K48</f>
        <v>-93.085929313733814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0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0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7">
        <f t="shared" ref="C49:P49" si="3">SUM(C25:C48)</f>
        <v>1085072.7100000002</v>
      </c>
      <c r="D49" s="1378">
        <f t="shared" si="3"/>
        <v>1120695.8526822417</v>
      </c>
      <c r="E49" s="1377">
        <f t="shared" si="3"/>
        <v>0</v>
      </c>
      <c r="F49" s="1378">
        <f t="shared" si="3"/>
        <v>0</v>
      </c>
      <c r="G49" s="1377">
        <f t="shared" si="3"/>
        <v>0</v>
      </c>
      <c r="H49" s="1378">
        <f t="shared" si="3"/>
        <v>0</v>
      </c>
      <c r="I49" s="1379">
        <f>SUM(I24:I48)</f>
        <v>0</v>
      </c>
      <c r="J49" s="1379">
        <f>SUM(J24:J48)</f>
        <v>0</v>
      </c>
      <c r="K49" s="1380">
        <f t="shared" si="3"/>
        <v>2264891.5005999999</v>
      </c>
      <c r="L49" s="1381">
        <f t="shared" si="3"/>
        <v>2333009.6764253709</v>
      </c>
      <c r="M49" s="1382">
        <f t="shared" si="3"/>
        <v>0</v>
      </c>
      <c r="N49" s="1383">
        <f t="shared" si="3"/>
        <v>0</v>
      </c>
      <c r="O49" s="1382">
        <f t="shared" si="3"/>
        <v>0</v>
      </c>
      <c r="P49" s="1383">
        <f t="shared" si="3"/>
        <v>0</v>
      </c>
      <c r="Q49" s="1382">
        <f t="shared" ref="Q49:R49" si="4">SUM(Q25:Q48)</f>
        <v>0</v>
      </c>
      <c r="R49" s="1383">
        <f t="shared" si="4"/>
        <v>0</v>
      </c>
      <c r="S49" s="1382">
        <f>-S51</f>
        <v>0</v>
      </c>
      <c r="T49" s="1383">
        <f t="shared" ref="T49:V49" si="5">SUM(T25:T48)</f>
        <v>0</v>
      </c>
      <c r="U49" s="1382">
        <f>-S52</f>
        <v>0</v>
      </c>
      <c r="V49" s="1383">
        <f t="shared" si="5"/>
        <v>0</v>
      </c>
      <c r="Z49" s="68"/>
    </row>
    <row r="50" spans="2:30" ht="14.25">
      <c r="J50" s="68" t="s">
        <v>849</v>
      </c>
      <c r="M50" s="198"/>
      <c r="N50" s="107"/>
      <c r="S50" s="1316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4" t="s">
        <v>2087</v>
      </c>
      <c r="D53" s="1865"/>
      <c r="E53" s="1864" t="s">
        <v>1369</v>
      </c>
      <c r="F53" s="1865"/>
      <c r="G53" s="1864" t="s">
        <v>1370</v>
      </c>
      <c r="H53" s="1865"/>
      <c r="I53" s="1864" t="s">
        <v>1371</v>
      </c>
      <c r="J53" s="1865"/>
      <c r="K53" s="1862" t="s">
        <v>1372</v>
      </c>
      <c r="L53" s="1863"/>
      <c r="M53" s="1864" t="s">
        <v>1373</v>
      </c>
      <c r="N53" s="1865"/>
      <c r="O53" s="1864" t="s">
        <v>2089</v>
      </c>
      <c r="P53" s="1865"/>
      <c r="Q53" s="1864" t="s">
        <v>2090</v>
      </c>
      <c r="R53" s="1865"/>
      <c r="S53" s="1864" t="s">
        <v>1374</v>
      </c>
      <c r="T53" s="1865"/>
      <c r="U53" s="1864" t="s">
        <v>1375</v>
      </c>
      <c r="V53" s="1865"/>
      <c r="W53" s="1864" t="s">
        <v>36</v>
      </c>
      <c r="X53" s="1865"/>
      <c r="Z53" s="68"/>
    </row>
    <row r="54" spans="2:30" ht="14.25">
      <c r="C54" s="1373" t="s">
        <v>1367</v>
      </c>
      <c r="D54" s="1374" t="s">
        <v>773</v>
      </c>
      <c r="E54" s="1373" t="s">
        <v>1367</v>
      </c>
      <c r="F54" s="1374" t="s">
        <v>773</v>
      </c>
      <c r="G54" s="1373" t="s">
        <v>1367</v>
      </c>
      <c r="H54" s="1374" t="s">
        <v>773</v>
      </c>
      <c r="I54" s="1373" t="s">
        <v>1367</v>
      </c>
      <c r="J54" s="1374" t="s">
        <v>773</v>
      </c>
      <c r="K54" s="1371" t="s">
        <v>1367</v>
      </c>
      <c r="L54" s="1372" t="s">
        <v>773</v>
      </c>
      <c r="M54" s="1373" t="s">
        <v>1367</v>
      </c>
      <c r="N54" s="1374" t="s">
        <v>773</v>
      </c>
      <c r="O54" s="1373" t="s">
        <v>1367</v>
      </c>
      <c r="P54" s="1374" t="s">
        <v>773</v>
      </c>
      <c r="Q54" s="1373" t="s">
        <v>1367</v>
      </c>
      <c r="R54" s="1374" t="s">
        <v>773</v>
      </c>
      <c r="S54" s="1373" t="s">
        <v>1367</v>
      </c>
      <c r="T54" s="1374" t="s">
        <v>773</v>
      </c>
      <c r="U54" s="1373" t="s">
        <v>1367</v>
      </c>
      <c r="V54" s="1374" t="s">
        <v>773</v>
      </c>
      <c r="W54" s="1373" t="s">
        <v>1367</v>
      </c>
      <c r="X54" s="1384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33.727035946256365</v>
      </c>
      <c r="H68" s="225">
        <f ca="1">VLOOKUP($B$48,Índices!$B$6:$F$500,VLOOKUP(H$54,$L$7:$M$9,2,FALSE)+1,FALSE)/VLOOKUP(DATE(YEAR($B68),MONTH($B68)-1,1),Índices!$B$6:$F$500,VLOOKUP(H$54,$L$7:$M$9,2,FALSE)+1,FALSE)*G68</f>
        <v>36.670492617652826</v>
      </c>
      <c r="I68" s="207">
        <f ca="1">Encargos!F31</f>
        <v>-18412.24163228902</v>
      </c>
      <c r="J68" s="225">
        <f ca="1">VLOOKUP($B$48,Índices!$B$6:$F$500,VLOOKUP(J$54,$L$7:$M$9,2,FALSE)+1,FALSE)/VLOOKUP(DATE(YEAR($B68),MONTH($B68)-1,1),Índices!$B$6:$F$500,VLOOKUP(J$54,$L$7:$M$9,2,FALSE)+1,FALSE)*I68</f>
        <v>-20019.131593039943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-3606.6207893782412</v>
      </c>
      <c r="N68" s="225">
        <f ca="1">VLOOKUP($B$48,Índices!$B$6:$F$500,VLOOKUP(N$54,$L$7:$M$9,2,FALSE)+1,FALSE)/VLOOKUP(DATE(YEAR($B68),MONTH($B68)-1,1),Índices!$B$6:$F$500,VLOOKUP(N$54,$L$7:$M$9,2,FALSE)+1,FALSE)*M68</f>
        <v>-3921.3810914874725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4.4391924052233662</v>
      </c>
      <c r="H69" s="225">
        <f ca="1">VLOOKUP($B$48,Índices!$B$6:$F$500,VLOOKUP(H$54,$L$7:$M$9,2,FALSE)+1,FALSE)/VLOOKUP(DATE(YEAR($B69),MONTH($B69)-1,1),Índices!$B$6:$F$500,VLOOKUP(H$54,$L$7:$M$9,2,FALSE)+1,FALSE)*G69</f>
        <v>4.7712687105535307</v>
      </c>
      <c r="I69" s="207">
        <f ca="1">Encargos!F32</f>
        <v>-22858.799575697863</v>
      </c>
      <c r="J69" s="225">
        <f ca="1">VLOOKUP($B$48,Índices!$B$6:$F$500,VLOOKUP(J$54,$L$7:$M$9,2,FALSE)+1,FALSE)/VLOOKUP(DATE(YEAR($B69),MONTH($B69)-1,1),Índices!$B$6:$F$500,VLOOKUP(J$54,$L$7:$M$9,2,FALSE)+1,FALSE)*I69</f>
        <v>-24568.765041138988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-4416.5704496901308</v>
      </c>
      <c r="N69" s="225">
        <f ca="1">VLOOKUP($B$48,Índices!$B$6:$F$500,VLOOKUP(N$54,$L$7:$M$9,2,FALSE)+1,FALSE)/VLOOKUP(DATE(YEAR($B69),MONTH($B69)-1,1),Índices!$B$6:$F$500,VLOOKUP(N$54,$L$7:$M$9,2,FALSE)+1,FALSE)*M69</f>
        <v>-4746.954506807765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-72.850783764513835</v>
      </c>
      <c r="H70" s="225">
        <f ca="1">VLOOKUP($B$48,Índices!$B$6:$F$500,VLOOKUP(H$54,$L$7:$M$9,2,FALSE)+1,FALSE)/VLOOKUP(DATE(YEAR($B70),MONTH($B70)-1,1),Índices!$B$6:$F$500,VLOOKUP(H$54,$L$7:$M$9,2,FALSE)+1,FALSE)*G70</f>
        <v>-77.333789736926491</v>
      </c>
      <c r="I70" s="207">
        <f ca="1">Encargos!F33</f>
        <v>-28170.752691044239</v>
      </c>
      <c r="J70" s="225">
        <f ca="1">VLOOKUP($B$48,Índices!$B$6:$F$500,VLOOKUP(J$54,$L$7:$M$9,2,FALSE)+1,FALSE)/VLOOKUP(DATE(YEAR($B70),MONTH($B70)-1,1),Índices!$B$6:$F$500,VLOOKUP(J$54,$L$7:$M$9,2,FALSE)+1,FALSE)*I70</f>
        <v>-29904.291385281704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-5320.2585720450006</v>
      </c>
      <c r="N70" s="225">
        <f ca="1">VLOOKUP($B$48,Índices!$B$6:$F$500,VLOOKUP(N$54,$L$7:$M$9,2,FALSE)+1,FALSE)/VLOOKUP(DATE(YEAR($B70),MONTH($B70)-1,1),Índices!$B$6:$F$500,VLOOKUP(N$54,$L$7:$M$9,2,FALSE)+1,FALSE)*M70</f>
        <v>-5647.650395726042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-321.62997687753887</v>
      </c>
      <c r="H71" s="225">
        <f ca="1">VLOOKUP($B$48,Índices!$B$6:$F$500,VLOOKUP(H$54,$L$7:$M$9,2,FALSE)+1,FALSE)/VLOOKUP(DATE(YEAR($B71),MONTH($B71)-1,1),Índices!$B$6:$F$500,VLOOKUP(H$54,$L$7:$M$9,2,FALSE)+1,FALSE)*G71</f>
        <v>-338.20884712248352</v>
      </c>
      <c r="I71" s="207">
        <f ca="1">Encargos!F34</f>
        <v>-28676.047106308979</v>
      </c>
      <c r="J71" s="225">
        <f ca="1">VLOOKUP($B$48,Índices!$B$6:$F$500,VLOOKUP(J$54,$L$7:$M$9,2,FALSE)+1,FALSE)/VLOOKUP(DATE(YEAR($B71),MONTH($B71)-1,1),Índices!$B$6:$F$500,VLOOKUP(J$54,$L$7:$M$9,2,FALSE)+1,FALSE)*I71</f>
        <v>-30154.194350943555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-5033.4995669612981</v>
      </c>
      <c r="N71" s="225">
        <f ca="1">VLOOKUP($B$48,Índices!$B$6:$F$500,VLOOKUP(N$54,$L$7:$M$9,2,FALSE)+1,FALSE)/VLOOKUP(DATE(YEAR($B71),MONTH($B71)-1,1),Índices!$B$6:$F$500,VLOOKUP(N$54,$L$7:$M$9,2,FALSE)+1,FALSE)*M71</f>
        <v>-5292.9583929351284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-883.8521820681708</v>
      </c>
      <c r="H72" s="225">
        <f ca="1">VLOOKUP($B$48,Índices!$B$6:$F$500,VLOOKUP(H$54,$L$7:$M$9,2,FALSE)+1,FALSE)/VLOOKUP(DATE(YEAR($B72),MONTH($B72)-1,1),Índices!$B$6:$F$500,VLOOKUP(H$54,$L$7:$M$9,2,FALSE)+1,FALSE)*G72</f>
        <v>-922.6764351948475</v>
      </c>
      <c r="I72" s="207">
        <f ca="1">Encargos!F35</f>
        <v>-29388.3542962434</v>
      </c>
      <c r="J72" s="225">
        <f ca="1">VLOOKUP($B$48,Índices!$B$6:$F$500,VLOOKUP(J$54,$L$7:$M$9,2,FALSE)+1,FALSE)/VLOOKUP(DATE(YEAR($B72),MONTH($B72)-1,1),Índices!$B$6:$F$500,VLOOKUP(J$54,$L$7:$M$9,2,FALSE)+1,FALSE)*I72</f>
        <v>-30679.272539499834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-4312.2383271694562</v>
      </c>
      <c r="N72" s="225">
        <f ca="1">VLOOKUP($B$48,Índices!$B$6:$F$500,VLOOKUP(N$54,$L$7:$M$9,2,FALSE)+1,FALSE)/VLOOKUP(DATE(YEAR($B72),MONTH($B72)-1,1),Índices!$B$6:$F$500,VLOOKUP(N$54,$L$7:$M$9,2,FALSE)+1,FALSE)*M72</f>
        <v>-4501.658499176986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-1109.9616927184907</v>
      </c>
      <c r="H73" s="225">
        <f ca="1">VLOOKUP($B$48,Índices!$B$6:$F$500,VLOOKUP(H$54,$L$7:$M$9,2,FALSE)+1,FALSE)/VLOOKUP(DATE(YEAR($B73),MONTH($B73)-1,1),Índices!$B$6:$F$500,VLOOKUP(H$54,$L$7:$M$9,2,FALSE)+1,FALSE)*G73</f>
        <v>-1152.494268694003</v>
      </c>
      <c r="I73" s="207">
        <f ca="1">Encargos!F36</f>
        <v>-42367.879477035021</v>
      </c>
      <c r="J73" s="225">
        <f ca="1">VLOOKUP($B$48,Índices!$B$6:$F$500,VLOOKUP(J$54,$L$7:$M$9,2,FALSE)+1,FALSE)/VLOOKUP(DATE(YEAR($B73),MONTH($B73)-1,1),Índices!$B$6:$F$500,VLOOKUP(J$54,$L$7:$M$9,2,FALSE)+1,FALSE)*I73</f>
        <v>-43991.372489991976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-6441.2814970725885</v>
      </c>
      <c r="N73" s="225">
        <f ca="1">VLOOKUP($B$48,Índices!$B$6:$F$500,VLOOKUP(N$54,$L$7:$M$9,2,FALSE)+1,FALSE)/VLOOKUP(DATE(YEAR($B73),MONTH($B73)-1,1),Índices!$B$6:$F$500,VLOOKUP(N$54,$L$7:$M$9,2,FALSE)+1,FALSE)*M73</f>
        <v>-6688.1046950722557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-586.73471296281059</v>
      </c>
      <c r="H74" s="225">
        <f ca="1">VLOOKUP($B$48,Índices!$B$6:$F$500,VLOOKUP(H$54,$L$7:$M$9,2,FALSE)+1,FALSE)/VLOOKUP(DATE(YEAR($B74),MONTH($B74)-1,1),Índices!$B$6:$F$500,VLOOKUP(H$54,$L$7:$M$9,2,FALSE)+1,FALSE)*G74</f>
        <v>-603.12583353285015</v>
      </c>
      <c r="I74" s="207">
        <f ca="1">Encargos!F37</f>
        <v>-20397.286047324538</v>
      </c>
      <c r="J74" s="225">
        <f ca="1">VLOOKUP($B$48,Índices!$B$6:$F$500,VLOOKUP(J$54,$L$7:$M$9,2,FALSE)+1,FALSE)/VLOOKUP(DATE(YEAR($B74),MONTH($B74)-1,1),Índices!$B$6:$F$500,VLOOKUP(J$54,$L$7:$M$9,2,FALSE)+1,FALSE)*I74</f>
        <v>-20967.108093841962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-3046.9499731531105</v>
      </c>
      <c r="N74" s="225">
        <f ca="1">VLOOKUP($B$48,Índices!$B$6:$F$500,VLOOKUP(N$54,$L$7:$M$9,2,FALSE)+1,FALSE)/VLOOKUP(DATE(YEAR($B74),MONTH($B74)-1,1),Índices!$B$6:$F$500,VLOOKUP(N$54,$L$7:$M$9,2,FALSE)+1,FALSE)*M74</f>
        <v>-3132.0700849812256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-205.31280387689367</v>
      </c>
      <c r="H75" s="225">
        <f ca="1">VLOOKUP($B$48,Índices!$B$6:$F$500,VLOOKUP(H$54,$L$7:$M$9,2,FALSE)+1,FALSE)/VLOOKUP(DATE(YEAR($B75),MONTH($B75)-1,1),Índices!$B$6:$F$500,VLOOKUP(H$54,$L$7:$M$9,2,FALSE)+1,FALSE)*G75</f>
        <v>-207.6838744737465</v>
      </c>
      <c r="I75" s="207">
        <f ca="1">Encargos!F38</f>
        <v>-29406.870374395861</v>
      </c>
      <c r="J75" s="225">
        <f ca="1">VLOOKUP($B$48,Índices!$B$6:$F$500,VLOOKUP(J$54,$L$7:$M$9,2,FALSE)+1,FALSE)/VLOOKUP(DATE(YEAR($B75),MONTH($B75)-1,1),Índices!$B$6:$F$500,VLOOKUP(J$54,$L$7:$M$9,2,FALSE)+1,FALSE)*I75</f>
        <v>-29746.477862938078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-5383.7181211503048</v>
      </c>
      <c r="N75" s="225">
        <f ca="1">VLOOKUP($B$48,Índices!$B$6:$F$500,VLOOKUP(N$54,$L$7:$M$9,2,FALSE)+1,FALSE)/VLOOKUP(DATE(YEAR($B75),MONTH($B75)-1,1),Índices!$B$6:$F$500,VLOOKUP(N$54,$L$7:$M$9,2,FALSE)+1,FALSE)*M75</f>
        <v>-5445.8924010673882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311.44242712311279</v>
      </c>
      <c r="H76" s="225">
        <f ca="1">VLOOKUP($B$48,Índices!$B$6:$F$500,VLOOKUP(H$54,$L$7:$M$9,2,FALSE)+1,FALSE)/VLOOKUP(DATE(YEAR($B76),MONTH($B76)-1,1),Índices!$B$6:$F$500,VLOOKUP(H$54,$L$7:$M$9,2,FALSE)+1,FALSE)*G76</f>
        <v>311.7346995986203</v>
      </c>
      <c r="I76" s="207">
        <f ca="1">Encargos!F39</f>
        <v>-5181.1812155300286</v>
      </c>
      <c r="J76" s="225">
        <f ca="1">VLOOKUP($B$48,Índices!$B$6:$F$500,VLOOKUP(J$54,$L$7:$M$9,2,FALSE)+1,FALSE)/VLOOKUP(DATE(YEAR($B76),MONTH($B76)-1,1),Índices!$B$6:$F$500,VLOOKUP(J$54,$L$7:$M$9,2,FALSE)+1,FALSE)*I76</f>
        <v>-5186.0434838918054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-1534.0720845532342</v>
      </c>
      <c r="N76" s="225">
        <f ca="1">VLOOKUP($B$48,Índices!$B$6:$F$500,VLOOKUP(N$54,$L$7:$M$9,2,FALSE)+1,FALSE)/VLOOKUP(DATE(YEAR($B76),MONTH($B76)-1,1),Índices!$B$6:$F$500,VLOOKUP(N$54,$L$7:$M$9,2,FALSE)+1,FALSE)*M76</f>
        <v>-1535.5117311996496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-378.07827998642097</v>
      </c>
      <c r="H77" s="225">
        <f ca="1">VLOOKUP($B$48,Índices!$B$6:$F$500,VLOOKUP(H$54,$L$7:$M$9,2,FALSE)+1,FALSE)/VLOOKUP(DATE(YEAR($B77),MONTH($B77)-1,1),Índices!$B$6:$F$500,VLOOKUP(H$54,$L$7:$M$9,2,FALSE)+1,FALSE)*G77</f>
        <v>-376.66274445441752</v>
      </c>
      <c r="I77" s="207">
        <f ca="1">Encargos!F40</f>
        <v>-48294.625823179143</v>
      </c>
      <c r="J77" s="225">
        <f ca="1">VLOOKUP($B$48,Índices!$B$6:$F$500,VLOOKUP(J$54,$L$7:$M$9,2,FALSE)+1,FALSE)/VLOOKUP(DATE(YEAR($B77),MONTH($B77)-1,1),Índices!$B$6:$F$500,VLOOKUP(J$54,$L$7:$M$9,2,FALSE)+1,FALSE)*I77</f>
        <v>-48113.809409022862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-8714.4213029138773</v>
      </c>
      <c r="N77" s="225">
        <f ca="1">VLOOKUP($B$48,Índices!$B$6:$F$500,VLOOKUP(N$54,$L$7:$M$9,2,FALSE)+1,FALSE)/VLOOKUP(DATE(YEAR($B77),MONTH($B77)-1,1),Índices!$B$6:$F$500,VLOOKUP(N$54,$L$7:$M$9,2,FALSE)+1,FALSE)*M77</f>
        <v>-8681.7942686511178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-164.98729125648242</v>
      </c>
      <c r="H78" s="225">
        <f ca="1">VLOOKUP($B$48,Índices!$B$6:$F$500,VLOOKUP(H$54,$L$7:$M$9,2,FALSE)+1,FALSE)/VLOOKUP(DATE(YEAR($B78),MONTH($B78)-1,1),Índices!$B$6:$F$500,VLOOKUP(H$54,$L$7:$M$9,2,FALSE)+1,FALSE)*G78</f>
        <v>-163.27553389403451</v>
      </c>
      <c r="I78" s="207">
        <f ca="1">Encargos!F41</f>
        <v>-33338.742623346625</v>
      </c>
      <c r="J78" s="225">
        <f ca="1">VLOOKUP($B$48,Índices!$B$6:$F$500,VLOOKUP(J$54,$L$7:$M$9,2,FALSE)+1,FALSE)/VLOOKUP(DATE(YEAR($B78),MONTH($B78)-1,1),Índices!$B$6:$F$500,VLOOKUP(J$54,$L$7:$M$9,2,FALSE)+1,FALSE)*I78</f>
        <v>-32992.850296091223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-6181.024897487805</v>
      </c>
      <c r="N78" s="225">
        <f ca="1">VLOOKUP($B$48,Índices!$B$6:$F$500,VLOOKUP(N$54,$L$7:$M$9,2,FALSE)+1,FALSE)/VLOOKUP(DATE(YEAR($B78),MONTH($B78)-1,1),Índices!$B$6:$F$500,VLOOKUP(N$54,$L$7:$M$9,2,FALSE)+1,FALSE)*M78</f>
        <v>-6116.8962316058933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-164.98729125648242</v>
      </c>
      <c r="H79" s="225">
        <f ca="1">VLOOKUP($B$48,Índices!$B$6:$F$500,VLOOKUP(H$54,$L$7:$M$9,2,FALSE)+1,FALSE)/VLOOKUP(DATE(YEAR($B79),MONTH($B79)-1,1),Índices!$B$6:$F$500,VLOOKUP(H$54,$L$7:$M$9,2,FALSE)+1,FALSE)*G79</f>
        <v>-164.39341471624121</v>
      </c>
      <c r="I79" s="207">
        <f ca="1">Encargos!F42</f>
        <v>-33338.742623346625</v>
      </c>
      <c r="J79" s="225">
        <f ca="1">VLOOKUP($B$48,Índices!$B$6:$F$500,VLOOKUP(J$54,$L$7:$M$9,2,FALSE)+1,FALSE)/VLOOKUP(DATE(YEAR($B79),MONTH($B79)-1,1),Índices!$B$6:$F$500,VLOOKUP(J$54,$L$7:$M$9,2,FALSE)+1,FALSE)*I79</f>
        <v>-33218.738852302427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-6181.024897487805</v>
      </c>
      <c r="N79" s="225">
        <f ca="1">VLOOKUP($B$48,Índices!$B$6:$F$500,VLOOKUP(N$54,$L$7:$M$9,2,FALSE)+1,FALSE)/VLOOKUP(DATE(YEAR($B79),MONTH($B79)-1,1),Índices!$B$6:$F$500,VLOOKUP(N$54,$L$7:$M$9,2,FALSE)+1,FALSE)*M79</f>
        <v>-6158.7761190921501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2">
        <f ca="1">SUM(C56:C79)</f>
        <v>0</v>
      </c>
      <c r="D80" s="1383">
        <f ca="1">SUM(D56:D79)</f>
        <v>0</v>
      </c>
      <c r="E80" s="1382">
        <f ca="1">SUM(E56:E79)</f>
        <v>0</v>
      </c>
      <c r="F80" s="1383">
        <f ca="1">SUM(F56:F79)</f>
        <v>0</v>
      </c>
      <c r="G80" s="1382">
        <f ca="1">SUM(G55:G79)</f>
        <v>-3538.7863592932117</v>
      </c>
      <c r="H80" s="1382">
        <f t="shared" ref="H80:N80" ca="1" si="7">SUM(H55:H79)</f>
        <v>-3652.6782808927237</v>
      </c>
      <c r="I80" s="1382">
        <f t="shared" ca="1" si="7"/>
        <v>-339831.52348574135</v>
      </c>
      <c r="J80" s="1382">
        <f t="shared" ca="1" si="7"/>
        <v>-349542.0553979844</v>
      </c>
      <c r="K80" s="1382">
        <f t="shared" ca="1" si="7"/>
        <v>0</v>
      </c>
      <c r="L80" s="1382">
        <f t="shared" ca="1" si="7"/>
        <v>0</v>
      </c>
      <c r="M80" s="1382">
        <f t="shared" ca="1" si="7"/>
        <v>-60171.680479062852</v>
      </c>
      <c r="N80" s="1382">
        <f t="shared" ca="1" si="7"/>
        <v>-61869.648417803073</v>
      </c>
      <c r="O80" s="1382">
        <f t="shared" ref="O80:R80" ca="1" si="8">SUM(O55:O79)</f>
        <v>0</v>
      </c>
      <c r="P80" s="1382">
        <f t="shared" ca="1" si="8"/>
        <v>0</v>
      </c>
      <c r="Q80" s="1382">
        <f t="shared" ca="1" si="8"/>
        <v>0</v>
      </c>
      <c r="R80" s="1382">
        <f t="shared" ca="1" si="8"/>
        <v>0</v>
      </c>
      <c r="S80" s="1382">
        <f t="shared" ref="S80:X80" si="9">SUM(S55:S79)</f>
        <v>0</v>
      </c>
      <c r="T80" s="1382">
        <f t="shared" si="9"/>
        <v>0</v>
      </c>
      <c r="U80" s="1382">
        <f t="shared" si="9"/>
        <v>0</v>
      </c>
      <c r="V80" s="1385">
        <f t="shared" si="9"/>
        <v>0</v>
      </c>
      <c r="W80" s="1382">
        <f t="shared" si="9"/>
        <v>0</v>
      </c>
      <c r="X80" s="1385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193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962</v>
      </c>
      <c r="O1" s="9" t="s">
        <v>876</v>
      </c>
      <c r="P1" s="9" t="s">
        <v>1387</v>
      </c>
      <c r="Q1" s="8" t="s">
        <v>870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961</v>
      </c>
      <c r="C1" t="s">
        <v>1389</v>
      </c>
      <c r="D1" t="s">
        <v>880</v>
      </c>
      <c r="E1" t="s">
        <v>1390</v>
      </c>
      <c r="F1" t="s">
        <v>58</v>
      </c>
      <c r="G1" t="s">
        <v>525</v>
      </c>
      <c r="H1" t="s">
        <v>962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972</v>
      </c>
      <c r="O1" t="s">
        <v>1394</v>
      </c>
      <c r="P1" t="s">
        <v>1395</v>
      </c>
      <c r="Q1" t="s">
        <v>1396</v>
      </c>
      <c r="R1" t="s">
        <v>1397</v>
      </c>
      <c r="S1" t="s">
        <v>193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6" t="s">
        <v>1400</v>
      </c>
      <c r="D2" s="3" t="s">
        <v>1401</v>
      </c>
    </row>
    <row r="3" spans="2:15">
      <c r="B3" s="5"/>
    </row>
    <row r="6" spans="2:15">
      <c r="B6" s="1387" t="s">
        <v>1402</v>
      </c>
      <c r="C6" s="1387" t="s">
        <v>1403</v>
      </c>
      <c r="D6" s="1387" t="s">
        <v>773</v>
      </c>
      <c r="E6" s="6" t="s">
        <v>1404</v>
      </c>
      <c r="F6" s="6" t="s">
        <v>1405</v>
      </c>
      <c r="G6" s="1388" t="s">
        <v>1406</v>
      </c>
      <c r="K6" s="1466" t="s">
        <v>2126</v>
      </c>
      <c r="L6" s="1467" t="s">
        <v>37</v>
      </c>
      <c r="M6" s="1468" t="s">
        <v>2127</v>
      </c>
      <c r="N6" s="1467" t="s">
        <v>1322</v>
      </c>
      <c r="O6" s="1469" t="s">
        <v>2128</v>
      </c>
    </row>
    <row r="7" spans="2:15">
      <c r="B7" s="1389">
        <v>32629</v>
      </c>
      <c r="C7" s="1390">
        <v>2.5789999999999999E-5</v>
      </c>
      <c r="D7" s="1390">
        <v>3.4132578959999998E-4</v>
      </c>
      <c r="E7" s="1390">
        <v>0</v>
      </c>
      <c r="F7" s="1390">
        <v>1</v>
      </c>
      <c r="K7" s="1470">
        <v>42064</v>
      </c>
      <c r="L7" s="1471"/>
      <c r="M7" s="1472">
        <v>0</v>
      </c>
      <c r="N7" s="1473">
        <v>1</v>
      </c>
      <c r="O7" s="1473">
        <v>1</v>
      </c>
    </row>
    <row r="8" spans="2:15">
      <c r="B8" s="1389">
        <v>32660</v>
      </c>
      <c r="C8" s="1390">
        <v>3.0859999999999999E-5</v>
      </c>
      <c r="D8" s="1390">
        <v>4.3911559890000003E-4</v>
      </c>
      <c r="E8" s="1390">
        <v>0</v>
      </c>
      <c r="F8" s="1390">
        <v>1</v>
      </c>
      <c r="G8" s="10"/>
      <c r="K8" s="1470">
        <v>42065</v>
      </c>
      <c r="L8" s="1471" t="s">
        <v>2129</v>
      </c>
      <c r="M8" s="1472">
        <v>4.5512999999999998E-2</v>
      </c>
      <c r="N8" s="1473">
        <v>1.00045513</v>
      </c>
      <c r="O8" s="1473">
        <v>1.00045513</v>
      </c>
    </row>
    <row r="9" spans="2:15">
      <c r="B9" s="1389">
        <v>32690</v>
      </c>
      <c r="C9" s="1390">
        <v>4.1940000000000002E-5</v>
      </c>
      <c r="D9" s="1390">
        <v>5.6092617030000002E-4</v>
      </c>
      <c r="E9" s="1390">
        <v>0</v>
      </c>
      <c r="F9" s="1390">
        <v>1</v>
      </c>
      <c r="K9" s="1470">
        <v>42066</v>
      </c>
      <c r="L9" s="1471" t="s">
        <v>2129</v>
      </c>
      <c r="M9" s="1472">
        <v>4.5512999999999998E-2</v>
      </c>
      <c r="N9" s="1473">
        <v>1.0009104671433169</v>
      </c>
      <c r="O9" s="1473">
        <v>1.0009104671433169</v>
      </c>
    </row>
    <row r="10" spans="2:15">
      <c r="B10" s="1389">
        <v>32721</v>
      </c>
      <c r="C10" s="1390">
        <v>5.7429999999999997E-5</v>
      </c>
      <c r="D10" s="1390">
        <v>7.5001448160000002E-4</v>
      </c>
      <c r="E10" s="1390">
        <v>0</v>
      </c>
      <c r="F10" s="1390">
        <v>1</v>
      </c>
      <c r="K10" s="1470">
        <v>42067</v>
      </c>
      <c r="L10" s="1471" t="s">
        <v>2129</v>
      </c>
      <c r="M10" s="1472">
        <v>4.5512999999999998E-2</v>
      </c>
      <c r="N10" s="1473">
        <v>1.0013660115242278</v>
      </c>
      <c r="O10" s="1473">
        <v>1.0013660115242278</v>
      </c>
    </row>
    <row r="11" spans="2:15">
      <c r="B11" s="1389">
        <v>32752</v>
      </c>
      <c r="C11" s="1390">
        <v>8.0350000000000001E-5</v>
      </c>
      <c r="D11" s="1390">
        <v>1.031719911E-3</v>
      </c>
      <c r="E11" s="1390">
        <v>0</v>
      </c>
      <c r="F11" s="1390">
        <v>1</v>
      </c>
      <c r="K11" s="1470">
        <v>42068</v>
      </c>
      <c r="L11" s="1471" t="s">
        <v>2129</v>
      </c>
      <c r="M11" s="1472">
        <v>4.7279000000000002E-2</v>
      </c>
      <c r="N11" s="1473">
        <v>1.0018394473608161</v>
      </c>
      <c r="O11" s="1473">
        <v>1.0018394473608161</v>
      </c>
    </row>
    <row r="12" spans="2:15">
      <c r="B12" s="1389">
        <v>32782</v>
      </c>
      <c r="C12" s="1390">
        <v>1.13E-4</v>
      </c>
      <c r="D12" s="1390">
        <v>1.4420348808E-3</v>
      </c>
      <c r="E12" s="1390">
        <v>0</v>
      </c>
      <c r="F12" s="1390">
        <v>1</v>
      </c>
      <c r="K12" s="1470">
        <v>42069</v>
      </c>
      <c r="L12" s="1471" t="s">
        <v>2129</v>
      </c>
      <c r="M12" s="1472">
        <v>4.7279000000000002E-2</v>
      </c>
      <c r="N12" s="1473">
        <v>1.0023131070331337</v>
      </c>
      <c r="O12" s="1473">
        <v>1.0023131070331337</v>
      </c>
    </row>
    <row r="13" spans="2:15">
      <c r="B13" s="1389">
        <v>32813</v>
      </c>
      <c r="C13" s="1390">
        <v>1.5873999999999999E-4</v>
      </c>
      <c r="D13" s="1390">
        <v>2.1316159802999999E-3</v>
      </c>
      <c r="E13" s="1390">
        <v>0</v>
      </c>
      <c r="F13" s="1390">
        <v>1</v>
      </c>
      <c r="K13" s="1470">
        <v>42070</v>
      </c>
      <c r="L13" s="1471"/>
      <c r="M13" s="1472">
        <v>0</v>
      </c>
      <c r="N13" s="1473">
        <v>1.0023131070331337</v>
      </c>
      <c r="O13" s="1473">
        <v>1.0023131070331337</v>
      </c>
    </row>
    <row r="14" spans="2:15">
      <c r="B14" s="1389">
        <v>32843</v>
      </c>
      <c r="C14" s="1390">
        <v>2.3356000000000001E-4</v>
      </c>
      <c r="D14" s="1390">
        <v>3.2293981927000001E-3</v>
      </c>
      <c r="E14" s="1390">
        <v>0</v>
      </c>
      <c r="F14" s="1390">
        <v>1</v>
      </c>
      <c r="K14" s="1470">
        <v>42071</v>
      </c>
      <c r="L14" s="1471"/>
      <c r="M14" s="1472">
        <v>0</v>
      </c>
      <c r="N14" s="1473">
        <v>1.0023131070331337</v>
      </c>
      <c r="O14" s="1473">
        <v>1.0023131070331337</v>
      </c>
    </row>
    <row r="15" spans="2:15">
      <c r="B15" s="1389">
        <v>32874</v>
      </c>
      <c r="C15" s="1390">
        <v>3.7711E-4</v>
      </c>
      <c r="D15" s="1390">
        <v>5.4108567453999999E-3</v>
      </c>
      <c r="E15" s="1390">
        <v>0</v>
      </c>
      <c r="F15" s="1390">
        <v>1</v>
      </c>
      <c r="K15" s="1470">
        <v>42072</v>
      </c>
      <c r="L15" s="1471" t="s">
        <v>2129</v>
      </c>
      <c r="M15" s="1472">
        <v>4.7279000000000002E-2</v>
      </c>
      <c r="N15" s="1473">
        <v>1.0027869906470077</v>
      </c>
      <c r="O15" s="1473">
        <v>1.0027869906470077</v>
      </c>
    </row>
    <row r="16" spans="2:15">
      <c r="B16" s="1389">
        <v>32905</v>
      </c>
      <c r="C16" s="1390">
        <v>6.8364999999999995E-4</v>
      </c>
      <c r="D16" s="1390">
        <v>9.5084984832999996E-3</v>
      </c>
      <c r="E16" s="1390">
        <v>0</v>
      </c>
      <c r="F16" s="1390">
        <v>1</v>
      </c>
      <c r="K16" s="1470">
        <v>42073</v>
      </c>
      <c r="L16" s="1471" t="s">
        <v>2129</v>
      </c>
      <c r="M16" s="1472">
        <v>4.7279000000000002E-2</v>
      </c>
      <c r="N16" s="1473">
        <v>1.0032610983083157</v>
      </c>
      <c r="O16" s="1473">
        <v>1.0032610983083157</v>
      </c>
    </row>
    <row r="17" spans="2:15">
      <c r="B17" s="1389">
        <v>32933</v>
      </c>
      <c r="C17" s="1390">
        <v>1.2575500000000001E-3</v>
      </c>
      <c r="D17" s="1390">
        <v>1.7342550351000002E-2</v>
      </c>
      <c r="E17" s="1390">
        <v>0</v>
      </c>
      <c r="F17" s="1390">
        <v>1</v>
      </c>
      <c r="K17" s="1470">
        <v>42074</v>
      </c>
      <c r="L17" s="1471" t="s">
        <v>2129</v>
      </c>
      <c r="M17" s="1472">
        <v>4.7279000000000002E-2</v>
      </c>
      <c r="N17" s="1473">
        <v>1.0037354301229848</v>
      </c>
      <c r="O17" s="1473">
        <v>1.0037354301229848</v>
      </c>
    </row>
    <row r="18" spans="2:15">
      <c r="B18" s="1389">
        <v>32964</v>
      </c>
      <c r="C18" s="1390">
        <v>1.61407E-3</v>
      </c>
      <c r="D18" s="1390">
        <v>2.00341140678E-2</v>
      </c>
      <c r="E18" s="1390">
        <v>0</v>
      </c>
      <c r="F18" s="1390">
        <v>1</v>
      </c>
      <c r="K18" s="1470">
        <v>42075</v>
      </c>
      <c r="L18" s="1471" t="s">
        <v>2129</v>
      </c>
      <c r="M18" s="1472">
        <v>4.7279000000000002E-2</v>
      </c>
      <c r="N18" s="1473">
        <v>1.0042099861969926</v>
      </c>
      <c r="O18" s="1473">
        <v>1.0042099861969926</v>
      </c>
    </row>
    <row r="19" spans="2:15">
      <c r="B19" s="1389">
        <v>32994</v>
      </c>
      <c r="C19" s="1390">
        <v>1.70973E-3</v>
      </c>
      <c r="D19" s="1390">
        <v>2.1554703244099999E-2</v>
      </c>
      <c r="E19" s="1390">
        <v>0</v>
      </c>
      <c r="F19" s="1390">
        <v>1</v>
      </c>
      <c r="K19" s="1470">
        <v>42076</v>
      </c>
      <c r="L19" s="1471" t="s">
        <v>2129</v>
      </c>
      <c r="M19" s="1472">
        <v>4.7279000000000002E-2</v>
      </c>
      <c r="N19" s="1473">
        <v>1.0046847666363665</v>
      </c>
      <c r="O19" s="1473">
        <v>1.0046847666363665</v>
      </c>
    </row>
    <row r="20" spans="2:15">
      <c r="B20" s="1389">
        <v>33025</v>
      </c>
      <c r="C20" s="1390">
        <v>1.87962E-3</v>
      </c>
      <c r="D20" s="1390">
        <v>2.4087380951899998E-2</v>
      </c>
      <c r="E20" s="1390">
        <v>0</v>
      </c>
      <c r="F20" s="1390">
        <v>1</v>
      </c>
      <c r="K20" s="1470">
        <v>42077</v>
      </c>
      <c r="L20" s="1471"/>
      <c r="M20" s="1472">
        <v>0</v>
      </c>
      <c r="N20" s="1473">
        <v>1.0046847666363665</v>
      </c>
      <c r="O20" s="1473">
        <v>1.0046847666363665</v>
      </c>
    </row>
    <row r="21" spans="2:15">
      <c r="B21" s="1389">
        <v>33055</v>
      </c>
      <c r="C21" s="1390">
        <v>2.10539E-3</v>
      </c>
      <c r="D21" s="1390">
        <v>2.7199470492E-2</v>
      </c>
      <c r="E21" s="1390">
        <v>0</v>
      </c>
      <c r="F21" s="1390">
        <v>1</v>
      </c>
      <c r="K21" s="1470">
        <v>42078</v>
      </c>
      <c r="L21" s="1471"/>
      <c r="M21" s="1472">
        <v>0</v>
      </c>
      <c r="N21" s="1473">
        <v>1.0046847666363665</v>
      </c>
      <c r="O21" s="1473">
        <v>1.0046847666363665</v>
      </c>
    </row>
    <row r="22" spans="2:15">
      <c r="B22" s="1389">
        <v>33086</v>
      </c>
      <c r="C22" s="1390">
        <v>2.39215E-3</v>
      </c>
      <c r="D22" s="1390">
        <v>3.0702762318699998E-2</v>
      </c>
      <c r="E22" s="1390">
        <v>0</v>
      </c>
      <c r="F22" s="1390">
        <v>1</v>
      </c>
      <c r="K22" s="1470">
        <v>42079</v>
      </c>
      <c r="L22" s="1471" t="s">
        <v>2129</v>
      </c>
      <c r="M22" s="1472">
        <v>4.7279000000000002E-2</v>
      </c>
      <c r="N22" s="1473">
        <v>1.0051597715471845</v>
      </c>
      <c r="O22" s="1473">
        <v>1.0051597715471845</v>
      </c>
    </row>
    <row r="23" spans="2:15">
      <c r="B23" s="1389">
        <v>33117</v>
      </c>
      <c r="C23" s="1390">
        <v>2.6984000000000001E-3</v>
      </c>
      <c r="D23" s="1390">
        <v>3.51270304097E-2</v>
      </c>
      <c r="E23" s="1390">
        <v>0</v>
      </c>
      <c r="F23" s="1390">
        <v>1</v>
      </c>
      <c r="K23" s="1470">
        <v>42080</v>
      </c>
      <c r="L23" s="1471" t="s">
        <v>2129</v>
      </c>
      <c r="M23" s="1472">
        <v>4.7279000000000002E-2</v>
      </c>
      <c r="N23" s="1473">
        <v>1.0056350010355741</v>
      </c>
      <c r="O23" s="1473">
        <v>1.0056350010355741</v>
      </c>
    </row>
    <row r="24" spans="2:15">
      <c r="B24" s="1389">
        <v>33147</v>
      </c>
      <c r="C24" s="1390">
        <v>3.0483699999999999E-3</v>
      </c>
      <c r="D24" s="1390">
        <v>4.0171272055300002E-2</v>
      </c>
      <c r="E24" s="1390">
        <v>0</v>
      </c>
      <c r="F24" s="1390">
        <v>1</v>
      </c>
      <c r="K24" s="1470">
        <v>42081</v>
      </c>
      <c r="L24" s="1471" t="s">
        <v>2129</v>
      </c>
      <c r="M24" s="1472">
        <v>4.7279000000000002E-2</v>
      </c>
      <c r="N24" s="1473">
        <v>1.0061104552077136</v>
      </c>
      <c r="O24" s="1473">
        <v>1.0061104552077136</v>
      </c>
    </row>
    <row r="25" spans="2:15">
      <c r="B25" s="1389">
        <v>33178</v>
      </c>
      <c r="C25" s="1390">
        <v>3.5622900000000001E-3</v>
      </c>
      <c r="D25" s="1390">
        <v>4.6924062784199999E-2</v>
      </c>
      <c r="E25" s="1390">
        <v>0</v>
      </c>
      <c r="F25" s="1390">
        <v>1</v>
      </c>
      <c r="K25" s="1470">
        <v>42082</v>
      </c>
      <c r="L25" s="1471" t="s">
        <v>2129</v>
      </c>
      <c r="M25" s="1472">
        <v>4.7279000000000002E-2</v>
      </c>
      <c r="N25" s="1473">
        <v>1.0065861341698312</v>
      </c>
      <c r="O25" s="1473">
        <v>1.0065861341698312</v>
      </c>
    </row>
    <row r="26" spans="2:15">
      <c r="B26" s="1389">
        <v>33208</v>
      </c>
      <c r="C26" s="1390">
        <v>4.2034799999999999E-3</v>
      </c>
      <c r="D26" s="1390">
        <v>5.5576860018600002E-2</v>
      </c>
      <c r="E26" s="1390">
        <v>0</v>
      </c>
      <c r="F26" s="1390">
        <v>1</v>
      </c>
      <c r="K26" s="1470">
        <v>42083</v>
      </c>
      <c r="L26" s="1471" t="s">
        <v>2129</v>
      </c>
      <c r="M26" s="1472">
        <v>4.7279000000000002E-2</v>
      </c>
      <c r="N26" s="1473">
        <v>1.0070620380282054</v>
      </c>
      <c r="O26" s="1473">
        <v>1.0070620380282054</v>
      </c>
    </row>
    <row r="27" spans="2:15">
      <c r="B27" s="1389">
        <v>33239</v>
      </c>
      <c r="C27" s="1390">
        <v>4.9475200000000004E-3</v>
      </c>
      <c r="D27" s="1390">
        <v>6.7109058472399993E-2</v>
      </c>
      <c r="E27" s="1390">
        <v>0</v>
      </c>
      <c r="F27" s="1390">
        <v>1</v>
      </c>
      <c r="K27" s="1470">
        <v>42084</v>
      </c>
      <c r="L27" s="1471"/>
      <c r="M27" s="1472">
        <v>0</v>
      </c>
      <c r="N27" s="1473">
        <v>1.0070620380282054</v>
      </c>
      <c r="O27" s="1473">
        <v>1.0070620380282054</v>
      </c>
    </row>
    <row r="28" spans="2:15">
      <c r="B28" s="1389">
        <v>33270</v>
      </c>
      <c r="C28" s="1390">
        <v>5.9873900000000004E-3</v>
      </c>
      <c r="D28" s="1390">
        <v>8.1014388849100005E-2</v>
      </c>
      <c r="E28" s="1390">
        <v>0</v>
      </c>
      <c r="F28" s="1390">
        <v>1</v>
      </c>
      <c r="K28" s="1470">
        <v>42085</v>
      </c>
      <c r="L28" s="1471"/>
      <c r="M28" s="1472">
        <v>0</v>
      </c>
      <c r="N28" s="1473">
        <v>1.0070620380282054</v>
      </c>
      <c r="O28" s="1473">
        <v>1.0070620380282054</v>
      </c>
    </row>
    <row r="29" spans="2:15">
      <c r="B29" s="1389">
        <v>33298</v>
      </c>
      <c r="C29" s="1390">
        <v>6.5374099999999996E-3</v>
      </c>
      <c r="D29" s="1390">
        <v>9.0673647120300002E-2</v>
      </c>
      <c r="E29" s="1390">
        <v>0</v>
      </c>
      <c r="F29" s="1390">
        <v>1</v>
      </c>
      <c r="K29" s="1470">
        <v>42086</v>
      </c>
      <c r="L29" s="1471" t="s">
        <v>2129</v>
      </c>
      <c r="M29" s="1472">
        <v>4.7279000000000002E-2</v>
      </c>
      <c r="N29" s="1473">
        <v>1.0075381668891645</v>
      </c>
      <c r="O29" s="1473">
        <v>1.0075381668891645</v>
      </c>
    </row>
    <row r="30" spans="2:15">
      <c r="B30" s="1389">
        <v>33329</v>
      </c>
      <c r="C30" s="1390">
        <v>7.0477600000000001E-3</v>
      </c>
      <c r="D30" s="1390">
        <v>9.5197603525800006E-2</v>
      </c>
      <c r="E30" s="1390">
        <v>0</v>
      </c>
      <c r="F30" s="1390">
        <v>1</v>
      </c>
      <c r="K30" s="1470">
        <v>42087</v>
      </c>
      <c r="L30" s="1471" t="s">
        <v>2129</v>
      </c>
      <c r="M30" s="1472">
        <v>4.7279000000000002E-2</v>
      </c>
      <c r="N30" s="1473">
        <v>1.008014520859088</v>
      </c>
      <c r="O30" s="1473">
        <v>1.008014520859088</v>
      </c>
    </row>
    <row r="31" spans="2:15">
      <c r="B31" s="1389">
        <v>33359</v>
      </c>
      <c r="C31" s="1390">
        <v>7.57502E-3</v>
      </c>
      <c r="D31" s="1390">
        <v>0.10227253780620001</v>
      </c>
      <c r="E31" s="1390">
        <v>0</v>
      </c>
      <c r="F31" s="1390">
        <v>1</v>
      </c>
      <c r="K31" s="1470">
        <v>42088</v>
      </c>
      <c r="L31" s="1471" t="s">
        <v>2129</v>
      </c>
      <c r="M31" s="1472">
        <v>4.7279000000000002E-2</v>
      </c>
      <c r="N31" s="1473">
        <v>1.008491100044405</v>
      </c>
      <c r="O31" s="1473">
        <v>1.008491100044405</v>
      </c>
    </row>
    <row r="32" spans="2:15">
      <c r="B32" s="1389">
        <v>33390</v>
      </c>
      <c r="C32" s="1390">
        <v>8.2174099999999996E-3</v>
      </c>
      <c r="D32" s="1390">
        <v>0.113715813284</v>
      </c>
      <c r="E32" s="1390">
        <v>0</v>
      </c>
      <c r="F32" s="1390">
        <v>1</v>
      </c>
      <c r="K32" s="1470">
        <v>42089</v>
      </c>
      <c r="L32" s="1471" t="s">
        <v>2129</v>
      </c>
      <c r="M32" s="1472">
        <v>4.7279000000000002E-2</v>
      </c>
      <c r="N32" s="1473">
        <v>1.0089679045515949</v>
      </c>
      <c r="O32" s="1473">
        <v>1.0089679045515949</v>
      </c>
    </row>
    <row r="33" spans="2:15">
      <c r="B33" s="1389">
        <v>33420</v>
      </c>
      <c r="C33" s="1390">
        <v>9.3037399999999996E-3</v>
      </c>
      <c r="D33" s="1390">
        <v>0.12782677804270001</v>
      </c>
      <c r="E33" s="1390">
        <v>0</v>
      </c>
      <c r="F33" s="1390">
        <v>1</v>
      </c>
      <c r="K33" s="1470">
        <v>42090</v>
      </c>
      <c r="L33" s="1471" t="s">
        <v>2129</v>
      </c>
      <c r="M33" s="1472">
        <v>4.7279000000000002E-2</v>
      </c>
      <c r="N33" s="1473">
        <v>1.0094449344871876</v>
      </c>
      <c r="O33" s="1473">
        <v>1.0094449344871876</v>
      </c>
    </row>
    <row r="34" spans="2:15">
      <c r="B34" s="1389">
        <v>33451</v>
      </c>
      <c r="C34" s="1390">
        <v>1.072268E-2</v>
      </c>
      <c r="D34" s="1390">
        <v>0.14780665921940001</v>
      </c>
      <c r="E34" s="1391">
        <v>0</v>
      </c>
      <c r="F34" s="1391">
        <v>1</v>
      </c>
      <c r="K34" s="1470">
        <v>42091</v>
      </c>
      <c r="L34" s="1471"/>
      <c r="M34" s="1472">
        <v>0</v>
      </c>
      <c r="N34" s="1473">
        <v>1.0094449344871876</v>
      </c>
      <c r="O34" s="1473">
        <v>1.0094449344871876</v>
      </c>
    </row>
    <row r="35" spans="2:15">
      <c r="B35" s="1389">
        <v>33482</v>
      </c>
      <c r="C35" s="1390">
        <v>1.232337E-2</v>
      </c>
      <c r="D35" s="1390">
        <v>0.17090995992909999</v>
      </c>
      <c r="E35" s="1391">
        <v>0</v>
      </c>
      <c r="F35" s="1391">
        <v>1</v>
      </c>
      <c r="K35" s="1470">
        <v>42092</v>
      </c>
      <c r="L35" s="1471"/>
      <c r="M35" s="1472">
        <v>0</v>
      </c>
      <c r="N35" s="1473">
        <v>1.0094449344871876</v>
      </c>
      <c r="O35" s="1473">
        <v>1.0094449344871876</v>
      </c>
    </row>
    <row r="36" spans="2:15">
      <c r="B36" s="1389">
        <v>33512</v>
      </c>
      <c r="C36" s="1390">
        <v>1.5112230000000001E-2</v>
      </c>
      <c r="D36" s="1390">
        <v>0.20548432454660001</v>
      </c>
      <c r="E36" s="1391">
        <v>0</v>
      </c>
      <c r="F36" s="1391">
        <v>1</v>
      </c>
      <c r="K36" s="1470">
        <v>42093</v>
      </c>
      <c r="L36" s="1471" t="s">
        <v>2129</v>
      </c>
      <c r="M36" s="1472">
        <v>4.7279000000000002E-2</v>
      </c>
      <c r="N36" s="1473">
        <v>1.0099221899577637</v>
      </c>
      <c r="O36" s="1473">
        <v>1.0099221899577637</v>
      </c>
    </row>
    <row r="37" spans="2:15">
      <c r="B37" s="1389">
        <v>33543</v>
      </c>
      <c r="C37" s="1390">
        <v>1.8984250000000001E-2</v>
      </c>
      <c r="D37" s="1390">
        <v>0.2572875157699</v>
      </c>
      <c r="E37" s="1391">
        <v>0</v>
      </c>
      <c r="F37" s="1391">
        <v>1</v>
      </c>
      <c r="K37" s="1470">
        <v>42094</v>
      </c>
      <c r="L37" s="1471" t="s">
        <v>2129</v>
      </c>
      <c r="M37" s="1472">
        <v>4.7279000000000002E-2</v>
      </c>
      <c r="N37" s="1473">
        <v>1.0103996710699537</v>
      </c>
      <c r="O37" s="1473">
        <v>1.0103996710699537</v>
      </c>
    </row>
    <row r="38" spans="2:15">
      <c r="B38" s="1389">
        <v>33573</v>
      </c>
      <c r="C38" s="1390">
        <v>2.347107E-2</v>
      </c>
      <c r="D38" s="1390">
        <v>0.31828867732630001</v>
      </c>
      <c r="E38" s="1391">
        <v>0</v>
      </c>
      <c r="F38" s="1391">
        <v>1</v>
      </c>
      <c r="K38" s="1470">
        <v>42095</v>
      </c>
      <c r="L38" s="1471" t="s">
        <v>2129</v>
      </c>
      <c r="M38" s="1472">
        <v>4.7279000000000002E-2</v>
      </c>
      <c r="N38" s="1473">
        <v>1.0108773779304387</v>
      </c>
      <c r="O38" s="1473">
        <v>1.0108773779304387</v>
      </c>
    </row>
    <row r="39" spans="2:15">
      <c r="B39" s="1389">
        <v>33604</v>
      </c>
      <c r="C39" s="1390">
        <v>2.9000140000000001E-2</v>
      </c>
      <c r="D39" s="1390">
        <v>0.40085366056990002</v>
      </c>
      <c r="E39" s="1391">
        <v>0</v>
      </c>
      <c r="F39" s="1391">
        <v>1</v>
      </c>
      <c r="K39" s="1470">
        <v>42096</v>
      </c>
      <c r="L39" s="1471" t="s">
        <v>2129</v>
      </c>
      <c r="M39" s="1472">
        <v>4.7279000000000002E-2</v>
      </c>
      <c r="N39" s="1473">
        <v>1.0113553106459503</v>
      </c>
      <c r="O39" s="1473">
        <v>1.0113553106459503</v>
      </c>
    </row>
    <row r="40" spans="2:15">
      <c r="B40" s="1389">
        <v>33635</v>
      </c>
      <c r="C40" s="1390">
        <v>3.7078809999999997E-2</v>
      </c>
      <c r="D40" s="1390">
        <v>0.49834103072840003</v>
      </c>
      <c r="E40" s="1391">
        <v>0</v>
      </c>
      <c r="F40" s="1391">
        <v>1</v>
      </c>
      <c r="K40" s="1470">
        <v>42097</v>
      </c>
      <c r="L40" s="1471"/>
      <c r="M40" s="1472">
        <v>0</v>
      </c>
      <c r="N40" s="1473">
        <v>1.0113553106459503</v>
      </c>
      <c r="O40" s="1473">
        <v>1.0113553106459503</v>
      </c>
    </row>
    <row r="41" spans="2:15">
      <c r="B41" s="1389">
        <v>33664</v>
      </c>
      <c r="C41" s="1390">
        <v>4.501144E-2</v>
      </c>
      <c r="D41" s="1390">
        <v>0.60498746741809994</v>
      </c>
      <c r="E41" s="1391">
        <v>0</v>
      </c>
      <c r="F41" s="1391">
        <v>1</v>
      </c>
      <c r="K41" s="1470">
        <v>42098</v>
      </c>
      <c r="L41" s="1471"/>
      <c r="M41" s="1472">
        <v>0</v>
      </c>
      <c r="N41" s="1473">
        <v>1.0113553106459503</v>
      </c>
      <c r="O41" s="1473">
        <v>1.0113553106459503</v>
      </c>
    </row>
    <row r="42" spans="2:15">
      <c r="B42" s="1389">
        <v>33695</v>
      </c>
      <c r="C42" s="1390">
        <v>5.3986060000000002E-2</v>
      </c>
      <c r="D42" s="1390">
        <v>0.72556146522830001</v>
      </c>
      <c r="E42" s="1391">
        <v>0</v>
      </c>
      <c r="F42" s="1391">
        <v>1</v>
      </c>
      <c r="K42" s="1470">
        <v>42099</v>
      </c>
      <c r="L42" s="1471"/>
      <c r="M42" s="1472">
        <v>0</v>
      </c>
      <c r="N42" s="1473">
        <v>1.0113553106459503</v>
      </c>
      <c r="O42" s="1473">
        <v>1.0113553106459503</v>
      </c>
    </row>
    <row r="43" spans="2:15">
      <c r="B43" s="1389">
        <v>33725</v>
      </c>
      <c r="C43" s="1390">
        <v>6.5012799999999996E-2</v>
      </c>
      <c r="D43" s="1390">
        <v>0.90593616441860003</v>
      </c>
      <c r="E43" s="1391">
        <v>0</v>
      </c>
      <c r="F43" s="1391">
        <v>1</v>
      </c>
      <c r="K43" s="1470">
        <v>42100</v>
      </c>
      <c r="L43" s="1471" t="s">
        <v>2129</v>
      </c>
      <c r="M43" s="1472">
        <v>4.7279000000000002E-2</v>
      </c>
      <c r="N43" s="1473">
        <v>1.0118334693232705</v>
      </c>
      <c r="O43" s="1473">
        <v>1.0118334693232705</v>
      </c>
    </row>
    <row r="44" spans="2:15">
      <c r="B44" s="1389">
        <v>33756</v>
      </c>
      <c r="C44" s="1390">
        <v>8.0361459999999996E-2</v>
      </c>
      <c r="D44" s="1390">
        <v>1.0890285720637001</v>
      </c>
      <c r="E44" s="1391">
        <v>0</v>
      </c>
      <c r="F44" s="1391">
        <v>1</v>
      </c>
      <c r="K44" s="1470">
        <v>42101</v>
      </c>
      <c r="L44" s="1471" t="s">
        <v>2129</v>
      </c>
      <c r="M44" s="1472">
        <v>4.7279000000000002E-2</v>
      </c>
      <c r="N44" s="1473">
        <v>1.0123118540692317</v>
      </c>
      <c r="O44" s="1473">
        <v>1.0123118540692317</v>
      </c>
    </row>
    <row r="45" spans="2:15">
      <c r="B45" s="1389">
        <v>33786</v>
      </c>
      <c r="C45" s="1390">
        <v>9.7908469999999997E-2</v>
      </c>
      <c r="D45" s="1390">
        <v>1.3267641484791</v>
      </c>
      <c r="E45" s="1391">
        <v>0</v>
      </c>
      <c r="F45" s="1391">
        <v>1</v>
      </c>
      <c r="K45" s="1470">
        <v>42102</v>
      </c>
      <c r="L45" s="1471" t="s">
        <v>2129</v>
      </c>
      <c r="M45" s="1472">
        <v>4.7279000000000002E-2</v>
      </c>
      <c r="N45" s="1473">
        <v>1.0127904649907171</v>
      </c>
      <c r="O45" s="1473">
        <v>1.0127904649907171</v>
      </c>
    </row>
    <row r="46" spans="2:15">
      <c r="B46" s="1389">
        <v>33817</v>
      </c>
      <c r="C46" s="1390">
        <v>0.12202180999999999</v>
      </c>
      <c r="D46" s="1390">
        <v>1.6205100844213001</v>
      </c>
      <c r="E46" s="1391">
        <v>0</v>
      </c>
      <c r="F46" s="1391">
        <v>1</v>
      </c>
      <c r="K46" s="1470">
        <v>42103</v>
      </c>
      <c r="L46" s="1471" t="s">
        <v>2129</v>
      </c>
      <c r="M46" s="1472">
        <v>4.7279000000000002E-2</v>
      </c>
      <c r="N46" s="1473">
        <v>1.0132693021946599</v>
      </c>
      <c r="O46" s="1473">
        <v>1.0132693021946599</v>
      </c>
    </row>
    <row r="47" spans="2:15">
      <c r="B47" s="1389">
        <v>33848</v>
      </c>
      <c r="C47" s="1390">
        <v>0.15285811999999999</v>
      </c>
      <c r="D47" s="1390">
        <v>2.0196408623306001</v>
      </c>
      <c r="E47" s="1391">
        <v>0</v>
      </c>
      <c r="F47" s="1391">
        <v>1</v>
      </c>
      <c r="K47" s="1470">
        <v>42104</v>
      </c>
      <c r="L47" s="1471" t="s">
        <v>2129</v>
      </c>
      <c r="M47" s="1472">
        <v>4.7279000000000002E-2</v>
      </c>
      <c r="N47" s="1473">
        <v>1.0137483657880444</v>
      </c>
      <c r="O47" s="1473">
        <v>1.0137483657880444</v>
      </c>
    </row>
    <row r="48" spans="2:15">
      <c r="B48" s="1389">
        <v>33878</v>
      </c>
      <c r="C48" s="1390">
        <v>0.19376498</v>
      </c>
      <c r="D48" s="1390">
        <v>2.5293973801068002</v>
      </c>
      <c r="E48" s="1391">
        <v>0</v>
      </c>
      <c r="F48" s="1391">
        <v>1</v>
      </c>
      <c r="K48" s="1470">
        <v>42105</v>
      </c>
      <c r="L48" s="1471"/>
      <c r="M48" s="1472">
        <v>0</v>
      </c>
      <c r="N48" s="1473">
        <v>1.0137483657880444</v>
      </c>
      <c r="O48" s="1473">
        <v>1.0137483657880444</v>
      </c>
    </row>
    <row r="49" spans="2:15">
      <c r="B49" s="1389">
        <v>33909</v>
      </c>
      <c r="C49" s="1390">
        <v>0.23916162999999999</v>
      </c>
      <c r="D49" s="1390">
        <v>3.0982598885127999</v>
      </c>
      <c r="E49" s="1391">
        <v>0</v>
      </c>
      <c r="F49" s="1391">
        <v>1</v>
      </c>
      <c r="K49" s="1470">
        <v>42106</v>
      </c>
      <c r="L49" s="1471"/>
      <c r="M49" s="1472">
        <v>0</v>
      </c>
      <c r="N49" s="1473">
        <v>1.0137483657880444</v>
      </c>
      <c r="O49" s="1473">
        <v>1.0137483657880444</v>
      </c>
    </row>
    <row r="50" spans="2:15">
      <c r="B50" s="1389">
        <v>33939</v>
      </c>
      <c r="C50" s="1390">
        <v>0.29913278999999998</v>
      </c>
      <c r="D50" s="1390">
        <v>3.8802596550900001</v>
      </c>
      <c r="E50" s="1391">
        <v>0</v>
      </c>
      <c r="F50" s="1391">
        <v>1</v>
      </c>
      <c r="K50" s="1470">
        <v>42107</v>
      </c>
      <c r="L50" s="1471" t="s">
        <v>2129</v>
      </c>
      <c r="M50" s="1472">
        <v>4.7279000000000002E-2</v>
      </c>
      <c r="N50" s="1473">
        <v>1.0142276558779053</v>
      </c>
      <c r="O50" s="1473">
        <v>1.0142276558779053</v>
      </c>
    </row>
    <row r="51" spans="2:15">
      <c r="B51" s="1389">
        <v>33970</v>
      </c>
      <c r="C51" s="1390">
        <v>0.37638683000000001</v>
      </c>
      <c r="D51" s="1390">
        <v>5.0579166458253004</v>
      </c>
      <c r="E51" s="1391">
        <v>0</v>
      </c>
      <c r="F51" s="1391">
        <v>1</v>
      </c>
      <c r="K51" s="1470">
        <v>42108</v>
      </c>
      <c r="L51" s="1471" t="s">
        <v>2129</v>
      </c>
      <c r="M51" s="1472">
        <v>4.7279000000000002E-2</v>
      </c>
      <c r="N51" s="1473">
        <v>1.0147071725713277</v>
      </c>
      <c r="O51" s="1473">
        <v>1.0147071725713277</v>
      </c>
    </row>
    <row r="52" spans="2:15">
      <c r="B52" s="1389">
        <v>34001</v>
      </c>
      <c r="C52" s="1390">
        <v>0.48335073000000001</v>
      </c>
      <c r="D52" s="1390">
        <v>6.3213843084293</v>
      </c>
      <c r="E52" s="1391">
        <v>0</v>
      </c>
      <c r="F52" s="1391">
        <v>1</v>
      </c>
      <c r="K52" s="1470">
        <v>42109</v>
      </c>
      <c r="L52" s="1471" t="s">
        <v>2129</v>
      </c>
      <c r="M52" s="1472">
        <v>4.7279000000000002E-2</v>
      </c>
      <c r="N52" s="1473">
        <v>1.0151869159754476</v>
      </c>
      <c r="O52" s="1473">
        <v>1.0151869159754476</v>
      </c>
    </row>
    <row r="53" spans="2:15">
      <c r="B53" s="1389">
        <v>34029</v>
      </c>
      <c r="C53" s="1390">
        <v>0.61023090000000002</v>
      </c>
      <c r="D53" s="1390">
        <v>8.0445948724788998</v>
      </c>
      <c r="E53" s="1391">
        <v>0</v>
      </c>
      <c r="F53" s="1391">
        <v>1</v>
      </c>
      <c r="K53" s="1470">
        <v>42110</v>
      </c>
      <c r="L53" s="1471" t="s">
        <v>2129</v>
      </c>
      <c r="M53" s="1472">
        <v>4.7279000000000002E-2</v>
      </c>
      <c r="N53" s="1473">
        <v>1.0156668861974516</v>
      </c>
      <c r="O53" s="1473">
        <v>1.0156668861974516</v>
      </c>
    </row>
    <row r="54" spans="2:15">
      <c r="B54" s="1389">
        <v>34060</v>
      </c>
      <c r="C54" s="1390">
        <v>0.78617482000000005</v>
      </c>
      <c r="D54" s="1390">
        <v>10.2769672819025</v>
      </c>
      <c r="E54" s="1391">
        <v>0</v>
      </c>
      <c r="F54" s="1391">
        <v>1</v>
      </c>
      <c r="K54" s="1470">
        <v>42111</v>
      </c>
      <c r="L54" s="1471" t="s">
        <v>2129</v>
      </c>
      <c r="M54" s="1472">
        <v>4.7279000000000002E-2</v>
      </c>
      <c r="N54" s="1473">
        <v>1.0161470833445767</v>
      </c>
      <c r="O54" s="1473">
        <v>1.0161470833445767</v>
      </c>
    </row>
    <row r="55" spans="2:15">
      <c r="B55" s="1389">
        <v>34090</v>
      </c>
      <c r="C55" s="1390">
        <v>1.01968087</v>
      </c>
      <c r="D55" s="1390">
        <v>13.1226581300609</v>
      </c>
      <c r="E55" s="1391">
        <v>0</v>
      </c>
      <c r="F55" s="1391">
        <v>1</v>
      </c>
      <c r="K55" s="1470">
        <v>42112</v>
      </c>
      <c r="L55" s="1471"/>
      <c r="M55" s="1472">
        <v>0</v>
      </c>
      <c r="N55" s="1473">
        <v>1.0161470833445767</v>
      </c>
      <c r="O55" s="1473">
        <v>1.0161470833445767</v>
      </c>
    </row>
    <row r="56" spans="2:15">
      <c r="B56" s="1389">
        <v>34121</v>
      </c>
      <c r="C56" s="1390">
        <v>1.3408208699999999</v>
      </c>
      <c r="D56" s="1390">
        <v>17.068642979808899</v>
      </c>
      <c r="E56" s="1391">
        <v>0</v>
      </c>
      <c r="F56" s="1391">
        <v>1</v>
      </c>
      <c r="K56" s="1470">
        <v>42113</v>
      </c>
      <c r="L56" s="1471"/>
      <c r="M56" s="1472">
        <v>0</v>
      </c>
      <c r="N56" s="1473">
        <v>1.0161470833445767</v>
      </c>
      <c r="O56" s="1473">
        <v>1.0161470833445767</v>
      </c>
    </row>
    <row r="57" spans="2:15">
      <c r="B57" s="1389">
        <v>34151</v>
      </c>
      <c r="C57" s="1390">
        <v>1.75984608</v>
      </c>
      <c r="D57" s="1390">
        <v>22.312130761236201</v>
      </c>
      <c r="E57" s="1391">
        <v>0</v>
      </c>
      <c r="F57" s="1391">
        <v>1</v>
      </c>
      <c r="K57" s="1470">
        <v>42114</v>
      </c>
      <c r="L57" s="1471" t="s">
        <v>2129</v>
      </c>
      <c r="M57" s="1472">
        <v>4.7279000000000002E-2</v>
      </c>
      <c r="N57" s="1473">
        <v>1.0166275075241111</v>
      </c>
      <c r="O57" s="1473">
        <v>1.0166275075241111</v>
      </c>
    </row>
    <row r="58" spans="2:15">
      <c r="B58" s="1389">
        <v>34182</v>
      </c>
      <c r="C58" s="1390">
        <v>2.31923637</v>
      </c>
      <c r="D58" s="1390">
        <v>29.666210936414501</v>
      </c>
      <c r="E58" s="1391">
        <v>0</v>
      </c>
      <c r="F58" s="1391">
        <v>1</v>
      </c>
      <c r="K58" s="1470">
        <v>42115</v>
      </c>
      <c r="L58" s="1471"/>
      <c r="M58" s="1472">
        <v>0</v>
      </c>
      <c r="N58" s="1473">
        <v>1.0166275075241111</v>
      </c>
      <c r="O58" s="1473">
        <v>1.0166275075241111</v>
      </c>
    </row>
    <row r="59" spans="2:15">
      <c r="B59" s="1389">
        <v>34213</v>
      </c>
      <c r="C59" s="1390">
        <v>3.1375231000000001</v>
      </c>
      <c r="D59" s="1390">
        <v>40.254080730946797</v>
      </c>
      <c r="E59" s="1391">
        <v>0</v>
      </c>
      <c r="F59" s="1391">
        <v>1</v>
      </c>
      <c r="K59" s="1470">
        <v>42116</v>
      </c>
      <c r="L59" s="1471" t="s">
        <v>2129</v>
      </c>
      <c r="M59" s="1472">
        <v>4.7279000000000002E-2</v>
      </c>
      <c r="N59" s="1473">
        <v>1.0171081588433935</v>
      </c>
      <c r="O59" s="1473">
        <v>1.0171081588433935</v>
      </c>
    </row>
    <row r="60" spans="2:15">
      <c r="B60" s="1389">
        <v>34243</v>
      </c>
      <c r="C60" s="1390">
        <v>4.2367972299999996</v>
      </c>
      <c r="D60" s="1390">
        <v>53.908264834853298</v>
      </c>
      <c r="E60" s="1391">
        <v>0</v>
      </c>
      <c r="F60" s="1391">
        <v>1</v>
      </c>
      <c r="K60" s="1470">
        <v>42117</v>
      </c>
      <c r="L60" s="1471" t="s">
        <v>2129</v>
      </c>
      <c r="M60" s="1472">
        <v>4.7279000000000002E-2</v>
      </c>
      <c r="N60" s="1473">
        <v>1.0175890374098129</v>
      </c>
      <c r="O60" s="1473">
        <v>1.0175890374098129</v>
      </c>
    </row>
    <row r="61" spans="2:15">
      <c r="B61" s="1389">
        <v>34274</v>
      </c>
      <c r="C61" s="1390">
        <v>5.7685216500000003</v>
      </c>
      <c r="D61" s="1390">
        <v>73.078046584524003</v>
      </c>
      <c r="E61" s="1391">
        <v>0</v>
      </c>
      <c r="F61" s="1391">
        <v>1</v>
      </c>
      <c r="K61" s="1470">
        <v>42118</v>
      </c>
      <c r="L61" s="1471" t="s">
        <v>2129</v>
      </c>
      <c r="M61" s="1472">
        <v>4.7279000000000002E-2</v>
      </c>
      <c r="N61" s="1473">
        <v>1.0180701433308097</v>
      </c>
      <c r="O61" s="1473">
        <v>1.0180701433308097</v>
      </c>
    </row>
    <row r="62" spans="2:15">
      <c r="B62" s="1389">
        <v>34304</v>
      </c>
      <c r="C62" s="1390">
        <v>7.9792505900000004</v>
      </c>
      <c r="D62" s="1390">
        <v>100</v>
      </c>
      <c r="E62" s="1391">
        <v>0</v>
      </c>
      <c r="F62" s="1391">
        <v>1</v>
      </c>
      <c r="K62" s="1470">
        <v>42119</v>
      </c>
      <c r="L62" s="1471"/>
      <c r="M62" s="1472">
        <v>0</v>
      </c>
      <c r="N62" s="1473">
        <v>1.0180701433308097</v>
      </c>
      <c r="O62" s="1473">
        <v>1.0180701433308097</v>
      </c>
    </row>
    <row r="63" spans="2:15">
      <c r="B63" s="1389">
        <v>34335</v>
      </c>
      <c r="C63" s="1390">
        <v>11.0967647</v>
      </c>
      <c r="D63" s="1390">
        <v>141.31</v>
      </c>
      <c r="E63" s="1391">
        <v>0</v>
      </c>
      <c r="F63" s="1391">
        <v>1</v>
      </c>
      <c r="K63" s="1470">
        <v>42120</v>
      </c>
      <c r="L63" s="1471"/>
      <c r="M63" s="1472">
        <v>0</v>
      </c>
      <c r="N63" s="1473">
        <v>1.0180701433308097</v>
      </c>
      <c r="O63" s="1473">
        <v>1.0180701433308097</v>
      </c>
    </row>
    <row r="64" spans="2:15">
      <c r="B64" s="1389">
        <v>34366</v>
      </c>
      <c r="C64" s="1390">
        <v>15.62186911</v>
      </c>
      <c r="D64" s="1390">
        <v>198.22</v>
      </c>
      <c r="E64" s="1391">
        <v>0</v>
      </c>
      <c r="F64" s="1391">
        <v>1</v>
      </c>
      <c r="K64" s="1470">
        <v>42121</v>
      </c>
      <c r="L64" s="1471" t="s">
        <v>2129</v>
      </c>
      <c r="M64" s="1472">
        <v>4.7314000000000002E-2</v>
      </c>
      <c r="N64" s="1473">
        <v>1.0185518330384251</v>
      </c>
      <c r="O64" s="1473">
        <v>1.0185518330384251</v>
      </c>
    </row>
    <row r="65" spans="2:15">
      <c r="B65" s="1389">
        <v>34394</v>
      </c>
      <c r="C65" s="1390">
        <v>22.762782099999999</v>
      </c>
      <c r="D65" s="1390">
        <v>282.95999999999998</v>
      </c>
      <c r="E65" s="1391">
        <v>0</v>
      </c>
      <c r="F65" s="1391">
        <v>1</v>
      </c>
      <c r="K65" s="1470">
        <v>42122</v>
      </c>
      <c r="L65" s="1471" t="s">
        <v>2129</v>
      </c>
      <c r="M65" s="1472">
        <v>4.7350000000000003E-2</v>
      </c>
      <c r="N65" s="1473">
        <v>1.0190341173313688</v>
      </c>
      <c r="O65" s="1473">
        <v>1.0190341173313688</v>
      </c>
    </row>
    <row r="66" spans="2:15">
      <c r="B66" s="1389">
        <v>34425</v>
      </c>
      <c r="C66" s="1390">
        <v>32.074938510000003</v>
      </c>
      <c r="D66" s="1390">
        <v>403.73</v>
      </c>
      <c r="E66" s="1391">
        <v>0</v>
      </c>
      <c r="F66" s="1391">
        <v>1</v>
      </c>
      <c r="K66" s="1470">
        <v>42123</v>
      </c>
      <c r="L66" s="1471" t="s">
        <v>2129</v>
      </c>
      <c r="M66" s="1472">
        <v>4.7350000000000003E-2</v>
      </c>
      <c r="N66" s="1473">
        <v>1.0195166299859253</v>
      </c>
      <c r="O66" s="1473">
        <v>1.0195166299859253</v>
      </c>
    </row>
    <row r="67" spans="2:15">
      <c r="B67" s="1389">
        <v>34455</v>
      </c>
      <c r="C67" s="1390">
        <v>45.731576959999998</v>
      </c>
      <c r="D67" s="1390">
        <v>581.49</v>
      </c>
      <c r="E67" s="1391">
        <v>0</v>
      </c>
      <c r="F67" s="1391">
        <v>1</v>
      </c>
      <c r="K67" s="1470">
        <v>42124</v>
      </c>
      <c r="L67" s="1471" t="s">
        <v>2129</v>
      </c>
      <c r="M67" s="1472">
        <v>4.9036999999999997E-2</v>
      </c>
      <c r="N67" s="1473">
        <v>1.0200165703557715</v>
      </c>
      <c r="O67" s="1473">
        <v>1.0200165703557715</v>
      </c>
    </row>
    <row r="68" spans="2:15">
      <c r="B68" s="1389">
        <v>34486</v>
      </c>
      <c r="C68" s="1390">
        <v>66.408212939999999</v>
      </c>
      <c r="D68" s="1390">
        <v>857.29</v>
      </c>
      <c r="E68" s="1391">
        <v>0</v>
      </c>
      <c r="F68" s="1391">
        <v>1</v>
      </c>
      <c r="K68" s="1470">
        <v>42125</v>
      </c>
      <c r="L68" s="1471"/>
      <c r="M68" s="1472">
        <v>0</v>
      </c>
      <c r="N68" s="1473">
        <v>1.0200165703557715</v>
      </c>
      <c r="O68" s="1473">
        <v>1.0200165703557715</v>
      </c>
    </row>
    <row r="69" spans="2:15">
      <c r="B69" s="1389">
        <v>34516</v>
      </c>
      <c r="C69" s="1390">
        <v>92.968426030000003</v>
      </c>
      <c r="D69" s="1390">
        <v>915.93</v>
      </c>
      <c r="E69" s="1391">
        <v>0</v>
      </c>
      <c r="F69" s="1391">
        <v>1</v>
      </c>
      <c r="K69" s="1470">
        <v>42126</v>
      </c>
      <c r="L69" s="1471"/>
      <c r="M69" s="1472">
        <v>0</v>
      </c>
      <c r="N69" s="1473">
        <v>1.0200165703557715</v>
      </c>
      <c r="O69" s="1473">
        <v>1.0200165703557715</v>
      </c>
    </row>
    <row r="70" spans="2:15">
      <c r="B70" s="1389">
        <v>34547</v>
      </c>
      <c r="C70" s="1390">
        <v>100</v>
      </c>
      <c r="D70" s="1390">
        <v>932.97</v>
      </c>
      <c r="E70" s="1391">
        <v>1.0417031360600404</v>
      </c>
      <c r="F70" s="1391">
        <v>1.0417031360600404</v>
      </c>
      <c r="K70" s="1470">
        <v>42127</v>
      </c>
      <c r="L70" s="1471"/>
      <c r="M70" s="1472">
        <v>0</v>
      </c>
      <c r="N70" s="1473">
        <v>1.0200165703557715</v>
      </c>
      <c r="O70" s="1473">
        <v>1.0200165703557715</v>
      </c>
    </row>
    <row r="71" spans="2:15">
      <c r="B71" s="1389">
        <v>34578</v>
      </c>
      <c r="C71" s="1390">
        <v>101.751</v>
      </c>
      <c r="D71" s="1390">
        <v>947.24</v>
      </c>
      <c r="E71" s="1391">
        <v>1.040191380612066</v>
      </c>
      <c r="F71" s="1391">
        <v>1.0835706232862121</v>
      </c>
      <c r="K71" s="1470">
        <v>42128</v>
      </c>
      <c r="L71" s="1471" t="s">
        <v>2129</v>
      </c>
      <c r="M71" s="1472">
        <v>4.9036999999999997E-2</v>
      </c>
      <c r="N71" s="1473">
        <v>1.020516755881377</v>
      </c>
      <c r="O71" s="1473">
        <v>1.020516755881377</v>
      </c>
    </row>
    <row r="72" spans="2:15">
      <c r="B72" s="1389">
        <v>34608</v>
      </c>
      <c r="C72" s="1390">
        <v>103.602</v>
      </c>
      <c r="D72" s="1390">
        <v>972.06</v>
      </c>
      <c r="E72" s="1391">
        <v>1.0400235119965635</v>
      </c>
      <c r="F72" s="1391">
        <v>1.1269389251264317</v>
      </c>
      <c r="K72" s="1470">
        <v>42129</v>
      </c>
      <c r="L72" s="1471" t="s">
        <v>2129</v>
      </c>
      <c r="M72" s="1472">
        <v>4.9036999999999997E-2</v>
      </c>
      <c r="N72" s="1473">
        <v>1.0210171866829587</v>
      </c>
      <c r="O72" s="1473">
        <v>1.0210171866829587</v>
      </c>
    </row>
    <row r="73" spans="2:15">
      <c r="B73" s="1389">
        <v>34639</v>
      </c>
      <c r="C73" s="1390">
        <v>106.553</v>
      </c>
      <c r="D73" s="1390">
        <v>999.37</v>
      </c>
      <c r="E73" s="1391">
        <v>1.0448704061969656</v>
      </c>
      <c r="F73" s="1391">
        <v>1.1775051324560264</v>
      </c>
      <c r="K73" s="1470">
        <v>42130</v>
      </c>
      <c r="L73" s="1471" t="s">
        <v>2129</v>
      </c>
      <c r="M73" s="1472">
        <v>4.9036999999999997E-2</v>
      </c>
      <c r="N73" s="1473">
        <v>1.0215178628807926</v>
      </c>
      <c r="O73" s="1473">
        <v>1.0215178628807926</v>
      </c>
    </row>
    <row r="74" spans="2:15">
      <c r="B74" s="1389">
        <v>34669</v>
      </c>
      <c r="C74" s="1390">
        <v>107.45</v>
      </c>
      <c r="D74" s="1390">
        <v>1016.46</v>
      </c>
      <c r="E74" s="1391">
        <v>1.0379749903132509</v>
      </c>
      <c r="F74" s="1391">
        <v>1.2222208784548472</v>
      </c>
      <c r="K74" s="1470">
        <v>42131</v>
      </c>
      <c r="L74" s="1471" t="s">
        <v>2129</v>
      </c>
      <c r="M74" s="1472">
        <v>4.9036999999999997E-2</v>
      </c>
      <c r="N74" s="1473">
        <v>1.0220187845952136</v>
      </c>
      <c r="O74" s="1473">
        <v>1.0220187845952136</v>
      </c>
    </row>
    <row r="75" spans="2:15">
      <c r="B75" s="1389">
        <v>34700</v>
      </c>
      <c r="C75" s="1390">
        <v>108.44199999999999</v>
      </c>
      <c r="D75" s="1390">
        <v>1033.74</v>
      </c>
      <c r="E75" s="1391">
        <v>1.033745155557255</v>
      </c>
      <c r="F75" s="1391">
        <v>1.2634649121236308</v>
      </c>
      <c r="K75" s="1470">
        <v>42132</v>
      </c>
      <c r="L75" s="1471" t="s">
        <v>2129</v>
      </c>
      <c r="M75" s="1472">
        <v>4.9036999999999997E-2</v>
      </c>
      <c r="N75" s="1473">
        <v>1.0225199519466155</v>
      </c>
      <c r="O75" s="1473">
        <v>1.0225199519466155</v>
      </c>
    </row>
    <row r="76" spans="2:15">
      <c r="B76" s="1389">
        <v>34731</v>
      </c>
      <c r="C76" s="1390">
        <v>109.9455</v>
      </c>
      <c r="D76" s="1390">
        <v>1044.28</v>
      </c>
      <c r="E76" s="1391">
        <v>1.0361946548110796</v>
      </c>
      <c r="F76" s="1391">
        <v>1.3091955884838566</v>
      </c>
      <c r="K76" s="1470">
        <v>42133</v>
      </c>
      <c r="L76" s="1471"/>
      <c r="M76" s="1472">
        <v>0</v>
      </c>
      <c r="N76" s="1473">
        <v>1.0225199519466155</v>
      </c>
      <c r="O76" s="1473">
        <v>1.0225199519466155</v>
      </c>
    </row>
    <row r="77" spans="2:15">
      <c r="B77" s="1389">
        <v>34759</v>
      </c>
      <c r="C77" s="1390">
        <v>111.178</v>
      </c>
      <c r="D77" s="1390">
        <v>1060.47</v>
      </c>
      <c r="E77" s="1391">
        <v>1.0426211014987152</v>
      </c>
      <c r="F77" s="1391">
        <v>1.3649949465422972</v>
      </c>
      <c r="K77" s="1470">
        <v>42134</v>
      </c>
      <c r="L77" s="1471"/>
      <c r="M77" s="1472">
        <v>0</v>
      </c>
      <c r="N77" s="1473">
        <v>1.0225199519466155</v>
      </c>
      <c r="O77" s="1473">
        <v>1.0225199519466155</v>
      </c>
    </row>
    <row r="78" spans="2:15">
      <c r="B78" s="1389">
        <v>34790</v>
      </c>
      <c r="C78" s="1390">
        <v>113.518</v>
      </c>
      <c r="D78" s="1390">
        <v>1086.24</v>
      </c>
      <c r="E78" s="1391">
        <v>1.0502446731743562</v>
      </c>
      <c r="F78" s="1391">
        <v>1.4335786715159629</v>
      </c>
      <c r="K78" s="1470">
        <v>42135</v>
      </c>
      <c r="L78" s="1471" t="s">
        <v>2129</v>
      </c>
      <c r="M78" s="1472">
        <v>4.9036999999999997E-2</v>
      </c>
      <c r="N78" s="1473">
        <v>1.0230213650554516</v>
      </c>
      <c r="O78" s="1473">
        <v>1.0230213650554516</v>
      </c>
    </row>
    <row r="79" spans="2:15">
      <c r="B79" s="1389">
        <v>34820</v>
      </c>
      <c r="C79" s="1390">
        <v>114.17100000000001</v>
      </c>
      <c r="D79" s="1390">
        <v>1115.24</v>
      </c>
      <c r="E79" s="1391">
        <v>1.0450356278102417</v>
      </c>
      <c r="F79" s="1391">
        <v>1.4981407870030565</v>
      </c>
      <c r="K79" s="1470">
        <v>42136</v>
      </c>
      <c r="L79" s="1471" t="s">
        <v>2129</v>
      </c>
      <c r="M79" s="1472">
        <v>4.9036999999999997E-2</v>
      </c>
      <c r="N79" s="1473">
        <v>1.0235230240422339</v>
      </c>
      <c r="O79" s="1473">
        <v>1.0235230240422339</v>
      </c>
    </row>
    <row r="80" spans="2:15">
      <c r="B80" s="1389">
        <v>34851</v>
      </c>
      <c r="C80" s="1390">
        <v>116.98399999999999</v>
      </c>
      <c r="D80" s="1390">
        <v>1140.44</v>
      </c>
      <c r="E80" s="1391">
        <v>1.0423602226147934</v>
      </c>
      <c r="F80" s="1391">
        <v>1.5616023642488079</v>
      </c>
      <c r="K80" s="1470">
        <v>42137</v>
      </c>
      <c r="L80" s="1471" t="s">
        <v>2129</v>
      </c>
      <c r="M80" s="1472">
        <v>4.9036999999999997E-2</v>
      </c>
      <c r="N80" s="1473">
        <v>1.0240249290275336</v>
      </c>
      <c r="O80" s="1473">
        <v>1.0240249290275336</v>
      </c>
    </row>
    <row r="81" spans="2:15">
      <c r="B81" s="1389">
        <v>34881</v>
      </c>
      <c r="C81" s="1390">
        <v>119.114</v>
      </c>
      <c r="D81" s="1390">
        <v>1167.3499999999999</v>
      </c>
      <c r="E81" s="1391">
        <v>1.0402311780170954</v>
      </c>
      <c r="F81" s="1391">
        <v>1.6244274669568188</v>
      </c>
      <c r="K81" s="1470">
        <v>42138</v>
      </c>
      <c r="L81" s="1471" t="s">
        <v>2129</v>
      </c>
      <c r="M81" s="1472">
        <v>4.9036999999999997E-2</v>
      </c>
      <c r="N81" s="1473">
        <v>1.024527080131981</v>
      </c>
      <c r="O81" s="1473">
        <v>1.024527080131981</v>
      </c>
    </row>
    <row r="82" spans="2:15">
      <c r="B82" s="1389">
        <v>34912</v>
      </c>
      <c r="C82" s="1390">
        <v>121.729</v>
      </c>
      <c r="D82" s="1390">
        <v>1178.9100000000001</v>
      </c>
      <c r="E82" s="1390">
        <v>1.0383979241220025</v>
      </c>
      <c r="F82" s="1390">
        <v>1.6868021095747234</v>
      </c>
      <c r="G82" s="7">
        <v>41036.512291666666</v>
      </c>
      <c r="K82" s="1470">
        <v>42139</v>
      </c>
      <c r="L82" s="1471" t="s">
        <v>2129</v>
      </c>
      <c r="M82" s="1472">
        <v>4.9036999999999997E-2</v>
      </c>
      <c r="N82" s="1473">
        <v>1.0250294774762654</v>
      </c>
      <c r="O82" s="1473">
        <v>1.0250294774762654</v>
      </c>
    </row>
    <row r="83" spans="2:15">
      <c r="B83" s="1389">
        <v>34943</v>
      </c>
      <c r="C83" s="1390">
        <v>120.869</v>
      </c>
      <c r="D83" s="1390">
        <v>1190.58</v>
      </c>
      <c r="E83" s="1390">
        <v>1.0349384575781275</v>
      </c>
      <c r="F83" s="1390">
        <v>1.745736373522796</v>
      </c>
      <c r="K83" s="1470">
        <v>42140</v>
      </c>
      <c r="L83" s="1471"/>
      <c r="M83" s="1472">
        <v>0</v>
      </c>
      <c r="N83" s="1473">
        <v>1.0250294774762654</v>
      </c>
      <c r="O83" s="1473">
        <v>1.0250294774762654</v>
      </c>
    </row>
    <row r="84" spans="2:15">
      <c r="B84" s="1389">
        <v>34973</v>
      </c>
      <c r="C84" s="1390">
        <v>121.503</v>
      </c>
      <c r="D84" s="1390">
        <v>1207.3699999999999</v>
      </c>
      <c r="E84" s="1390">
        <v>1.0324041438440343</v>
      </c>
      <c r="F84" s="1390">
        <v>1.8023054660841915</v>
      </c>
      <c r="K84" s="1470">
        <v>42141</v>
      </c>
      <c r="L84" s="1471"/>
      <c r="M84" s="1472">
        <v>0</v>
      </c>
      <c r="N84" s="1473">
        <v>1.0250294774762654</v>
      </c>
      <c r="O84" s="1473">
        <v>1.0250294774762654</v>
      </c>
    </row>
    <row r="85" spans="2:15">
      <c r="B85" s="1389">
        <v>35004</v>
      </c>
      <c r="C85" s="1390">
        <v>122.955</v>
      </c>
      <c r="D85" s="1390">
        <v>1225.1199999999999</v>
      </c>
      <c r="E85" s="1390">
        <v>1.0316999077357936</v>
      </c>
      <c r="F85" s="1390">
        <v>1.8594383830707768</v>
      </c>
      <c r="K85" s="1470">
        <v>42142</v>
      </c>
      <c r="L85" s="1471" t="s">
        <v>2129</v>
      </c>
      <c r="M85" s="1472">
        <v>4.9036999999999997E-2</v>
      </c>
      <c r="N85" s="1473">
        <v>1.0255321211811355</v>
      </c>
      <c r="O85" s="1473">
        <v>1.0255321211811355</v>
      </c>
    </row>
    <row r="86" spans="2:15">
      <c r="B86" s="1389">
        <v>35034</v>
      </c>
      <c r="C86" s="1390">
        <v>123.833</v>
      </c>
      <c r="D86" s="1390">
        <v>1244.23</v>
      </c>
      <c r="E86" s="1390">
        <v>1.0292086837764389</v>
      </c>
      <c r="F86" s="1390">
        <v>1.913750130803664</v>
      </c>
      <c r="K86" s="1470">
        <v>42143</v>
      </c>
      <c r="L86" s="1471" t="s">
        <v>2129</v>
      </c>
      <c r="M86" s="1472">
        <v>4.9036999999999997E-2</v>
      </c>
      <c r="N86" s="1473">
        <v>1.0260350113673991</v>
      </c>
      <c r="O86" s="1473">
        <v>1.0260350113673991</v>
      </c>
    </row>
    <row r="87" spans="2:15">
      <c r="B87" s="1389">
        <v>35065</v>
      </c>
      <c r="C87" s="1390">
        <v>125.977</v>
      </c>
      <c r="D87" s="1390">
        <v>1260.9000000000001</v>
      </c>
      <c r="E87" s="1390">
        <v>1.0271429062533448</v>
      </c>
      <c r="F87" s="1390">
        <v>1.9656948711963942</v>
      </c>
      <c r="K87" s="1470">
        <v>42144</v>
      </c>
      <c r="L87" s="1471" t="s">
        <v>2129</v>
      </c>
      <c r="M87" s="1472">
        <v>4.9036999999999997E-2</v>
      </c>
      <c r="N87" s="1473">
        <v>1.0265381481559233</v>
      </c>
      <c r="O87" s="1473">
        <v>1.0265381481559233</v>
      </c>
    </row>
    <row r="88" spans="2:15">
      <c r="B88" s="1389">
        <v>35096</v>
      </c>
      <c r="C88" s="1390">
        <v>127.202</v>
      </c>
      <c r="D88" s="1390">
        <v>1273.8900000000001</v>
      </c>
      <c r="E88" s="1390">
        <v>1.026088709032714</v>
      </c>
      <c r="F88" s="1390">
        <v>2.0169773127381352</v>
      </c>
      <c r="K88" s="1470">
        <v>42145</v>
      </c>
      <c r="L88" s="1471" t="s">
        <v>2129</v>
      </c>
      <c r="M88" s="1472">
        <v>4.9036999999999997E-2</v>
      </c>
      <c r="N88" s="1473">
        <v>1.0270415316676345</v>
      </c>
      <c r="O88" s="1473">
        <v>1.0270415316676345</v>
      </c>
    </row>
    <row r="89" spans="2:15">
      <c r="B89" s="1389">
        <v>35125</v>
      </c>
      <c r="C89" s="1390">
        <v>127.715</v>
      </c>
      <c r="D89" s="1390">
        <v>1278.3499999999999</v>
      </c>
      <c r="E89" s="1390">
        <v>1.0222082178682002</v>
      </c>
      <c r="F89" s="1390">
        <v>2.0617707843346404</v>
      </c>
      <c r="K89" s="1470">
        <v>42146</v>
      </c>
      <c r="L89" s="1471" t="s">
        <v>2129</v>
      </c>
      <c r="M89" s="1472">
        <v>4.9036999999999997E-2</v>
      </c>
      <c r="N89" s="1473">
        <v>1.0275451620235183</v>
      </c>
      <c r="O89" s="1473">
        <v>1.0275451620235183</v>
      </c>
    </row>
    <row r="90" spans="2:15">
      <c r="B90" s="1389">
        <v>35156</v>
      </c>
      <c r="C90" s="1390">
        <v>128.13</v>
      </c>
      <c r="D90" s="1390">
        <v>1294.46</v>
      </c>
      <c r="E90" s="1390">
        <v>1.0227569082086725</v>
      </c>
      <c r="F90" s="1390">
        <v>2.1086903128210666</v>
      </c>
      <c r="K90" s="1470">
        <v>42147</v>
      </c>
      <c r="L90" s="1471"/>
      <c r="M90" s="1472">
        <v>0</v>
      </c>
      <c r="N90" s="1473">
        <v>1.0275451620235183</v>
      </c>
      <c r="O90" s="1473">
        <v>1.0275451620235183</v>
      </c>
    </row>
    <row r="91" spans="2:15">
      <c r="B91" s="1389">
        <v>35186</v>
      </c>
      <c r="C91" s="1390">
        <v>130.12100000000001</v>
      </c>
      <c r="D91" s="1390">
        <v>1310.25</v>
      </c>
      <c r="E91" s="1390">
        <v>1.0210626514511167</v>
      </c>
      <c r="F91" s="1390">
        <v>2.1531049218983629</v>
      </c>
      <c r="K91" s="1470">
        <v>42148</v>
      </c>
      <c r="L91" s="1471"/>
      <c r="M91" s="1472">
        <v>0</v>
      </c>
      <c r="N91" s="1473">
        <v>1.0275451620235183</v>
      </c>
      <c r="O91" s="1473">
        <v>1.0275451620235183</v>
      </c>
    </row>
    <row r="92" spans="2:15">
      <c r="B92" s="1389">
        <v>35217</v>
      </c>
      <c r="C92" s="1390">
        <v>131.44499999999999</v>
      </c>
      <c r="D92" s="1390">
        <v>1325.84</v>
      </c>
      <c r="E92" s="1390">
        <v>1.020826552130859</v>
      </c>
      <c r="F92" s="1390">
        <v>2.1979466737974884</v>
      </c>
      <c r="K92" s="1470">
        <v>42149</v>
      </c>
      <c r="L92" s="1471" t="s">
        <v>2129</v>
      </c>
      <c r="M92" s="1472">
        <v>4.9036999999999997E-2</v>
      </c>
      <c r="N92" s="1473">
        <v>1.0280490393446198</v>
      </c>
      <c r="O92" s="1473">
        <v>1.0280490393446198</v>
      </c>
    </row>
    <row r="93" spans="2:15">
      <c r="B93" s="1389">
        <v>35247</v>
      </c>
      <c r="C93" s="1390">
        <v>133.21299999999999</v>
      </c>
      <c r="D93" s="1390">
        <v>1340.56</v>
      </c>
      <c r="E93" s="1390">
        <v>1.0192856968560815</v>
      </c>
      <c r="F93" s="1390">
        <v>2.2403356070541793</v>
      </c>
      <c r="K93" s="1470">
        <v>42150</v>
      </c>
      <c r="L93" s="1471" t="s">
        <v>2129</v>
      </c>
      <c r="M93" s="1472">
        <v>4.9036999999999997E-2</v>
      </c>
      <c r="N93" s="1473">
        <v>1.0285531637520433</v>
      </c>
      <c r="O93" s="1473">
        <v>1.0285531637520433</v>
      </c>
    </row>
    <row r="94" spans="2:15">
      <c r="B94" s="1389">
        <v>35278</v>
      </c>
      <c r="C94" s="1390">
        <v>133.58699999999999</v>
      </c>
      <c r="D94" s="1390">
        <v>1346.46</v>
      </c>
      <c r="E94" s="1390">
        <v>1.0196791435025818</v>
      </c>
      <c r="F94" s="1390">
        <v>2.2844234929593421</v>
      </c>
      <c r="K94" s="1470">
        <v>42151</v>
      </c>
      <c r="L94" s="1471" t="s">
        <v>2129</v>
      </c>
      <c r="M94" s="1472">
        <v>4.9036999999999997E-2</v>
      </c>
      <c r="N94" s="1473">
        <v>1.0290575353669524</v>
      </c>
      <c r="O94" s="1473">
        <v>1.0290575353669524</v>
      </c>
    </row>
    <row r="95" spans="2:15">
      <c r="B95" s="1389">
        <v>35309</v>
      </c>
      <c r="C95" s="1390">
        <v>133.72200000000001</v>
      </c>
      <c r="D95" s="1390">
        <v>1348.48</v>
      </c>
      <c r="E95" s="1390">
        <v>1.0190405257020327</v>
      </c>
      <c r="F95" s="1390">
        <v>2.3279201171913617</v>
      </c>
      <c r="K95" s="1470">
        <v>42152</v>
      </c>
      <c r="L95" s="1471" t="s">
        <v>2129</v>
      </c>
      <c r="M95" s="1472">
        <v>4.9036999999999997E-2</v>
      </c>
      <c r="N95" s="1473">
        <v>1.0295621543105704</v>
      </c>
      <c r="O95" s="1473">
        <v>1.0295621543105704</v>
      </c>
    </row>
    <row r="96" spans="2:15">
      <c r="B96" s="1389">
        <v>35339</v>
      </c>
      <c r="C96" s="1390">
        <v>133.97800000000001</v>
      </c>
      <c r="D96" s="1390">
        <v>1352.53</v>
      </c>
      <c r="E96" s="1390">
        <v>1.0194350405573067</v>
      </c>
      <c r="F96" s="1390">
        <v>2.3731633390831459</v>
      </c>
      <c r="K96" s="1470">
        <v>42153</v>
      </c>
      <c r="L96" s="1471" t="s">
        <v>2129</v>
      </c>
      <c r="M96" s="1472">
        <v>4.9036999999999997E-2</v>
      </c>
      <c r="N96" s="1473">
        <v>1.0300670207041798</v>
      </c>
      <c r="O96" s="1473">
        <v>1.0300670207041798</v>
      </c>
    </row>
    <row r="97" spans="2:15">
      <c r="B97" s="1389">
        <v>35370</v>
      </c>
      <c r="C97" s="1390">
        <v>134.24199999999999</v>
      </c>
      <c r="D97" s="1390">
        <v>1356.86</v>
      </c>
      <c r="E97" s="1390">
        <v>1.018952291397875</v>
      </c>
      <c r="F97" s="1390">
        <v>2.4181402222202037</v>
      </c>
      <c r="K97" s="1470">
        <v>42154</v>
      </c>
      <c r="L97" s="1471"/>
      <c r="M97" s="1472">
        <v>0</v>
      </c>
      <c r="N97" s="1473">
        <v>1.0300670207041798</v>
      </c>
      <c r="O97" s="1473">
        <v>1.0300670207041798</v>
      </c>
    </row>
    <row r="98" spans="2:15">
      <c r="B98" s="1389">
        <v>35400</v>
      </c>
      <c r="C98" s="1390">
        <v>135.22499999999999</v>
      </c>
      <c r="D98" s="1390">
        <v>1363.24</v>
      </c>
      <c r="E98" s="1390">
        <v>1.0189221360623306</v>
      </c>
      <c r="F98" s="1390">
        <v>2.4638966005228489</v>
      </c>
      <c r="K98" s="1470">
        <v>42155</v>
      </c>
      <c r="L98" s="1471"/>
      <c r="M98" s="1472">
        <v>0</v>
      </c>
      <c r="N98" s="1473">
        <v>1.0300670207041798</v>
      </c>
      <c r="O98" s="1473">
        <v>1.0300670207041798</v>
      </c>
    </row>
    <row r="99" spans="2:15">
      <c r="B99" s="1389">
        <v>35431</v>
      </c>
      <c r="C99" s="1390">
        <v>137.613</v>
      </c>
      <c r="D99" s="1390">
        <v>1379.33</v>
      </c>
      <c r="E99" s="1390">
        <v>1.0182168360386268</v>
      </c>
      <c r="F99" s="1390">
        <v>2.5087810009107034</v>
      </c>
      <c r="K99" s="1470">
        <v>42156</v>
      </c>
      <c r="L99" s="1471" t="s">
        <v>2129</v>
      </c>
      <c r="M99" s="1472">
        <v>4.9036999999999997E-2</v>
      </c>
      <c r="N99" s="1473">
        <v>1.0305721346691226</v>
      </c>
      <c r="O99" s="1473">
        <v>1.0305721346691226</v>
      </c>
    </row>
    <row r="100" spans="2:15">
      <c r="B100" s="1389">
        <v>35462</v>
      </c>
      <c r="C100" s="1390">
        <v>138.20400000000001</v>
      </c>
      <c r="D100" s="1390">
        <v>1386.23</v>
      </c>
      <c r="E100" s="1390">
        <v>1.018615977536991</v>
      </c>
      <c r="F100" s="1390">
        <v>2.5554844116688868</v>
      </c>
      <c r="K100" s="1470">
        <v>42157</v>
      </c>
      <c r="L100" s="1471" t="s">
        <v>2129</v>
      </c>
      <c r="M100" s="1472">
        <v>4.9036999999999997E-2</v>
      </c>
      <c r="N100" s="1473">
        <v>1.0310774963268003</v>
      </c>
      <c r="O100" s="1473">
        <v>1.0310774963268003</v>
      </c>
    </row>
    <row r="101" spans="2:15">
      <c r="B101" s="1389">
        <v>35490</v>
      </c>
      <c r="C101" s="1390">
        <v>139.79499999999999</v>
      </c>
      <c r="D101" s="1390">
        <v>1393.3</v>
      </c>
      <c r="E101" s="1390">
        <v>1.0181653196053577</v>
      </c>
      <c r="F101" s="1390">
        <v>2.6019056027533618</v>
      </c>
      <c r="K101" s="1470">
        <v>42158</v>
      </c>
      <c r="L101" s="1471" t="s">
        <v>2129</v>
      </c>
      <c r="M101" s="1472">
        <v>4.9036999999999997E-2</v>
      </c>
      <c r="N101" s="1473">
        <v>1.0315831057986742</v>
      </c>
      <c r="O101" s="1473">
        <v>1.0315831057986742</v>
      </c>
    </row>
    <row r="102" spans="2:15">
      <c r="B102" s="1389">
        <v>35521</v>
      </c>
      <c r="C102" s="1390">
        <v>140.74199999999999</v>
      </c>
      <c r="D102" s="1390">
        <v>1405.56</v>
      </c>
      <c r="E102" s="1390">
        <v>1.0174130782041242</v>
      </c>
      <c r="F102" s="1390">
        <v>2.6472127884938548</v>
      </c>
      <c r="K102" s="1470">
        <v>42159</v>
      </c>
      <c r="L102" s="1471"/>
      <c r="M102" s="1472">
        <v>0</v>
      </c>
      <c r="N102" s="1473">
        <v>1.0315831057986742</v>
      </c>
      <c r="O102" s="1473">
        <v>1.0315831057986742</v>
      </c>
    </row>
    <row r="103" spans="2:15">
      <c r="B103" s="1389">
        <v>35551</v>
      </c>
      <c r="C103" s="1390">
        <v>141.04</v>
      </c>
      <c r="D103" s="1390">
        <v>1411.32</v>
      </c>
      <c r="E103" s="1390">
        <v>1.0173859708262292</v>
      </c>
      <c r="F103" s="1390">
        <v>2.6932371528054295</v>
      </c>
      <c r="K103" s="1470">
        <v>42160</v>
      </c>
      <c r="L103" s="1471" t="s">
        <v>2129</v>
      </c>
      <c r="M103" s="1472">
        <v>5.0788E-2</v>
      </c>
      <c r="N103" s="1473">
        <v>1.0321070262264471</v>
      </c>
      <c r="O103" s="1473">
        <v>1.0321070262264471</v>
      </c>
    </row>
    <row r="104" spans="2:15">
      <c r="B104" s="1389">
        <v>35582</v>
      </c>
      <c r="C104" s="1390">
        <v>142.09</v>
      </c>
      <c r="D104" s="1390">
        <v>1418.94</v>
      </c>
      <c r="E104" s="1390">
        <v>1.0160683269749473</v>
      </c>
      <c r="F104" s="1390">
        <v>2.7365129679977831</v>
      </c>
      <c r="K104" s="1470">
        <v>42161</v>
      </c>
      <c r="L104" s="1471"/>
      <c r="M104" s="1472">
        <v>0</v>
      </c>
      <c r="N104" s="1473">
        <v>1.0321070262264471</v>
      </c>
      <c r="O104" s="1473">
        <v>1.0321070262264471</v>
      </c>
    </row>
    <row r="105" spans="2:15">
      <c r="B105" s="1389">
        <v>35612</v>
      </c>
      <c r="C105" s="1390">
        <v>142.221</v>
      </c>
      <c r="D105" s="1390">
        <v>1422.06</v>
      </c>
      <c r="E105" s="1390">
        <v>1.0160384417373229</v>
      </c>
      <c r="F105" s="1390">
        <v>2.7804023717984441</v>
      </c>
      <c r="K105" s="1470">
        <v>42162</v>
      </c>
      <c r="L105" s="1471"/>
      <c r="M105" s="1472">
        <v>0</v>
      </c>
      <c r="N105" s="1473">
        <v>1.0321070262264471</v>
      </c>
      <c r="O105" s="1473">
        <v>1.0321070262264471</v>
      </c>
    </row>
    <row r="106" spans="2:15">
      <c r="B106" s="1389">
        <v>35643</v>
      </c>
      <c r="C106" s="1390">
        <v>142.35300000000001</v>
      </c>
      <c r="D106" s="1390">
        <v>1421.78</v>
      </c>
      <c r="E106" s="1390">
        <v>1.0158585469231169</v>
      </c>
      <c r="F106" s="1390">
        <v>2.8244955132767555</v>
      </c>
      <c r="K106" s="1470">
        <v>42163</v>
      </c>
      <c r="L106" s="1471" t="s">
        <v>2129</v>
      </c>
      <c r="M106" s="1472">
        <v>5.0788E-2</v>
      </c>
      <c r="N106" s="1473">
        <v>1.0326312127429271</v>
      </c>
      <c r="O106" s="1473">
        <v>1.0326312127429271</v>
      </c>
    </row>
    <row r="107" spans="2:15">
      <c r="B107" s="1389">
        <v>35674</v>
      </c>
      <c r="C107" s="1390">
        <v>143.042</v>
      </c>
      <c r="D107" s="1390">
        <v>1422.63</v>
      </c>
      <c r="E107" s="1390">
        <v>1.0159028051900765</v>
      </c>
      <c r="F107" s="1390">
        <v>2.869412915184641</v>
      </c>
      <c r="K107" s="1470">
        <v>42164</v>
      </c>
      <c r="L107" s="1471" t="s">
        <v>2129</v>
      </c>
      <c r="M107" s="1472">
        <v>5.0788E-2</v>
      </c>
      <c r="N107" s="1473">
        <v>1.033155665483255</v>
      </c>
      <c r="O107" s="1473">
        <v>1.033155665483255</v>
      </c>
    </row>
    <row r="108" spans="2:15">
      <c r="B108" s="1389">
        <v>35704</v>
      </c>
      <c r="C108" s="1390">
        <v>143.56700000000001</v>
      </c>
      <c r="D108" s="1390">
        <v>1425.9</v>
      </c>
      <c r="E108" s="1390">
        <v>1.0167288802763557</v>
      </c>
      <c r="F108" s="1390">
        <v>2.9174149803061935</v>
      </c>
      <c r="K108" s="1470">
        <v>42165</v>
      </c>
      <c r="L108" s="1471" t="s">
        <v>2129</v>
      </c>
      <c r="M108" s="1472">
        <v>5.0788E-2</v>
      </c>
      <c r="N108" s="1473">
        <v>1.0336803845826406</v>
      </c>
      <c r="O108" s="1473">
        <v>1.0336803845826406</v>
      </c>
    </row>
    <row r="109" spans="2:15">
      <c r="B109" s="1389">
        <v>35735</v>
      </c>
      <c r="C109" s="1390">
        <v>144.48099999999999</v>
      </c>
      <c r="D109" s="1390">
        <v>1428.32</v>
      </c>
      <c r="E109" s="1390">
        <v>1.0304347964479648</v>
      </c>
      <c r="F109" s="1390">
        <v>3.0062059113860555</v>
      </c>
      <c r="K109" s="1470">
        <v>42166</v>
      </c>
      <c r="L109" s="1471" t="s">
        <v>2129</v>
      </c>
      <c r="M109" s="1472">
        <v>5.0788E-2</v>
      </c>
      <c r="N109" s="1473">
        <v>1.0342053701763625</v>
      </c>
      <c r="O109" s="1473">
        <v>1.0342053701763625</v>
      </c>
    </row>
    <row r="110" spans="2:15">
      <c r="B110" s="1389">
        <v>35765</v>
      </c>
      <c r="C110" s="1390">
        <v>145.69499999999999</v>
      </c>
      <c r="D110" s="1390">
        <v>1434.46</v>
      </c>
      <c r="E110" s="1390">
        <v>1.0311549813439238</v>
      </c>
      <c r="F110" s="1390">
        <v>3.0998642004712815</v>
      </c>
      <c r="K110" s="1470">
        <v>42167</v>
      </c>
      <c r="L110" s="1471" t="s">
        <v>2129</v>
      </c>
      <c r="M110" s="1472">
        <v>5.0788E-2</v>
      </c>
      <c r="N110" s="1473">
        <v>1.0347306223997677</v>
      </c>
      <c r="O110" s="1473">
        <v>1.0347306223997677</v>
      </c>
    </row>
    <row r="111" spans="2:15">
      <c r="B111" s="1389">
        <v>35796</v>
      </c>
      <c r="C111" s="1390">
        <v>147.09100000000001</v>
      </c>
      <c r="D111" s="1390">
        <v>1444.64</v>
      </c>
      <c r="E111" s="1390">
        <v>1.0280960413836384</v>
      </c>
      <c r="F111" s="1390">
        <v>3.1869581133313818</v>
      </c>
      <c r="K111" s="1470">
        <v>42168</v>
      </c>
      <c r="L111" s="1471"/>
      <c r="M111" s="1472">
        <v>0</v>
      </c>
      <c r="N111" s="1473">
        <v>1.0347306223997677</v>
      </c>
      <c r="O111" s="1473">
        <v>1.0347306223997677</v>
      </c>
    </row>
    <row r="112" spans="2:15">
      <c r="B112" s="1389">
        <v>35827</v>
      </c>
      <c r="C112" s="1390">
        <v>147.35599999999999</v>
      </c>
      <c r="D112" s="1390">
        <v>1451.29</v>
      </c>
      <c r="E112" s="1390">
        <v>1.0236711069024262</v>
      </c>
      <c r="F112" s="1390">
        <v>3.2623969395256034</v>
      </c>
      <c r="K112" s="1470">
        <v>42169</v>
      </c>
      <c r="L112" s="1471"/>
      <c r="M112" s="1472">
        <v>0</v>
      </c>
      <c r="N112" s="1473">
        <v>1.0347306223997677</v>
      </c>
      <c r="O112" s="1473">
        <v>1.0347306223997677</v>
      </c>
    </row>
    <row r="113" spans="2:15">
      <c r="B113" s="1389">
        <v>35855</v>
      </c>
      <c r="C113" s="1390">
        <v>147.63499999999999</v>
      </c>
      <c r="D113" s="1390">
        <v>1456.22</v>
      </c>
      <c r="E113" s="1390">
        <v>1.0220072916308196</v>
      </c>
      <c r="F113" s="1390">
        <v>3.3341934603892365</v>
      </c>
      <c r="K113" s="1470">
        <v>42170</v>
      </c>
      <c r="L113" s="1471" t="s">
        <v>2129</v>
      </c>
      <c r="M113" s="1472">
        <v>5.0788E-2</v>
      </c>
      <c r="N113" s="1473">
        <v>1.0352561413882722</v>
      </c>
      <c r="O113" s="1473">
        <v>1.0352561413882722</v>
      </c>
    </row>
    <row r="114" spans="2:15">
      <c r="B114" s="1389">
        <v>35886</v>
      </c>
      <c r="C114" s="1390">
        <v>147.821</v>
      </c>
      <c r="D114" s="1390">
        <v>1459.71</v>
      </c>
      <c r="E114" s="1390">
        <v>1.0199031041694671</v>
      </c>
      <c r="F114" s="1390">
        <v>3.4005542601525192</v>
      </c>
      <c r="K114" s="1470">
        <v>42171</v>
      </c>
      <c r="L114" s="1471" t="s">
        <v>2129</v>
      </c>
      <c r="M114" s="1472">
        <v>5.0788E-2</v>
      </c>
      <c r="N114" s="1473">
        <v>1.0357819272773605</v>
      </c>
      <c r="O114" s="1473">
        <v>1.0357819272773605</v>
      </c>
    </row>
    <row r="115" spans="2:15">
      <c r="B115" s="1389">
        <v>35916</v>
      </c>
      <c r="C115" s="1390">
        <v>148.02099999999999</v>
      </c>
      <c r="D115" s="1390">
        <v>1467.01</v>
      </c>
      <c r="E115" s="1390">
        <v>1.0171306475499944</v>
      </c>
      <c r="F115" s="1390">
        <v>3.4588079566578238</v>
      </c>
      <c r="K115" s="1470">
        <v>42172</v>
      </c>
      <c r="L115" s="1471" t="s">
        <v>2129</v>
      </c>
      <c r="M115" s="1472">
        <v>5.0788E-2</v>
      </c>
      <c r="N115" s="1473">
        <v>1.0363079802025861</v>
      </c>
      <c r="O115" s="1473">
        <v>1.0363079802025861</v>
      </c>
    </row>
    <row r="116" spans="2:15">
      <c r="B116" s="1389">
        <v>35947</v>
      </c>
      <c r="C116" s="1390">
        <v>148.58799999999999</v>
      </c>
      <c r="D116" s="1390">
        <v>1467.3</v>
      </c>
      <c r="E116" s="1390">
        <v>1.0167959651913006</v>
      </c>
      <c r="F116" s="1390">
        <v>3.5169019747012422</v>
      </c>
      <c r="K116" s="1470">
        <v>42173</v>
      </c>
      <c r="L116" s="1471" t="s">
        <v>2129</v>
      </c>
      <c r="M116" s="1472">
        <v>5.0788E-2</v>
      </c>
      <c r="N116" s="1473">
        <v>1.0368343002995715</v>
      </c>
      <c r="O116" s="1473">
        <v>1.0368343002995715</v>
      </c>
    </row>
    <row r="117" spans="2:15">
      <c r="B117" s="1389">
        <v>35977</v>
      </c>
      <c r="C117" s="1390">
        <v>148.339</v>
      </c>
      <c r="D117" s="1390">
        <v>1465.54</v>
      </c>
      <c r="E117" s="1390">
        <v>1.0170373206405035</v>
      </c>
      <c r="F117" s="1390">
        <v>3.5768205613054471</v>
      </c>
      <c r="K117" s="1470">
        <v>42174</v>
      </c>
      <c r="L117" s="1471" t="s">
        <v>2129</v>
      </c>
      <c r="M117" s="1472">
        <v>5.0788E-2</v>
      </c>
      <c r="N117" s="1473">
        <v>1.0373608877040077</v>
      </c>
      <c r="O117" s="1473">
        <v>1.0373608877040077</v>
      </c>
    </row>
    <row r="118" spans="2:15">
      <c r="B118" s="1389">
        <v>36008</v>
      </c>
      <c r="C118" s="1390">
        <v>148.10900000000001</v>
      </c>
      <c r="D118" s="1390">
        <v>1458.07</v>
      </c>
      <c r="E118" s="1390">
        <v>1.0147631694962493</v>
      </c>
      <c r="F118" s="1390">
        <v>3.6296257695096692</v>
      </c>
      <c r="K118" s="1470">
        <v>42175</v>
      </c>
      <c r="L118" s="1471"/>
      <c r="M118" s="1472">
        <v>0</v>
      </c>
      <c r="N118" s="1473">
        <v>1.0373608877040077</v>
      </c>
      <c r="O118" s="1473">
        <v>1.0373608877040077</v>
      </c>
    </row>
    <row r="119" spans="2:15">
      <c r="B119" s="1389">
        <v>36039</v>
      </c>
      <c r="C119" s="1390">
        <v>147.98400000000001</v>
      </c>
      <c r="D119" s="1390">
        <v>1454.86</v>
      </c>
      <c r="E119" s="1390">
        <v>1.0255896332244516</v>
      </c>
      <c r="F119" s="1390">
        <v>3.7225065616934394</v>
      </c>
      <c r="K119" s="1470">
        <v>42176</v>
      </c>
      <c r="L119" s="1471"/>
      <c r="M119" s="1472">
        <v>0</v>
      </c>
      <c r="N119" s="1473">
        <v>1.0373608877040077</v>
      </c>
      <c r="O119" s="1473">
        <v>1.0373608877040077</v>
      </c>
    </row>
    <row r="120" spans="2:15">
      <c r="B120" s="1389">
        <v>36069</v>
      </c>
      <c r="C120" s="1390">
        <v>148.1</v>
      </c>
      <c r="D120" s="1390">
        <v>1455.15</v>
      </c>
      <c r="E120" s="1390">
        <v>1.0308188720930029</v>
      </c>
      <c r="F120" s="1390">
        <v>3.8372300152836338</v>
      </c>
      <c r="K120" s="1470">
        <v>42177</v>
      </c>
      <c r="L120" s="1471" t="s">
        <v>2129</v>
      </c>
      <c r="M120" s="1472">
        <v>5.0788E-2</v>
      </c>
      <c r="N120" s="1473">
        <v>1.0378877425516548</v>
      </c>
      <c r="O120" s="1473">
        <v>1.0378877425516548</v>
      </c>
    </row>
    <row r="121" spans="2:15">
      <c r="B121" s="1389">
        <v>36100</v>
      </c>
      <c r="C121" s="1390">
        <v>147.62799999999999</v>
      </c>
      <c r="D121" s="1390">
        <v>1453.4</v>
      </c>
      <c r="E121" s="1390">
        <v>1.0277678356785036</v>
      </c>
      <c r="F121" s="1390">
        <v>3.9437815878086515</v>
      </c>
      <c r="K121" s="1470">
        <v>42178</v>
      </c>
      <c r="L121" s="1471" t="s">
        <v>2129</v>
      </c>
      <c r="M121" s="1472">
        <v>5.0788E-2</v>
      </c>
      <c r="N121" s="1473">
        <v>1.038414864978342</v>
      </c>
      <c r="O121" s="1473">
        <v>1.038414864978342</v>
      </c>
    </row>
    <row r="122" spans="2:15">
      <c r="B122" s="1389">
        <v>36130</v>
      </c>
      <c r="C122" s="1390">
        <v>148.291</v>
      </c>
      <c r="D122" s="1390">
        <v>1458.2</v>
      </c>
      <c r="E122" s="1390">
        <v>1.025049538167373</v>
      </c>
      <c r="F122" s="1390">
        <v>4.0425714952162473</v>
      </c>
      <c r="K122" s="1470">
        <v>42179</v>
      </c>
      <c r="L122" s="1471" t="s">
        <v>2129</v>
      </c>
      <c r="M122" s="1472">
        <v>5.0788E-2</v>
      </c>
      <c r="N122" s="1473">
        <v>1.0389422551199672</v>
      </c>
      <c r="O122" s="1473">
        <v>1.0389422551199672</v>
      </c>
    </row>
    <row r="123" spans="2:15">
      <c r="B123" s="1389">
        <v>36161</v>
      </c>
      <c r="C123" s="1390">
        <v>149.53299999999999</v>
      </c>
      <c r="D123" s="1390">
        <v>1468.41</v>
      </c>
      <c r="E123" s="1390">
        <v>1.022811290449001</v>
      </c>
      <c r="F123" s="1390">
        <v>4.1347877677544771</v>
      </c>
      <c r="K123" s="1470">
        <v>42180</v>
      </c>
      <c r="L123" s="1471" t="s">
        <v>2129</v>
      </c>
      <c r="M123" s="1472">
        <v>5.0788E-2</v>
      </c>
      <c r="N123" s="1473">
        <v>1.0394699131124976</v>
      </c>
      <c r="O123" s="1473">
        <v>1.0394699131124976</v>
      </c>
    </row>
    <row r="124" spans="2:15">
      <c r="B124" s="1389">
        <v>36192</v>
      </c>
      <c r="C124" s="1390">
        <v>154.93299999999999</v>
      </c>
      <c r="D124" s="1390">
        <v>1483.83</v>
      </c>
      <c r="E124" s="1390">
        <v>1.0264662861429437</v>
      </c>
      <c r="F124" s="1390">
        <v>4.2442202439562102</v>
      </c>
      <c r="K124" s="1470">
        <v>42181</v>
      </c>
      <c r="L124" s="1471" t="s">
        <v>2129</v>
      </c>
      <c r="M124" s="1472">
        <v>5.0788E-2</v>
      </c>
      <c r="N124" s="1473">
        <v>1.0399978390919691</v>
      </c>
      <c r="O124" s="1473">
        <v>1.0399978390919691</v>
      </c>
    </row>
    <row r="125" spans="2:15">
      <c r="B125" s="1389">
        <v>36220</v>
      </c>
      <c r="C125" s="1390">
        <v>159.32499999999999</v>
      </c>
      <c r="D125" s="1390">
        <v>1500.15</v>
      </c>
      <c r="E125" s="1390">
        <v>1.033345195070198</v>
      </c>
      <c r="F125" s="1390">
        <v>4.3857445959118131</v>
      </c>
      <c r="K125" s="1470">
        <v>42182</v>
      </c>
      <c r="L125" s="1471"/>
      <c r="M125" s="1472">
        <v>0</v>
      </c>
      <c r="N125" s="1473">
        <v>1.0399978390919691</v>
      </c>
      <c r="O125" s="1473">
        <v>1.0399978390919691</v>
      </c>
    </row>
    <row r="126" spans="2:15">
      <c r="B126" s="1389">
        <v>36251</v>
      </c>
      <c r="C126" s="1390">
        <v>160.459</v>
      </c>
      <c r="D126" s="1390">
        <v>1508.55</v>
      </c>
      <c r="E126" s="1390">
        <v>1.027563660965396</v>
      </c>
      <c r="F126" s="1390">
        <v>4.5066317730343437</v>
      </c>
      <c r="K126" s="1470">
        <v>42183</v>
      </c>
      <c r="L126" s="1471"/>
      <c r="M126" s="1472">
        <v>0</v>
      </c>
      <c r="N126" s="1473">
        <v>1.0399978390919691</v>
      </c>
      <c r="O126" s="1473">
        <v>1.0399978390919691</v>
      </c>
    </row>
    <row r="127" spans="2:15">
      <c r="B127" s="1389">
        <v>36281</v>
      </c>
      <c r="C127" s="1390">
        <v>159.99600000000001</v>
      </c>
      <c r="D127" s="1390">
        <v>1513.08</v>
      </c>
      <c r="E127" s="1390">
        <v>1.0201883000304468</v>
      </c>
      <c r="F127" s="1390">
        <v>4.5976130073951058</v>
      </c>
      <c r="K127" s="1470">
        <v>42184</v>
      </c>
      <c r="L127" s="1471" t="s">
        <v>2129</v>
      </c>
      <c r="M127" s="1472">
        <v>5.0788E-2</v>
      </c>
      <c r="N127" s="1473">
        <v>1.0405260331944872</v>
      </c>
      <c r="O127" s="1473">
        <v>1.0405260331944872</v>
      </c>
    </row>
    <row r="128" spans="2:15">
      <c r="B128" s="1389">
        <v>36312</v>
      </c>
      <c r="C128" s="1390">
        <v>160.57300000000001</v>
      </c>
      <c r="D128" s="1390">
        <v>1515.95</v>
      </c>
      <c r="E128" s="1390">
        <v>1.0175637707499077</v>
      </c>
      <c r="F128" s="1390">
        <v>4.6783644282537873</v>
      </c>
      <c r="K128" s="1470">
        <v>42185</v>
      </c>
      <c r="L128" s="1471" t="s">
        <v>2129</v>
      </c>
      <c r="M128" s="1472">
        <v>5.0788E-2</v>
      </c>
      <c r="N128" s="1473">
        <v>1.041054495556226</v>
      </c>
      <c r="O128" s="1473">
        <v>1.041054495556226</v>
      </c>
    </row>
    <row r="129" spans="2:15">
      <c r="B129" s="1389">
        <v>36342</v>
      </c>
      <c r="C129" s="1390">
        <v>163.06</v>
      </c>
      <c r="D129" s="1390">
        <v>1532.47</v>
      </c>
      <c r="E129" s="1390">
        <v>1.0165876375704719</v>
      </c>
      <c r="F129" s="1390">
        <v>4.7559674418122491</v>
      </c>
      <c r="K129" s="1470">
        <v>42186</v>
      </c>
      <c r="L129" s="1471" t="s">
        <v>2129</v>
      </c>
      <c r="M129" s="1472">
        <v>5.0788E-2</v>
      </c>
      <c r="N129" s="1473">
        <v>1.041583226313429</v>
      </c>
      <c r="O129" s="1473">
        <v>1.041583226313429</v>
      </c>
    </row>
    <row r="130" spans="2:15">
      <c r="B130" s="1389">
        <v>36373</v>
      </c>
      <c r="C130" s="1390">
        <v>165.60300000000001</v>
      </c>
      <c r="D130" s="1390">
        <v>1541.05</v>
      </c>
      <c r="E130" s="1390">
        <v>1.0156847483880824</v>
      </c>
      <c r="F130" s="1390">
        <v>4.8305635944789866</v>
      </c>
      <c r="K130" s="1470">
        <v>42187</v>
      </c>
      <c r="L130" s="1471" t="s">
        <v>2129</v>
      </c>
      <c r="M130" s="1472">
        <v>5.0788E-2</v>
      </c>
      <c r="N130" s="1473">
        <v>1.0421122256024091</v>
      </c>
      <c r="O130" s="1473">
        <v>1.0421122256024091</v>
      </c>
    </row>
    <row r="131" spans="2:15">
      <c r="B131" s="1389">
        <v>36404</v>
      </c>
      <c r="C131" s="1390">
        <v>167.99700000000001</v>
      </c>
      <c r="D131" s="1390">
        <v>1545.83</v>
      </c>
      <c r="E131" s="1390">
        <v>1.0155901672784533</v>
      </c>
      <c r="F131" s="1390">
        <v>4.9058728889661207</v>
      </c>
      <c r="K131" s="1470">
        <v>42188</v>
      </c>
      <c r="L131" s="1471" t="s">
        <v>2129</v>
      </c>
      <c r="M131" s="1472">
        <v>5.0788E-2</v>
      </c>
      <c r="N131" s="1473">
        <v>1.042641493559548</v>
      </c>
      <c r="O131" s="1473">
        <v>1.042641493559548</v>
      </c>
    </row>
    <row r="132" spans="2:15">
      <c r="B132" s="1389">
        <v>36434</v>
      </c>
      <c r="C132" s="1390">
        <v>170.86099999999999</v>
      </c>
      <c r="D132" s="1390">
        <v>1564.23</v>
      </c>
      <c r="E132" s="1390">
        <v>1.0145370189540868</v>
      </c>
      <c r="F132" s="1390">
        <v>4.9771896561393616</v>
      </c>
      <c r="K132" s="1470">
        <v>42189</v>
      </c>
      <c r="L132" s="1471"/>
      <c r="M132" s="1472">
        <v>0</v>
      </c>
      <c r="N132" s="1473">
        <v>1.042641493559548</v>
      </c>
      <c r="O132" s="1473">
        <v>1.042641493559548</v>
      </c>
    </row>
    <row r="133" spans="2:15">
      <c r="B133" s="1389">
        <v>36465</v>
      </c>
      <c r="C133" s="1390">
        <v>174.93899999999999</v>
      </c>
      <c r="D133" s="1390">
        <v>1579.09</v>
      </c>
      <c r="E133" s="1390">
        <v>1.0152599173733607</v>
      </c>
      <c r="F133" s="1390">
        <v>5.0531411590435944</v>
      </c>
      <c r="K133" s="1470">
        <v>42190</v>
      </c>
      <c r="L133" s="1471"/>
      <c r="M133" s="1472">
        <v>0</v>
      </c>
      <c r="N133" s="1473">
        <v>1.042641493559548</v>
      </c>
      <c r="O133" s="1473">
        <v>1.042641493559548</v>
      </c>
    </row>
    <row r="134" spans="2:15">
      <c r="B134" s="1389">
        <v>36495</v>
      </c>
      <c r="C134" s="1390">
        <v>178.09899999999999</v>
      </c>
      <c r="D134" s="1390">
        <v>1588.56</v>
      </c>
      <c r="E134" s="1390">
        <v>1.0159962861507461</v>
      </c>
      <c r="F134" s="1390">
        <v>5.1339726509837682</v>
      </c>
      <c r="K134" s="1470">
        <v>42191</v>
      </c>
      <c r="L134" s="1471" t="s">
        <v>2129</v>
      </c>
      <c r="M134" s="1472">
        <v>5.0788E-2</v>
      </c>
      <c r="N134" s="1473">
        <v>1.0431710303212971</v>
      </c>
      <c r="O134" s="1473">
        <v>1.0431710303212971</v>
      </c>
    </row>
    <row r="135" spans="2:15">
      <c r="B135" s="1389">
        <v>36526</v>
      </c>
      <c r="C135" s="1390">
        <v>180.30099999999999</v>
      </c>
      <c r="D135" s="1390">
        <v>1598.41</v>
      </c>
      <c r="E135" s="1390">
        <v>1.0145573263269665</v>
      </c>
      <c r="F135" s="1390">
        <v>5.20870956621786</v>
      </c>
      <c r="K135" s="1470">
        <v>42192</v>
      </c>
      <c r="L135" s="1471" t="s">
        <v>2129</v>
      </c>
      <c r="M135" s="1472">
        <v>5.0788E-2</v>
      </c>
      <c r="N135" s="1473">
        <v>1.0437008360241766</v>
      </c>
      <c r="O135" s="1473">
        <v>1.0437008360241766</v>
      </c>
    </row>
    <row r="136" spans="2:15">
      <c r="B136" s="1389">
        <v>36557</v>
      </c>
      <c r="C136" s="1390">
        <v>180.935</v>
      </c>
      <c r="D136" s="1390">
        <v>1600.49</v>
      </c>
      <c r="E136" s="1390">
        <v>1.0145089461247463</v>
      </c>
      <c r="F136" s="1390">
        <v>5.2842824526935654</v>
      </c>
      <c r="K136" s="1470">
        <v>42193</v>
      </c>
      <c r="L136" s="1471" t="s">
        <v>2129</v>
      </c>
      <c r="M136" s="1472">
        <v>5.0788E-2</v>
      </c>
      <c r="N136" s="1473">
        <v>1.0442309108047767</v>
      </c>
      <c r="O136" s="1473">
        <v>1.0442309108047767</v>
      </c>
    </row>
    <row r="137" spans="2:15">
      <c r="B137" s="1389">
        <v>36586</v>
      </c>
      <c r="C137" s="1390">
        <v>181.214</v>
      </c>
      <c r="D137" s="1390">
        <v>1604.01</v>
      </c>
      <c r="E137" s="1390">
        <v>1.0158860407835757</v>
      </c>
      <c r="F137" s="1390">
        <v>5.3682287792489891</v>
      </c>
      <c r="K137" s="1470">
        <v>42194</v>
      </c>
      <c r="L137" s="1471" t="s">
        <v>2129</v>
      </c>
      <c r="M137" s="1472">
        <v>5.0788E-2</v>
      </c>
      <c r="N137" s="1473">
        <v>1.0447612547997562</v>
      </c>
      <c r="O137" s="1473">
        <v>1.0447612547997562</v>
      </c>
    </row>
    <row r="138" spans="2:15">
      <c r="B138" s="1389">
        <v>36617</v>
      </c>
      <c r="C138" s="1390">
        <v>181.63499999999999</v>
      </c>
      <c r="D138" s="1390">
        <v>1610.75</v>
      </c>
      <c r="E138" s="1390">
        <v>1.0136441914221253</v>
      </c>
      <c r="F138" s="1390">
        <v>5.4414739203108242</v>
      </c>
      <c r="K138" s="1470">
        <v>42195</v>
      </c>
      <c r="L138" s="1471" t="s">
        <v>2129</v>
      </c>
      <c r="M138" s="1472">
        <v>5.0788E-2</v>
      </c>
      <c r="N138" s="1473">
        <v>1.0452918681458438</v>
      </c>
      <c r="O138" s="1473">
        <v>1.0452918681458438</v>
      </c>
    </row>
    <row r="139" spans="2:15">
      <c r="B139" s="1389">
        <v>36647</v>
      </c>
      <c r="C139" s="1390">
        <v>182.18899999999999</v>
      </c>
      <c r="D139" s="1390">
        <v>1610.91</v>
      </c>
      <c r="E139" s="1390">
        <v>1.0156265899953318</v>
      </c>
      <c r="F139" s="1390">
        <v>5.5265056022338124</v>
      </c>
      <c r="K139" s="1470">
        <v>42196</v>
      </c>
      <c r="L139" s="1471"/>
      <c r="M139" s="1472">
        <v>0</v>
      </c>
      <c r="N139" s="1473">
        <v>1.0452918681458438</v>
      </c>
      <c r="O139" s="1473">
        <v>1.0452918681458438</v>
      </c>
    </row>
    <row r="140" spans="2:15">
      <c r="B140" s="1389">
        <v>36678</v>
      </c>
      <c r="C140" s="1390">
        <v>183.745</v>
      </c>
      <c r="D140" s="1390">
        <v>1614.62</v>
      </c>
      <c r="E140" s="1390">
        <v>1.0145668910909638</v>
      </c>
      <c r="F140" s="1390">
        <v>5.6070096074551534</v>
      </c>
      <c r="K140" s="1470">
        <v>42197</v>
      </c>
      <c r="L140" s="1471"/>
      <c r="M140" s="1472">
        <v>0</v>
      </c>
      <c r="N140" s="1473">
        <v>1.0452918681458438</v>
      </c>
      <c r="O140" s="1473">
        <v>1.0452918681458438</v>
      </c>
    </row>
    <row r="141" spans="2:15">
      <c r="B141" s="1389">
        <v>36708</v>
      </c>
      <c r="C141" s="1390">
        <v>186.63399999999999</v>
      </c>
      <c r="D141" s="1390">
        <v>1640.62</v>
      </c>
      <c r="E141" s="1390">
        <v>1.0130599958288005</v>
      </c>
      <c r="F141" s="1390">
        <v>5.6802371295405623</v>
      </c>
      <c r="K141" s="1470">
        <v>42198</v>
      </c>
      <c r="L141" s="1471" t="s">
        <v>2129</v>
      </c>
      <c r="M141" s="1472">
        <v>5.0788E-2</v>
      </c>
      <c r="N141" s="1473">
        <v>1.0458227509798377</v>
      </c>
      <c r="O141" s="1473">
        <v>1.0458227509798377</v>
      </c>
    </row>
    <row r="142" spans="2:15">
      <c r="B142" s="1389">
        <v>36739</v>
      </c>
      <c r="C142" s="1390">
        <v>191.08699999999999</v>
      </c>
      <c r="D142" s="1390">
        <v>1662.11</v>
      </c>
      <c r="E142" s="1390">
        <v>1.0140543715890855</v>
      </c>
      <c r="F142" s="1390">
        <v>5.7600692928732462</v>
      </c>
      <c r="K142" s="1470">
        <v>42199</v>
      </c>
      <c r="L142" s="1471" t="s">
        <v>2129</v>
      </c>
      <c r="M142" s="1472">
        <v>5.0788E-2</v>
      </c>
      <c r="N142" s="1473">
        <v>1.0463539034386053</v>
      </c>
      <c r="O142" s="1473">
        <v>1.0463539034386053</v>
      </c>
    </row>
    <row r="143" spans="2:15">
      <c r="B143" s="1389">
        <v>36770</v>
      </c>
      <c r="C143" s="1390">
        <v>193.297</v>
      </c>
      <c r="D143" s="1390">
        <v>1665.93</v>
      </c>
      <c r="E143" s="1390">
        <v>1.0128508890656427</v>
      </c>
      <c r="F143" s="1390">
        <v>5.8340913043663756</v>
      </c>
      <c r="K143" s="1470">
        <v>42200</v>
      </c>
      <c r="L143" s="1471" t="s">
        <v>2129</v>
      </c>
      <c r="M143" s="1472">
        <v>5.0788E-2</v>
      </c>
      <c r="N143" s="1473">
        <v>1.0468853256590838</v>
      </c>
      <c r="O143" s="1473">
        <v>1.0468853256590838</v>
      </c>
    </row>
    <row r="144" spans="2:15">
      <c r="B144" s="1389">
        <v>36800</v>
      </c>
      <c r="C144" s="1390">
        <v>194.04</v>
      </c>
      <c r="D144" s="1390">
        <v>1668.26</v>
      </c>
      <c r="E144" s="1390">
        <v>1.013495295624836</v>
      </c>
      <c r="F144" s="1390">
        <v>5.9128240912210845</v>
      </c>
      <c r="K144" s="1470">
        <v>42201</v>
      </c>
      <c r="L144" s="1471" t="s">
        <v>2129</v>
      </c>
      <c r="M144" s="1472">
        <v>5.0788E-2</v>
      </c>
      <c r="N144" s="1473">
        <v>1.0474170177782796</v>
      </c>
      <c r="O144" s="1473">
        <v>1.0474170177782796</v>
      </c>
    </row>
    <row r="145" spans="2:15">
      <c r="B145" s="1389">
        <v>36831</v>
      </c>
      <c r="C145" s="1390">
        <v>194.59899999999999</v>
      </c>
      <c r="D145" s="1390">
        <v>1673.6</v>
      </c>
      <c r="E145" s="1390">
        <v>1.013431060777086</v>
      </c>
      <c r="F145" s="1390">
        <v>5.992239590954493</v>
      </c>
      <c r="K145" s="1470">
        <v>42202</v>
      </c>
      <c r="L145" s="1471" t="s">
        <v>2129</v>
      </c>
      <c r="M145" s="1472">
        <v>5.0788E-2</v>
      </c>
      <c r="N145" s="1473">
        <v>1.0479489799332689</v>
      </c>
      <c r="O145" s="1473">
        <v>1.0479489799332689</v>
      </c>
    </row>
    <row r="146" spans="2:15">
      <c r="B146" s="1389">
        <v>36861</v>
      </c>
      <c r="C146" s="1390">
        <v>195.827</v>
      </c>
      <c r="D146" s="1390">
        <v>1683.47</v>
      </c>
      <c r="E146" s="1390">
        <v>1.0125716392096709</v>
      </c>
      <c r="F146" s="1390">
        <v>6.0675718651498789</v>
      </c>
      <c r="K146" s="1470">
        <v>42203</v>
      </c>
      <c r="L146" s="1471"/>
      <c r="M146" s="1472">
        <v>0</v>
      </c>
      <c r="N146" s="1473">
        <v>1.0479489799332689</v>
      </c>
      <c r="O146" s="1473">
        <v>1.0479489799332689</v>
      </c>
    </row>
    <row r="147" spans="2:15">
      <c r="B147" s="1389">
        <v>36892</v>
      </c>
      <c r="C147" s="1390">
        <v>197.04499999999999</v>
      </c>
      <c r="D147" s="1390">
        <v>1693.07</v>
      </c>
      <c r="E147" s="1390">
        <v>1.0126506879847863</v>
      </c>
      <c r="F147" s="1390">
        <v>6.144330823641158</v>
      </c>
      <c r="K147" s="1470">
        <v>42204</v>
      </c>
      <c r="L147" s="1471"/>
      <c r="M147" s="1472">
        <v>0</v>
      </c>
      <c r="N147" s="1473">
        <v>1.0479489799332689</v>
      </c>
      <c r="O147" s="1473">
        <v>1.0479489799332689</v>
      </c>
    </row>
    <row r="148" spans="2:15">
      <c r="B148" s="1389">
        <v>36923</v>
      </c>
      <c r="C148" s="1390">
        <v>197.49100000000001</v>
      </c>
      <c r="D148" s="1390">
        <v>1700.86</v>
      </c>
      <c r="E148" s="1390">
        <v>1.0101583510827936</v>
      </c>
      <c r="F148" s="1390">
        <v>6.206747093316535</v>
      </c>
      <c r="K148" s="1470">
        <v>42205</v>
      </c>
      <c r="L148" s="1471" t="s">
        <v>2129</v>
      </c>
      <c r="M148" s="1472">
        <v>5.0788E-2</v>
      </c>
      <c r="N148" s="1473">
        <v>1.0484812122611973</v>
      </c>
      <c r="O148" s="1473">
        <v>1.0484812122611973</v>
      </c>
    </row>
    <row r="149" spans="2:15">
      <c r="B149" s="1389">
        <v>36951</v>
      </c>
      <c r="C149" s="1390">
        <v>198.60599999999999</v>
      </c>
      <c r="D149" s="1390">
        <v>1707.32</v>
      </c>
      <c r="E149" s="1390">
        <v>1.0125785495836725</v>
      </c>
      <c r="F149" s="1390">
        <v>6.2848189693831324</v>
      </c>
      <c r="K149" s="1470">
        <v>42206</v>
      </c>
      <c r="L149" s="1471" t="s">
        <v>2129</v>
      </c>
      <c r="M149" s="1472">
        <v>5.0788E-2</v>
      </c>
      <c r="N149" s="1473">
        <v>1.0490137148992804</v>
      </c>
      <c r="O149" s="1473">
        <v>1.0490137148992804</v>
      </c>
    </row>
    <row r="150" spans="2:15">
      <c r="B150" s="1389">
        <v>36982</v>
      </c>
      <c r="C150" s="1390">
        <v>200.59100000000001</v>
      </c>
      <c r="D150" s="1390">
        <v>1717.22</v>
      </c>
      <c r="E150" s="1390">
        <v>1.0118637336714187</v>
      </c>
      <c r="F150" s="1390">
        <v>6.3593803878089741</v>
      </c>
      <c r="K150" s="1470">
        <v>42207</v>
      </c>
      <c r="L150" s="1471" t="s">
        <v>2129</v>
      </c>
      <c r="M150" s="1472">
        <v>5.0788E-2</v>
      </c>
      <c r="N150" s="1473">
        <v>1.0495464879848035</v>
      </c>
      <c r="O150" s="1473">
        <v>1.0495464879848035</v>
      </c>
    </row>
    <row r="151" spans="2:15">
      <c r="B151" s="1389">
        <v>37012</v>
      </c>
      <c r="C151" s="1390">
        <v>202.32400000000001</v>
      </c>
      <c r="D151" s="1390">
        <v>1724.26</v>
      </c>
      <c r="E151" s="1390">
        <v>1.0133677002760824</v>
      </c>
      <c r="F151" s="1390">
        <v>6.4443906787748011</v>
      </c>
      <c r="K151" s="1470">
        <v>42208</v>
      </c>
      <c r="L151" s="1471" t="s">
        <v>2129</v>
      </c>
      <c r="M151" s="1472">
        <v>5.0788E-2</v>
      </c>
      <c r="N151" s="1473">
        <v>1.0500795316551212</v>
      </c>
      <c r="O151" s="1473">
        <v>1.0500795316551212</v>
      </c>
    </row>
    <row r="152" spans="2:15">
      <c r="B152" s="1389">
        <v>37043</v>
      </c>
      <c r="C152" s="1390">
        <v>204.31</v>
      </c>
      <c r="D152" s="1390">
        <v>1733.23</v>
      </c>
      <c r="E152" s="1390">
        <v>1.0127331554566117</v>
      </c>
      <c r="F152" s="1390">
        <v>6.5264481071107801</v>
      </c>
      <c r="K152" s="1470">
        <v>42209</v>
      </c>
      <c r="L152" s="1471" t="s">
        <v>2129</v>
      </c>
      <c r="M152" s="1472">
        <v>5.0788E-2</v>
      </c>
      <c r="N152" s="1473">
        <v>1.0506128460476583</v>
      </c>
      <c r="O152" s="1473">
        <v>1.0506128460476583</v>
      </c>
    </row>
    <row r="153" spans="2:15">
      <c r="B153" s="1389">
        <v>37073</v>
      </c>
      <c r="C153" s="1390">
        <v>207.34100000000001</v>
      </c>
      <c r="D153" s="1390">
        <v>1756.28</v>
      </c>
      <c r="E153" s="1390">
        <v>1.014979822756394</v>
      </c>
      <c r="F153" s="1390">
        <v>6.6242131429841029</v>
      </c>
      <c r="K153" s="1470">
        <v>42210</v>
      </c>
      <c r="L153" s="1471"/>
      <c r="M153" s="1472">
        <v>0</v>
      </c>
      <c r="N153" s="1473">
        <v>1.0506128460476583</v>
      </c>
      <c r="O153" s="1473">
        <v>1.0506128460476583</v>
      </c>
    </row>
    <row r="154" spans="2:15">
      <c r="B154" s="1389">
        <v>37104</v>
      </c>
      <c r="C154" s="1390">
        <v>210.21100000000001</v>
      </c>
      <c r="D154" s="1390">
        <v>1768.57</v>
      </c>
      <c r="E154" s="1390">
        <v>1.0160000122718875</v>
      </c>
      <c r="F154" s="1390">
        <v>6.7302006345634471</v>
      </c>
      <c r="K154" s="1470">
        <v>42211</v>
      </c>
      <c r="L154" s="1471"/>
      <c r="M154" s="1472">
        <v>0</v>
      </c>
      <c r="N154" s="1473">
        <v>1.0506128460476583</v>
      </c>
      <c r="O154" s="1473">
        <v>1.0506128460476583</v>
      </c>
    </row>
    <row r="155" spans="2:15">
      <c r="B155" s="1389">
        <v>37135</v>
      </c>
      <c r="C155" s="1390">
        <v>210.85300000000001</v>
      </c>
      <c r="D155" s="1390">
        <v>1773.52</v>
      </c>
      <c r="E155" s="1390">
        <v>1.013243107438228</v>
      </c>
      <c r="F155" s="1390">
        <v>6.8193294046478012</v>
      </c>
      <c r="K155" s="1470">
        <v>42212</v>
      </c>
      <c r="L155" s="1471" t="s">
        <v>2129</v>
      </c>
      <c r="M155" s="1472">
        <v>5.0788E-2</v>
      </c>
      <c r="N155" s="1473">
        <v>1.051146431299909</v>
      </c>
      <c r="O155" s="1473">
        <v>1.051146431299909</v>
      </c>
    </row>
    <row r="156" spans="2:15">
      <c r="B156" s="1389">
        <v>37165</v>
      </c>
      <c r="C156" s="1390">
        <v>213.339</v>
      </c>
      <c r="D156" s="1390">
        <v>1788.24</v>
      </c>
      <c r="E156" s="1390">
        <v>1.0153493751182632</v>
      </c>
      <c r="F156" s="1390">
        <v>6.9240018497347426</v>
      </c>
      <c r="K156" s="1470">
        <v>42213</v>
      </c>
      <c r="L156" s="1471" t="s">
        <v>2129</v>
      </c>
      <c r="M156" s="1472">
        <v>5.0788E-2</v>
      </c>
      <c r="N156" s="1473">
        <v>1.0516802875494375</v>
      </c>
      <c r="O156" s="1473">
        <v>1.0516802875494375</v>
      </c>
    </row>
    <row r="157" spans="2:15">
      <c r="B157" s="1389">
        <v>37196</v>
      </c>
      <c r="C157" s="1390">
        <v>215.685</v>
      </c>
      <c r="D157" s="1390">
        <v>1800.94</v>
      </c>
      <c r="E157" s="1390">
        <v>1.0139343824698488</v>
      </c>
      <c r="F157" s="1390">
        <v>7.0204835397308871</v>
      </c>
      <c r="K157" s="1470">
        <v>42214</v>
      </c>
      <c r="L157" s="1471" t="s">
        <v>2129</v>
      </c>
      <c r="M157" s="1472">
        <v>5.0788E-2</v>
      </c>
      <c r="N157" s="1473">
        <v>1.0522144149338781</v>
      </c>
      <c r="O157" s="1473">
        <v>1.0522144149338781</v>
      </c>
    </row>
    <row r="158" spans="2:15">
      <c r="B158" s="1389">
        <v>37226</v>
      </c>
      <c r="C158" s="1390">
        <v>216.16300000000001</v>
      </c>
      <c r="D158" s="1390">
        <v>1812.65</v>
      </c>
      <c r="E158" s="1390">
        <v>1.0139354159682339</v>
      </c>
      <c r="F158" s="1390">
        <v>7.1183168981551761</v>
      </c>
      <c r="K158" s="1470">
        <v>42215</v>
      </c>
      <c r="L158" s="1471" t="s">
        <v>2129</v>
      </c>
      <c r="M158" s="1472">
        <v>5.2531000000000001E-2</v>
      </c>
      <c r="N158" s="1473">
        <v>1.0527671536881871</v>
      </c>
      <c r="O158" s="1473">
        <v>1.0527671536881871</v>
      </c>
    </row>
    <row r="159" spans="2:15">
      <c r="B159" s="1389">
        <v>37257</v>
      </c>
      <c r="C159" s="1390">
        <v>216.94399999999999</v>
      </c>
      <c r="D159" s="1390">
        <v>1822.08</v>
      </c>
      <c r="E159" s="1390">
        <v>1.0153395939759675</v>
      </c>
      <c r="F159" s="1390">
        <v>7.2275089891651447</v>
      </c>
      <c r="K159" s="1470">
        <v>42216</v>
      </c>
      <c r="L159" s="1471" t="s">
        <v>2129</v>
      </c>
      <c r="M159" s="1472">
        <v>5.2531000000000001E-2</v>
      </c>
      <c r="N159" s="1473">
        <v>1.0533201828016909</v>
      </c>
      <c r="O159" s="1473">
        <v>1.0533201828016909</v>
      </c>
    </row>
    <row r="160" spans="2:15">
      <c r="B160" s="1389">
        <v>37288</v>
      </c>
      <c r="C160" s="1390">
        <v>217.07400000000001</v>
      </c>
      <c r="D160" s="1390">
        <v>1828.64</v>
      </c>
      <c r="E160" s="1390">
        <v>1.012482154231837</v>
      </c>
      <c r="F160" s="1390">
        <v>7.3177238710798918</v>
      </c>
      <c r="K160" s="1470">
        <v>42217</v>
      </c>
      <c r="L160" s="1471"/>
      <c r="M160" s="1472">
        <v>0</v>
      </c>
      <c r="N160" s="1473">
        <v>1.0533201828016909</v>
      </c>
      <c r="O160" s="1473">
        <v>1.0533201828016909</v>
      </c>
    </row>
    <row r="161" spans="2:15">
      <c r="B161" s="1389">
        <v>37316</v>
      </c>
      <c r="C161" s="1390">
        <v>217.27600000000001</v>
      </c>
      <c r="D161" s="1390">
        <v>1839.61</v>
      </c>
      <c r="E161" s="1390">
        <v>1.013713327882185</v>
      </c>
      <c r="F161" s="1390">
        <v>7.4180742178753025</v>
      </c>
      <c r="K161" s="1470">
        <v>42218</v>
      </c>
      <c r="L161" s="1471"/>
      <c r="M161" s="1472">
        <v>0</v>
      </c>
      <c r="N161" s="1473">
        <v>1.0533201828016909</v>
      </c>
      <c r="O161" s="1473">
        <v>1.0533201828016909</v>
      </c>
    </row>
    <row r="162" spans="2:15">
      <c r="B162" s="1389">
        <v>37347</v>
      </c>
      <c r="C162" s="1390">
        <v>218.48599999999999</v>
      </c>
      <c r="D162" s="1390">
        <v>1854.33</v>
      </c>
      <c r="E162" s="1390">
        <v>1.0148356719718208</v>
      </c>
      <c r="F162" s="1390">
        <v>7.5281263336343214</v>
      </c>
      <c r="K162" s="1470">
        <v>42219</v>
      </c>
      <c r="L162" s="1471" t="s">
        <v>2129</v>
      </c>
      <c r="M162" s="1472">
        <v>5.2531000000000001E-2</v>
      </c>
      <c r="N162" s="1473">
        <v>1.0538735024269186</v>
      </c>
      <c r="O162" s="1473">
        <v>1.0538735024269186</v>
      </c>
    </row>
    <row r="163" spans="2:15">
      <c r="B163" s="1389">
        <v>37377</v>
      </c>
      <c r="C163" s="1390">
        <v>220.292</v>
      </c>
      <c r="D163" s="1390">
        <v>1858.22</v>
      </c>
      <c r="E163" s="1390">
        <v>1.0141498936566418</v>
      </c>
      <c r="F163" s="1390">
        <v>7.6346485206890113</v>
      </c>
      <c r="K163" s="1470">
        <v>42220</v>
      </c>
      <c r="L163" s="1471" t="s">
        <v>2129</v>
      </c>
      <c r="M163" s="1472">
        <v>5.2531000000000001E-2</v>
      </c>
      <c r="N163" s="1473">
        <v>1.0544271127164784</v>
      </c>
      <c r="O163" s="1473">
        <v>1.0544271127164784</v>
      </c>
    </row>
    <row r="164" spans="2:15">
      <c r="B164" s="1389">
        <v>37408</v>
      </c>
      <c r="C164" s="1390">
        <v>223.68799999999999</v>
      </c>
      <c r="D164" s="1390">
        <v>1866.02</v>
      </c>
      <c r="E164" s="1390">
        <v>1.0132903281280037</v>
      </c>
      <c r="F164" s="1390">
        <v>7.7361155046709458</v>
      </c>
      <c r="K164" s="1470">
        <v>42221</v>
      </c>
      <c r="L164" s="1471" t="s">
        <v>2129</v>
      </c>
      <c r="M164" s="1472">
        <v>5.2531000000000001E-2</v>
      </c>
      <c r="N164" s="1473">
        <v>1.0549810138230595</v>
      </c>
      <c r="O164" s="1473">
        <v>1.0549810138230595</v>
      </c>
    </row>
    <row r="165" spans="2:15">
      <c r="B165" s="1389">
        <v>37438</v>
      </c>
      <c r="C165" s="1390">
        <v>228.05699999999999</v>
      </c>
      <c r="D165" s="1390">
        <v>1888.23</v>
      </c>
      <c r="E165" s="1390">
        <v>1.0153543455443825</v>
      </c>
      <c r="F165" s="1390">
        <v>7.8548984953009189</v>
      </c>
      <c r="K165" s="1470">
        <v>42222</v>
      </c>
      <c r="L165" s="1471" t="s">
        <v>2129</v>
      </c>
      <c r="M165" s="1472">
        <v>5.2531000000000001E-2</v>
      </c>
      <c r="N165" s="1473">
        <v>1.055535205899431</v>
      </c>
      <c r="O165" s="1473">
        <v>1.055535205899431</v>
      </c>
    </row>
    <row r="166" spans="2:15">
      <c r="B166" s="1389">
        <v>37469</v>
      </c>
      <c r="C166" s="1390">
        <v>233.34800000000001</v>
      </c>
      <c r="D166" s="1390">
        <v>1900.5</v>
      </c>
      <c r="E166" s="1390">
        <v>1.0144340404848073</v>
      </c>
      <c r="F166" s="1390">
        <v>7.9682764181861447</v>
      </c>
      <c r="K166" s="1470">
        <v>42223</v>
      </c>
      <c r="L166" s="1471" t="s">
        <v>2129</v>
      </c>
      <c r="M166" s="1472">
        <v>5.2531000000000001E-2</v>
      </c>
      <c r="N166" s="1473">
        <v>1.0560896890984419</v>
      </c>
      <c r="O166" s="1473">
        <v>1.0560896890984419</v>
      </c>
    </row>
    <row r="167" spans="2:15">
      <c r="B167" s="1389">
        <v>37500</v>
      </c>
      <c r="C167" s="1390">
        <v>238.94300000000001</v>
      </c>
      <c r="D167" s="1390">
        <v>1914.18</v>
      </c>
      <c r="E167" s="1390">
        <v>1.0138126637754254</v>
      </c>
      <c r="F167" s="1390">
        <v>8.0783395412202008</v>
      </c>
      <c r="K167" s="1470">
        <v>42224</v>
      </c>
      <c r="L167" s="1471"/>
      <c r="M167" s="1472">
        <v>0</v>
      </c>
      <c r="N167" s="1473">
        <v>1.0560896890984419</v>
      </c>
      <c r="O167" s="1473">
        <v>1.0560896890984419</v>
      </c>
    </row>
    <row r="168" spans="2:15">
      <c r="B168" s="1389">
        <v>37530</v>
      </c>
      <c r="C168" s="1390">
        <v>248.19900000000001</v>
      </c>
      <c r="D168" s="1390">
        <v>1939.26</v>
      </c>
      <c r="E168" s="1390">
        <v>1.0164592520111337</v>
      </c>
      <c r="F168" s="1390">
        <v>8.2113029675606501</v>
      </c>
      <c r="K168" s="1470">
        <v>42225</v>
      </c>
      <c r="L168" s="1471"/>
      <c r="M168" s="1472">
        <v>0</v>
      </c>
      <c r="N168" s="1473">
        <v>1.0560896890984419</v>
      </c>
      <c r="O168" s="1473">
        <v>1.0560896890984419</v>
      </c>
    </row>
    <row r="169" spans="2:15">
      <c r="B169" s="1389">
        <v>37561</v>
      </c>
      <c r="C169" s="1390">
        <v>261.08</v>
      </c>
      <c r="D169" s="1390">
        <v>1997.83</v>
      </c>
      <c r="E169" s="1390">
        <v>1.0154093077816833</v>
      </c>
      <c r="F169" s="1390">
        <v>8.337833462276441</v>
      </c>
      <c r="K169" s="1470">
        <v>42226</v>
      </c>
      <c r="L169" s="1471" t="s">
        <v>2129</v>
      </c>
      <c r="M169" s="1472">
        <v>5.2531000000000001E-2</v>
      </c>
      <c r="N169" s="1473">
        <v>1.0566444635730223</v>
      </c>
      <c r="O169" s="1473">
        <v>1.0566444635730223</v>
      </c>
    </row>
    <row r="170" spans="2:15">
      <c r="B170" s="1389">
        <v>37591</v>
      </c>
      <c r="C170" s="1390">
        <v>270.86700000000002</v>
      </c>
      <c r="D170" s="1390">
        <v>2039.78</v>
      </c>
      <c r="E170" s="1390">
        <v>1.0174244857414556</v>
      </c>
      <c r="F170" s="1390">
        <v>8.483115922554509</v>
      </c>
      <c r="K170" s="1470">
        <v>42227</v>
      </c>
      <c r="L170" s="1471" t="s">
        <v>2129</v>
      </c>
      <c r="M170" s="1472">
        <v>5.2531000000000001E-2</v>
      </c>
      <c r="N170" s="1473">
        <v>1.0571995294761818</v>
      </c>
      <c r="O170" s="1473">
        <v>1.0571995294761818</v>
      </c>
    </row>
    <row r="171" spans="2:15">
      <c r="B171" s="1389">
        <v>37622</v>
      </c>
      <c r="C171" s="1390">
        <v>277.173</v>
      </c>
      <c r="D171" s="1390">
        <v>2085.6799999999998</v>
      </c>
      <c r="E171" s="1390">
        <v>1.0197126646415859</v>
      </c>
      <c r="F171" s="1390">
        <v>8.6503407418515241</v>
      </c>
      <c r="K171" s="1470">
        <v>42228</v>
      </c>
      <c r="L171" s="1471" t="s">
        <v>2129</v>
      </c>
      <c r="M171" s="1472">
        <v>5.2531000000000001E-2</v>
      </c>
      <c r="N171" s="1473">
        <v>1.0577548869610109</v>
      </c>
      <c r="O171" s="1473">
        <v>1.0577548869610109</v>
      </c>
    </row>
    <row r="172" spans="2:15">
      <c r="B172" s="1389">
        <v>37653</v>
      </c>
      <c r="C172" s="1390">
        <v>283.50599999999997</v>
      </c>
      <c r="D172" s="1390">
        <v>2118.4299999999998</v>
      </c>
      <c r="E172" s="1390">
        <v>1.0183037986307939</v>
      </c>
      <c r="F172" s="1390">
        <v>8.8086748368781276</v>
      </c>
      <c r="K172" s="1470">
        <v>42229</v>
      </c>
      <c r="L172" s="1471" t="s">
        <v>2129</v>
      </c>
      <c r="M172" s="1472">
        <v>5.2531000000000001E-2</v>
      </c>
      <c r="N172" s="1473">
        <v>1.0583105361806804</v>
      </c>
      <c r="O172" s="1473">
        <v>1.0583105361806804</v>
      </c>
    </row>
    <row r="173" spans="2:15">
      <c r="B173" s="1389">
        <v>37681</v>
      </c>
      <c r="C173" s="1390">
        <v>287.85500000000002</v>
      </c>
      <c r="D173" s="1390">
        <v>2144.4899999999998</v>
      </c>
      <c r="E173" s="1390">
        <v>1.0177701866474056</v>
      </c>
      <c r="F173" s="1390">
        <v>8.9652066328457565</v>
      </c>
      <c r="K173" s="1470">
        <v>42230</v>
      </c>
      <c r="L173" s="1471" t="s">
        <v>2129</v>
      </c>
      <c r="M173" s="1472">
        <v>5.2531000000000001E-2</v>
      </c>
      <c r="N173" s="1473">
        <v>1.0588664772884415</v>
      </c>
      <c r="O173" s="1473">
        <v>1.0588664772884415</v>
      </c>
    </row>
    <row r="174" spans="2:15">
      <c r="B174" s="1389">
        <v>37712</v>
      </c>
      <c r="C174" s="1390">
        <v>290.512</v>
      </c>
      <c r="D174" s="1390">
        <v>2165.29</v>
      </c>
      <c r="E174" s="1390">
        <v>1.0187159495984839</v>
      </c>
      <c r="F174" s="1390">
        <v>9.1329989883260918</v>
      </c>
      <c r="K174" s="1470">
        <v>42231</v>
      </c>
      <c r="L174" s="1471"/>
      <c r="M174" s="1472">
        <v>0</v>
      </c>
      <c r="N174" s="1473">
        <v>1.0588664772884415</v>
      </c>
      <c r="O174" s="1473">
        <v>1.0588664772884415</v>
      </c>
    </row>
    <row r="175" spans="2:15">
      <c r="B175" s="1389">
        <v>37742</v>
      </c>
      <c r="C175" s="1390">
        <v>289.74700000000001</v>
      </c>
      <c r="D175" s="1390">
        <v>2178.5</v>
      </c>
      <c r="E175" s="1390">
        <v>1.0196535248447016</v>
      </c>
      <c r="F175" s="1390">
        <v>9.312494610849793</v>
      </c>
      <c r="K175" s="1470">
        <v>42232</v>
      </c>
      <c r="L175" s="1471"/>
      <c r="M175" s="1472">
        <v>0</v>
      </c>
      <c r="N175" s="1473">
        <v>1.0588664772884415</v>
      </c>
      <c r="O175" s="1473">
        <v>1.0588664772884415</v>
      </c>
    </row>
    <row r="176" spans="2:15">
      <c r="B176" s="1389">
        <v>37773</v>
      </c>
      <c r="C176" s="1390">
        <v>286.84300000000002</v>
      </c>
      <c r="D176" s="1390">
        <v>2175.23</v>
      </c>
      <c r="E176" s="1390">
        <v>1.0185667947451373</v>
      </c>
      <c r="F176" s="1390">
        <v>9.4853977868546391</v>
      </c>
      <c r="K176" s="1470">
        <v>42233</v>
      </c>
      <c r="L176" s="1471" t="s">
        <v>2129</v>
      </c>
      <c r="M176" s="1472">
        <v>5.2531000000000001E-2</v>
      </c>
      <c r="N176" s="1473">
        <v>1.0594227104376259</v>
      </c>
      <c r="O176" s="1473">
        <v>1.0594227104376259</v>
      </c>
    </row>
    <row r="177" spans="2:15">
      <c r="B177" s="1389">
        <v>37803</v>
      </c>
      <c r="C177" s="1390">
        <v>285.649</v>
      </c>
      <c r="D177" s="1390">
        <v>2179.58</v>
      </c>
      <c r="E177" s="1390">
        <v>1.0208424747911398</v>
      </c>
      <c r="F177" s="1390">
        <v>9.6830969511110894</v>
      </c>
      <c r="K177" s="1470">
        <v>42234</v>
      </c>
      <c r="L177" s="1471" t="s">
        <v>2129</v>
      </c>
      <c r="M177" s="1472">
        <v>5.2531000000000001E-2</v>
      </c>
      <c r="N177" s="1473">
        <v>1.059979235781646</v>
      </c>
      <c r="O177" s="1473">
        <v>1.059979235781646</v>
      </c>
    </row>
    <row r="178" spans="2:15">
      <c r="B178" s="1389">
        <v>37834</v>
      </c>
      <c r="C178" s="1390">
        <v>286.73500000000001</v>
      </c>
      <c r="D178" s="1390">
        <v>2186.9899999999998</v>
      </c>
      <c r="E178" s="1390">
        <v>1.0177426111342931</v>
      </c>
      <c r="F178" s="1390">
        <v>9.8549003748903132</v>
      </c>
      <c r="K178" s="1470">
        <v>42235</v>
      </c>
      <c r="L178" s="1471" t="s">
        <v>2129</v>
      </c>
      <c r="M178" s="1472">
        <v>5.2531000000000001E-2</v>
      </c>
      <c r="N178" s="1473">
        <v>1.0605360534739945</v>
      </c>
      <c r="O178" s="1473">
        <v>1.0605360534739945</v>
      </c>
    </row>
    <row r="179" spans="2:15">
      <c r="B179" s="1389">
        <v>37865</v>
      </c>
      <c r="C179" s="1390">
        <v>290.12700000000001</v>
      </c>
      <c r="D179" s="1390">
        <v>2204.0500000000002</v>
      </c>
      <c r="E179" s="1390">
        <v>1.0167950902831471</v>
      </c>
      <c r="F179" s="1390">
        <v>10.020414316418016</v>
      </c>
      <c r="K179" s="1470">
        <v>42236</v>
      </c>
      <c r="L179" s="1471" t="s">
        <v>2129</v>
      </c>
      <c r="M179" s="1472">
        <v>5.2531000000000001E-2</v>
      </c>
      <c r="N179" s="1473">
        <v>1.061093163668245</v>
      </c>
      <c r="O179" s="1473">
        <v>1.061093163668245</v>
      </c>
    </row>
    <row r="180" spans="2:15">
      <c r="B180" s="1389">
        <v>37895</v>
      </c>
      <c r="C180" s="1390">
        <v>291.22899999999998</v>
      </c>
      <c r="D180" s="1390">
        <v>2210.44</v>
      </c>
      <c r="E180" s="1390">
        <v>1.0164205992977207</v>
      </c>
      <c r="F180" s="1390">
        <v>10.18495552470506</v>
      </c>
      <c r="K180" s="1470">
        <v>42237</v>
      </c>
      <c r="L180" s="1471" t="s">
        <v>2129</v>
      </c>
      <c r="M180" s="1472">
        <v>5.2531000000000001E-2</v>
      </c>
      <c r="N180" s="1473">
        <v>1.0616505665180516</v>
      </c>
      <c r="O180" s="1473">
        <v>1.0616505665180516</v>
      </c>
    </row>
    <row r="181" spans="2:15">
      <c r="B181" s="1389">
        <v>37926</v>
      </c>
      <c r="C181" s="1390">
        <v>292.65699999999998</v>
      </c>
      <c r="D181" s="1390">
        <v>2217.96</v>
      </c>
      <c r="E181" s="1390">
        <v>1.0134353138584866</v>
      </c>
      <c r="F181" s="1390">
        <v>10.3217935988142</v>
      </c>
      <c r="K181" s="1470">
        <v>42238</v>
      </c>
      <c r="L181" s="1471"/>
      <c r="M181" s="1472">
        <v>0</v>
      </c>
      <c r="N181" s="1473">
        <v>1.0616505665180516</v>
      </c>
      <c r="O181" s="1473">
        <v>1.0616505665180516</v>
      </c>
    </row>
    <row r="182" spans="2:15">
      <c r="B182" s="1389">
        <v>37956</v>
      </c>
      <c r="C182" s="1390">
        <v>294.45499999999998</v>
      </c>
      <c r="D182" s="1390">
        <v>2229.4899999999998</v>
      </c>
      <c r="E182" s="1390">
        <v>1.0137325047762002</v>
      </c>
      <c r="F182" s="1390">
        <v>10.463537678708869</v>
      </c>
      <c r="K182" s="1470">
        <v>42239</v>
      </c>
      <c r="L182" s="1471"/>
      <c r="M182" s="1472">
        <v>0</v>
      </c>
      <c r="N182" s="1473">
        <v>1.0616505665180516</v>
      </c>
      <c r="O182" s="1473">
        <v>1.0616505665180516</v>
      </c>
    </row>
    <row r="183" spans="2:15">
      <c r="B183" s="1389">
        <v>37987</v>
      </c>
      <c r="C183" s="1390">
        <v>297.03899999999999</v>
      </c>
      <c r="D183" s="1390">
        <v>2246.4299999999998</v>
      </c>
      <c r="E183" s="1390">
        <v>1.0126755135884871</v>
      </c>
      <c r="F183" s="1390">
        <v>10.59616839273899</v>
      </c>
      <c r="K183" s="1470">
        <v>42240</v>
      </c>
      <c r="L183" s="1471" t="s">
        <v>2129</v>
      </c>
      <c r="M183" s="1472">
        <v>5.2531000000000001E-2</v>
      </c>
      <c r="N183" s="1473">
        <v>1.0622082621771491</v>
      </c>
      <c r="O183" s="1473">
        <v>1.0622082621771491</v>
      </c>
    </row>
    <row r="184" spans="2:15">
      <c r="B184" s="1389">
        <v>38018</v>
      </c>
      <c r="C184" s="1390">
        <v>299.09699999999998</v>
      </c>
      <c r="D184" s="1390">
        <v>2260.13</v>
      </c>
      <c r="E184" s="1390">
        <v>1.0108439419169848</v>
      </c>
      <c r="F184" s="1390">
        <v>10.711072627332442</v>
      </c>
      <c r="K184" s="1470">
        <v>42241</v>
      </c>
      <c r="L184" s="1471" t="s">
        <v>2129</v>
      </c>
      <c r="M184" s="1472">
        <v>5.2531000000000001E-2</v>
      </c>
      <c r="N184" s="1473">
        <v>1.0627662507993534</v>
      </c>
      <c r="O184" s="1473">
        <v>1.0627662507993534</v>
      </c>
    </row>
    <row r="185" spans="2:15">
      <c r="B185" s="1389">
        <v>38047</v>
      </c>
      <c r="C185" s="1390">
        <v>302.48399999999998</v>
      </c>
      <c r="D185" s="1390">
        <v>2270.75</v>
      </c>
      <c r="E185" s="1390">
        <v>1.0137912342986635</v>
      </c>
      <c r="F185" s="1390">
        <v>10.858791539525985</v>
      </c>
      <c r="K185" s="1470">
        <v>42242</v>
      </c>
      <c r="L185" s="1471" t="s">
        <v>2129</v>
      </c>
      <c r="M185" s="1472">
        <v>5.2531000000000001E-2</v>
      </c>
      <c r="N185" s="1473">
        <v>1.0633245325385607</v>
      </c>
      <c r="O185" s="1473">
        <v>1.0633245325385607</v>
      </c>
    </row>
    <row r="186" spans="2:15">
      <c r="B186" s="1389">
        <v>38078</v>
      </c>
      <c r="C186" s="1390">
        <v>306.15100000000001</v>
      </c>
      <c r="D186" s="1390">
        <v>2279.15</v>
      </c>
      <c r="E186" s="1390">
        <v>1.011818501098614</v>
      </c>
      <c r="F186" s="1390">
        <v>10.987126179265493</v>
      </c>
      <c r="K186" s="1470">
        <v>42243</v>
      </c>
      <c r="L186" s="1471" t="s">
        <v>2129</v>
      </c>
      <c r="M186" s="1472">
        <v>5.2531000000000001E-2</v>
      </c>
      <c r="N186" s="1473">
        <v>1.0638831075487485</v>
      </c>
      <c r="O186" s="1473">
        <v>1.0638831075487485</v>
      </c>
    </row>
    <row r="187" spans="2:15">
      <c r="B187" s="1389">
        <v>38108</v>
      </c>
      <c r="C187" s="1390">
        <v>310.15199999999999</v>
      </c>
      <c r="D187" s="1390">
        <v>2290.77</v>
      </c>
      <c r="E187" s="1390">
        <v>1.0122780474663127</v>
      </c>
      <c r="F187" s="1390">
        <v>11.122026636012881</v>
      </c>
      <c r="K187" s="1470">
        <v>42244</v>
      </c>
      <c r="L187" s="1471" t="s">
        <v>2129</v>
      </c>
      <c r="M187" s="1472">
        <v>5.2531000000000001E-2</v>
      </c>
      <c r="N187" s="1473">
        <v>1.0644419759839749</v>
      </c>
      <c r="O187" s="1473">
        <v>1.0644419759839749</v>
      </c>
    </row>
    <row r="188" spans="2:15">
      <c r="B188" s="1389">
        <v>38139</v>
      </c>
      <c r="C188" s="1390">
        <v>314.41899999999998</v>
      </c>
      <c r="D188" s="1390">
        <v>2307.0300000000002</v>
      </c>
      <c r="E188" s="1390">
        <v>1.0122988884857291</v>
      </c>
      <c r="F188" s="1390">
        <v>11.258815201344513</v>
      </c>
      <c r="K188" s="1470">
        <v>42245</v>
      </c>
      <c r="L188" s="1471"/>
      <c r="M188" s="1472">
        <v>0</v>
      </c>
      <c r="N188" s="1473">
        <v>1.0644419759839749</v>
      </c>
      <c r="O188" s="1473">
        <v>1.0644419759839749</v>
      </c>
    </row>
    <row r="189" spans="2:15">
      <c r="B189" s="1389">
        <v>38169</v>
      </c>
      <c r="C189" s="1390">
        <v>318.53199999999998</v>
      </c>
      <c r="D189" s="1390">
        <v>2328.02</v>
      </c>
      <c r="E189" s="1390">
        <v>1.012868893920805</v>
      </c>
      <c r="F189" s="1390">
        <v>11.403703699844563</v>
      </c>
      <c r="K189" s="1470">
        <v>42246</v>
      </c>
      <c r="L189" s="1471"/>
      <c r="M189" s="1472">
        <v>0</v>
      </c>
      <c r="N189" s="1473">
        <v>1.0644419759839749</v>
      </c>
      <c r="O189" s="1473">
        <v>1.0644419759839749</v>
      </c>
    </row>
    <row r="190" spans="2:15">
      <c r="B190" s="1389">
        <v>38200</v>
      </c>
      <c r="C190" s="1390">
        <v>322.41199999999998</v>
      </c>
      <c r="D190" s="1390">
        <v>2344.08</v>
      </c>
      <c r="E190" s="1390">
        <v>1.0129358583775749</v>
      </c>
      <c r="F190" s="1390">
        <v>11.551220395885579</v>
      </c>
      <c r="K190" s="1470">
        <v>42247</v>
      </c>
      <c r="L190" s="1471" t="s">
        <v>2129</v>
      </c>
      <c r="M190" s="1472">
        <v>5.2531000000000001E-2</v>
      </c>
      <c r="N190" s="1473">
        <v>1.065001137998379</v>
      </c>
      <c r="O190" s="1473">
        <v>1.065001137998379</v>
      </c>
    </row>
    <row r="191" spans="2:15">
      <c r="B191" s="1389">
        <v>38231</v>
      </c>
      <c r="C191" s="1390">
        <v>324.65100000000001</v>
      </c>
      <c r="D191" s="1390">
        <v>2351.8200000000002</v>
      </c>
      <c r="E191" s="1390">
        <v>1.0125132709021758</v>
      </c>
      <c r="F191" s="1390">
        <v>11.695763945950034</v>
      </c>
      <c r="K191" s="1470">
        <v>42248</v>
      </c>
      <c r="L191" s="1471" t="s">
        <v>2129</v>
      </c>
      <c r="M191" s="1472">
        <v>5.2531000000000001E-2</v>
      </c>
      <c r="N191" s="1473">
        <v>1.065560593746181</v>
      </c>
      <c r="O191" s="1473">
        <v>1.065560593746181</v>
      </c>
    </row>
    <row r="192" spans="2:15">
      <c r="B192" s="1389">
        <v>38261</v>
      </c>
      <c r="C192" s="1390">
        <v>325.92500000000001</v>
      </c>
      <c r="D192" s="1390">
        <v>2362.17</v>
      </c>
      <c r="E192" s="1390">
        <v>1.0121322386789289</v>
      </c>
      <c r="F192" s="1390">
        <v>11.837659745674712</v>
      </c>
      <c r="K192" s="1470">
        <v>42249</v>
      </c>
      <c r="L192" s="1471" t="s">
        <v>2129</v>
      </c>
      <c r="M192" s="1472">
        <v>5.2531000000000001E-2</v>
      </c>
      <c r="N192" s="1473">
        <v>1.0661203433816817</v>
      </c>
      <c r="O192" s="1473">
        <v>1.0661203433816817</v>
      </c>
    </row>
    <row r="193" spans="2:15">
      <c r="B193" s="1389">
        <v>38292</v>
      </c>
      <c r="C193" s="1390">
        <v>328.58800000000002</v>
      </c>
      <c r="D193" s="1390">
        <v>2378.4699999999998</v>
      </c>
      <c r="E193" s="1390">
        <v>1.0125098562166484</v>
      </c>
      <c r="F193" s="1390">
        <v>11.985747167034708</v>
      </c>
      <c r="K193" s="1470">
        <v>42250</v>
      </c>
      <c r="L193" s="1471" t="s">
        <v>2129</v>
      </c>
      <c r="M193" s="1472">
        <v>5.2531000000000001E-2</v>
      </c>
      <c r="N193" s="1473">
        <v>1.0666803870592636</v>
      </c>
      <c r="O193" s="1473">
        <v>1.0666803870592636</v>
      </c>
    </row>
    <row r="194" spans="2:15">
      <c r="B194" s="1389">
        <v>38322</v>
      </c>
      <c r="C194" s="1390">
        <v>331.005</v>
      </c>
      <c r="D194" s="1390">
        <v>2398.92</v>
      </c>
      <c r="E194" s="1390">
        <v>1.0148282315457626</v>
      </c>
      <c r="F194" s="1390">
        <v>12.163474601276468</v>
      </c>
      <c r="K194" s="1470">
        <v>42251</v>
      </c>
      <c r="L194" s="1471" t="s">
        <v>2129</v>
      </c>
      <c r="M194" s="1472">
        <v>5.2531000000000001E-2</v>
      </c>
      <c r="N194" s="1473">
        <v>1.0672407249333897</v>
      </c>
      <c r="O194" s="1473">
        <v>1.0672407249333897</v>
      </c>
    </row>
    <row r="195" spans="2:15">
      <c r="B195" s="1389">
        <v>38353</v>
      </c>
      <c r="C195" s="1390">
        <v>332.298</v>
      </c>
      <c r="D195" s="1390">
        <v>2412.83</v>
      </c>
      <c r="E195" s="1390">
        <v>1.0138388229391033</v>
      </c>
      <c r="F195" s="1390">
        <v>12.331802772607814</v>
      </c>
      <c r="K195" s="1470">
        <v>42252</v>
      </c>
      <c r="L195" s="1471"/>
      <c r="M195" s="1472">
        <v>0</v>
      </c>
      <c r="N195" s="1473">
        <v>1.0672407249333897</v>
      </c>
      <c r="O195" s="1473">
        <v>1.0672407249333897</v>
      </c>
    </row>
    <row r="196" spans="2:15">
      <c r="B196" s="1389">
        <v>38384</v>
      </c>
      <c r="C196" s="1390">
        <v>333.28800000000001</v>
      </c>
      <c r="D196" s="1390">
        <v>2427.0700000000002</v>
      </c>
      <c r="E196" s="1390">
        <v>1.0121818576713373</v>
      </c>
      <c r="F196" s="1390">
        <v>12.482027038814724</v>
      </c>
      <c r="K196" s="1470">
        <v>42253</v>
      </c>
      <c r="L196" s="1471"/>
      <c r="M196" s="1472">
        <v>0</v>
      </c>
      <c r="N196" s="1473">
        <v>1.0672407249333897</v>
      </c>
      <c r="O196" s="1473">
        <v>1.0672407249333897</v>
      </c>
    </row>
    <row r="197" spans="2:15">
      <c r="B197" s="1389">
        <v>38412</v>
      </c>
      <c r="C197" s="1390">
        <v>336.12299999999999</v>
      </c>
      <c r="D197" s="1390">
        <v>2441.87</v>
      </c>
      <c r="E197" s="1390">
        <v>1.0152817807540921</v>
      </c>
      <c r="F197" s="1390">
        <v>12.672774639388541</v>
      </c>
      <c r="G197" s="67"/>
      <c r="K197" s="1470">
        <v>42254</v>
      </c>
      <c r="L197" s="1471"/>
      <c r="M197" s="1472">
        <v>0</v>
      </c>
      <c r="N197" s="1473">
        <v>1.0672407249333897</v>
      </c>
      <c r="O197" s="1473">
        <v>1.0672407249333897</v>
      </c>
    </row>
    <row r="198" spans="2:15">
      <c r="B198" s="1389">
        <v>38443</v>
      </c>
      <c r="C198" s="1390">
        <v>339.03</v>
      </c>
      <c r="D198" s="1390">
        <v>2463.11</v>
      </c>
      <c r="E198" s="1390">
        <v>1.0141152901477553</v>
      </c>
      <c r="F198" s="1390">
        <v>12.851654530400625</v>
      </c>
      <c r="K198" s="1470">
        <v>42255</v>
      </c>
      <c r="L198" s="1471" t="s">
        <v>2129</v>
      </c>
      <c r="M198" s="1472">
        <v>5.2531000000000001E-2</v>
      </c>
      <c r="N198" s="1473">
        <v>1.0678013571586045</v>
      </c>
      <c r="O198" s="1473">
        <v>1.0678013571586045</v>
      </c>
    </row>
    <row r="199" spans="2:15">
      <c r="B199" s="1389">
        <v>38473</v>
      </c>
      <c r="C199" s="1390">
        <v>338.29899999999998</v>
      </c>
      <c r="D199" s="1390">
        <v>2475.1799999999998</v>
      </c>
      <c r="E199" s="1390">
        <v>1.0150306502044895</v>
      </c>
      <c r="F199" s="1390">
        <v>13.044823254196018</v>
      </c>
      <c r="K199" s="1470">
        <v>42256</v>
      </c>
      <c r="L199" s="1471" t="s">
        <v>2129</v>
      </c>
      <c r="M199" s="1472">
        <v>5.2531000000000001E-2</v>
      </c>
      <c r="N199" s="1473">
        <v>1.0683622838895335</v>
      </c>
      <c r="O199" s="1473">
        <v>1.0683622838895335</v>
      </c>
    </row>
    <row r="200" spans="2:15">
      <c r="B200" s="1389">
        <v>38504</v>
      </c>
      <c r="C200" s="1390">
        <v>336.80099999999999</v>
      </c>
      <c r="D200" s="1390">
        <v>2474.6799999999998</v>
      </c>
      <c r="E200" s="1390">
        <v>1.0158560276185216</v>
      </c>
      <c r="F200" s="1390">
        <v>13.251662331993282</v>
      </c>
      <c r="K200" s="1470">
        <v>42257</v>
      </c>
      <c r="L200" s="1471" t="s">
        <v>2129</v>
      </c>
      <c r="M200" s="1472">
        <v>5.2531000000000001E-2</v>
      </c>
      <c r="N200" s="1473">
        <v>1.0689235052808834</v>
      </c>
      <c r="O200" s="1473">
        <v>1.0689235052808834</v>
      </c>
    </row>
    <row r="201" spans="2:15">
      <c r="B201" s="1389">
        <v>38534</v>
      </c>
      <c r="C201" s="1390">
        <v>335.66300000000001</v>
      </c>
      <c r="D201" s="1390">
        <v>2480.87</v>
      </c>
      <c r="E201" s="1390">
        <v>1.0151134516871545</v>
      </c>
      <c r="F201" s="1390">
        <v>13.451940690422347</v>
      </c>
      <c r="K201" s="1470">
        <v>42258</v>
      </c>
      <c r="L201" s="1471" t="s">
        <v>2129</v>
      </c>
      <c r="M201" s="1472">
        <v>5.2531000000000001E-2</v>
      </c>
      <c r="N201" s="1473">
        <v>1.0694850214874425</v>
      </c>
      <c r="O201" s="1473">
        <v>1.0694850214874425</v>
      </c>
    </row>
    <row r="202" spans="2:15">
      <c r="B202" s="1389">
        <v>38565</v>
      </c>
      <c r="C202" s="1390">
        <v>333.47399999999999</v>
      </c>
      <c r="D202" s="1390">
        <v>2485.09</v>
      </c>
      <c r="E202" s="1390">
        <v>1.0165848332092207</v>
      </c>
      <c r="F202" s="1390">
        <v>13.675038883113331</v>
      </c>
      <c r="K202" s="1470">
        <v>42259</v>
      </c>
      <c r="L202" s="1471"/>
      <c r="M202" s="1472">
        <v>0</v>
      </c>
      <c r="N202" s="1473">
        <v>1.0694850214874425</v>
      </c>
      <c r="O202" s="1473">
        <v>1.0694850214874425</v>
      </c>
    </row>
    <row r="203" spans="2:15">
      <c r="B203" s="1389">
        <v>38596</v>
      </c>
      <c r="C203" s="1390">
        <v>331.69</v>
      </c>
      <c r="D203" s="1390">
        <v>2493.79</v>
      </c>
      <c r="E203" s="1390">
        <v>1.0150313602253485</v>
      </c>
      <c r="F203" s="1390">
        <v>13.880593318661054</v>
      </c>
      <c r="K203" s="1470">
        <v>42260</v>
      </c>
      <c r="L203" s="1471"/>
      <c r="M203" s="1472">
        <v>0</v>
      </c>
      <c r="N203" s="1473">
        <v>1.0694850214874425</v>
      </c>
      <c r="O203" s="1473">
        <v>1.0694850214874425</v>
      </c>
    </row>
    <row r="204" spans="2:15">
      <c r="B204" s="1389">
        <v>38626</v>
      </c>
      <c r="C204" s="1390">
        <v>333.69400000000002</v>
      </c>
      <c r="D204" s="1390">
        <v>2512.4899999999998</v>
      </c>
      <c r="E204" s="1390">
        <v>1.0140716431638075</v>
      </c>
      <c r="F204" s="1390">
        <v>14.075916074743184</v>
      </c>
      <c r="K204" s="1470">
        <v>42261</v>
      </c>
      <c r="L204" s="1471" t="s">
        <v>2129</v>
      </c>
      <c r="M204" s="1472">
        <v>5.2531000000000001E-2</v>
      </c>
      <c r="N204" s="1473">
        <v>1.0700468326640802</v>
      </c>
      <c r="O204" s="1473">
        <v>1.0700468326640802</v>
      </c>
    </row>
    <row r="205" spans="2:15">
      <c r="B205" s="1389">
        <v>38657</v>
      </c>
      <c r="C205" s="1390">
        <v>335.03300000000002</v>
      </c>
      <c r="D205" s="1390">
        <v>2526.31</v>
      </c>
      <c r="E205" s="1390">
        <v>1.0138104099310956</v>
      </c>
      <c r="F205" s="1390">
        <v>14.270310245891086</v>
      </c>
      <c r="K205" s="1470">
        <v>42262</v>
      </c>
      <c r="L205" s="1471" t="s">
        <v>2129</v>
      </c>
      <c r="M205" s="1472">
        <v>5.2531000000000001E-2</v>
      </c>
      <c r="N205" s="1473">
        <v>1.0706089389657469</v>
      </c>
      <c r="O205" s="1473">
        <v>1.0706089389657469</v>
      </c>
    </row>
    <row r="206" spans="2:15">
      <c r="B206" s="1389">
        <v>38687</v>
      </c>
      <c r="C206" s="1390">
        <v>335.00599999999997</v>
      </c>
      <c r="D206" s="1390">
        <v>2535.4</v>
      </c>
      <c r="E206" s="1390">
        <v>1.0147357208231795</v>
      </c>
      <c r="F206" s="1390">
        <v>14.480593553734694</v>
      </c>
      <c r="K206" s="1470">
        <v>42263</v>
      </c>
      <c r="L206" s="1471" t="s">
        <v>2129</v>
      </c>
      <c r="M206" s="1472">
        <v>5.2531000000000001E-2</v>
      </c>
      <c r="N206" s="1473">
        <v>1.071171340547475</v>
      </c>
      <c r="O206" s="1473">
        <v>1.071171340547475</v>
      </c>
    </row>
    <row r="207" spans="2:15">
      <c r="B207" s="1389">
        <v>38718</v>
      </c>
      <c r="C207" s="1390">
        <v>338.08300000000003</v>
      </c>
      <c r="D207" s="1390">
        <v>2550.36</v>
      </c>
      <c r="E207" s="1390">
        <v>1.0142931741687891</v>
      </c>
      <c r="F207" s="1390">
        <v>14.687567199465668</v>
      </c>
      <c r="K207" s="1470">
        <v>42264</v>
      </c>
      <c r="L207" s="1471" t="s">
        <v>2129</v>
      </c>
      <c r="M207" s="1472">
        <v>5.2531000000000001E-2</v>
      </c>
      <c r="N207" s="1473">
        <v>1.071734037564378</v>
      </c>
      <c r="O207" s="1473">
        <v>1.071734037564378</v>
      </c>
    </row>
    <row r="208" spans="2:15">
      <c r="B208" s="1389">
        <v>38749</v>
      </c>
      <c r="C208" s="1390">
        <v>338.12799999999999</v>
      </c>
      <c r="D208" s="1390">
        <v>2560.8200000000002</v>
      </c>
      <c r="E208" s="1390">
        <v>1.0114506306443078</v>
      </c>
      <c r="F208" s="1390">
        <v>14.855749106530201</v>
      </c>
      <c r="K208" s="1470">
        <v>42265</v>
      </c>
      <c r="L208" s="1471" t="s">
        <v>2129</v>
      </c>
      <c r="M208" s="1472">
        <v>5.2531000000000001E-2</v>
      </c>
      <c r="N208" s="1473">
        <v>1.072297030171651</v>
      </c>
      <c r="O208" s="1473">
        <v>1.072297030171651</v>
      </c>
    </row>
    <row r="209" spans="2:15">
      <c r="B209" s="1389">
        <v>38777</v>
      </c>
      <c r="C209" s="1390">
        <v>337.339</v>
      </c>
      <c r="D209" s="1390">
        <v>2571.83</v>
      </c>
      <c r="E209" s="1390">
        <v>1.0142230199009199</v>
      </c>
      <c r="F209" s="1390">
        <v>15.067042721715453</v>
      </c>
      <c r="K209" s="1470">
        <v>42266</v>
      </c>
      <c r="L209" s="1471"/>
      <c r="M209" s="1472">
        <v>0</v>
      </c>
      <c r="N209" s="1473">
        <v>1.072297030171651</v>
      </c>
      <c r="O209" s="1473">
        <v>1.072297030171651</v>
      </c>
    </row>
    <row r="210" spans="2:15">
      <c r="B210" s="1389">
        <v>38808</v>
      </c>
      <c r="C210" s="1390">
        <v>335.92099999999999</v>
      </c>
      <c r="D210" s="1390">
        <v>2577.23</v>
      </c>
      <c r="E210" s="1390">
        <v>1.0107787821533378</v>
      </c>
      <c r="F210" s="1390">
        <v>15.229447092907858</v>
      </c>
      <c r="K210" s="1470">
        <v>42267</v>
      </c>
      <c r="L210" s="1471"/>
      <c r="M210" s="1472">
        <v>0</v>
      </c>
      <c r="N210" s="1473">
        <v>1.072297030171651</v>
      </c>
      <c r="O210" s="1473">
        <v>1.072297030171651</v>
      </c>
    </row>
    <row r="211" spans="2:15">
      <c r="B211" s="1389">
        <v>38838</v>
      </c>
      <c r="C211" s="1390">
        <v>337.185</v>
      </c>
      <c r="D211" s="1390">
        <v>2579.81</v>
      </c>
      <c r="E211" s="1390">
        <v>1.0128136552027243</v>
      </c>
      <c r="F211" s="1390">
        <v>15.424591976884511</v>
      </c>
      <c r="K211" s="1470">
        <v>42268</v>
      </c>
      <c r="L211" s="1471" t="s">
        <v>2129</v>
      </c>
      <c r="M211" s="1472">
        <v>5.2531000000000001E-2</v>
      </c>
      <c r="N211" s="1473">
        <v>1.0728603185245704</v>
      </c>
      <c r="O211" s="1473">
        <v>1.0728603185245704</v>
      </c>
    </row>
    <row r="212" spans="2:15">
      <c r="B212" s="1389">
        <v>38869</v>
      </c>
      <c r="C212" s="1390">
        <v>339.71199999999999</v>
      </c>
      <c r="D212" s="1390">
        <v>2574.39</v>
      </c>
      <c r="E212" s="1390">
        <v>1.0118439390435949</v>
      </c>
      <c r="F212" s="1390">
        <v>15.607279904031055</v>
      </c>
      <c r="K212" s="1470">
        <v>42269</v>
      </c>
      <c r="L212" s="1471" t="s">
        <v>2129</v>
      </c>
      <c r="M212" s="1472">
        <v>5.2531000000000001E-2</v>
      </c>
      <c r="N212" s="1473">
        <v>1.0734239027784946</v>
      </c>
      <c r="O212" s="1473">
        <v>1.0734239027784946</v>
      </c>
    </row>
    <row r="213" spans="2:15">
      <c r="B213" s="1389">
        <v>38899</v>
      </c>
      <c r="C213" s="1390">
        <v>340.31200000000001</v>
      </c>
      <c r="D213" s="1390">
        <v>2579.2800000000002</v>
      </c>
      <c r="E213" s="1390">
        <v>1.0116996590630269</v>
      </c>
      <c r="F213" s="1390">
        <v>15.78987975780945</v>
      </c>
      <c r="K213" s="1470">
        <v>42270</v>
      </c>
      <c r="L213" s="1471" t="s">
        <v>2129</v>
      </c>
      <c r="M213" s="1472">
        <v>5.2531000000000001E-2</v>
      </c>
      <c r="N213" s="1473">
        <v>1.0739877830888631</v>
      </c>
      <c r="O213" s="1473">
        <v>1.0739877830888631</v>
      </c>
    </row>
    <row r="214" spans="2:15">
      <c r="B214" s="1389">
        <v>38930</v>
      </c>
      <c r="C214" s="1390">
        <v>341.57400000000001</v>
      </c>
      <c r="D214" s="1390">
        <v>2580.5700000000002</v>
      </c>
      <c r="E214" s="1390">
        <v>1.012562646303421</v>
      </c>
      <c r="F214" s="1390">
        <v>15.988242432380357</v>
      </c>
      <c r="K214" s="1470">
        <v>42271</v>
      </c>
      <c r="L214" s="1471" t="s">
        <v>2129</v>
      </c>
      <c r="M214" s="1472">
        <v>5.2531000000000001E-2</v>
      </c>
      <c r="N214" s="1473">
        <v>1.0745519596111974</v>
      </c>
      <c r="O214" s="1473">
        <v>1.0745519596111974</v>
      </c>
    </row>
    <row r="215" spans="2:15" ht="13.5" customHeight="1">
      <c r="B215" s="1389">
        <v>38961</v>
      </c>
      <c r="C215" s="1390">
        <v>342.56099999999998</v>
      </c>
      <c r="D215" s="1390">
        <v>2585.9899999999998</v>
      </c>
      <c r="E215" s="1390">
        <v>1.0105730983323107</v>
      </c>
      <c r="F215" s="1390">
        <v>16.157287691778738</v>
      </c>
      <c r="K215" s="1470">
        <v>42272</v>
      </c>
      <c r="L215" s="1471" t="s">
        <v>2129</v>
      </c>
      <c r="M215" s="1472">
        <v>5.2531000000000001E-2</v>
      </c>
      <c r="N215" s="1473">
        <v>1.0751164325011009</v>
      </c>
      <c r="O215" s="1473">
        <v>1.0751164325011009</v>
      </c>
    </row>
    <row r="216" spans="2:15">
      <c r="B216" s="1389">
        <v>38991</v>
      </c>
      <c r="C216" s="1390">
        <v>344.15499999999997</v>
      </c>
      <c r="D216" s="1390">
        <v>2594.52</v>
      </c>
      <c r="E216" s="1390">
        <v>1.0109424441222723</v>
      </c>
      <c r="F216" s="1390">
        <v>16.334087909513503</v>
      </c>
      <c r="K216" s="1470">
        <v>42273</v>
      </c>
      <c r="L216" s="1471"/>
      <c r="M216" s="1472">
        <v>0</v>
      </c>
      <c r="N216" s="1473">
        <v>1.0751164325011009</v>
      </c>
      <c r="O216" s="1473">
        <v>1.0751164325011009</v>
      </c>
    </row>
    <row r="217" spans="2:15">
      <c r="B217" s="1389">
        <v>39022</v>
      </c>
      <c r="C217" s="1390">
        <v>346.74599999999998</v>
      </c>
      <c r="D217" s="1390">
        <v>2602.56</v>
      </c>
      <c r="E217" s="1390">
        <v>1.0102060517349183</v>
      </c>
      <c r="F217" s="1390">
        <v>16.500794455760701</v>
      </c>
      <c r="K217" s="1470">
        <v>42274</v>
      </c>
      <c r="L217" s="1471"/>
      <c r="M217" s="1472">
        <v>0</v>
      </c>
      <c r="N217" s="1473">
        <v>1.0751164325011009</v>
      </c>
      <c r="O217" s="1473">
        <v>1.0751164325011009</v>
      </c>
    </row>
    <row r="218" spans="2:15">
      <c r="B218" s="1389">
        <v>39052</v>
      </c>
      <c r="C218" s="1390">
        <v>347.84199999999998</v>
      </c>
      <c r="D218" s="1390">
        <v>2615.0500000000002</v>
      </c>
      <c r="E218" s="1390">
        <v>1.0098788606332807</v>
      </c>
      <c r="F218" s="1390">
        <v>16.663803504527571</v>
      </c>
      <c r="K218" s="1470">
        <v>42275</v>
      </c>
      <c r="L218" s="1471" t="s">
        <v>2129</v>
      </c>
      <c r="M218" s="1472">
        <v>5.2531000000000001E-2</v>
      </c>
      <c r="N218" s="1473">
        <v>1.0756812019142581</v>
      </c>
      <c r="O218" s="1473">
        <v>1.0756812019142581</v>
      </c>
    </row>
    <row r="219" spans="2:15">
      <c r="B219" s="1389">
        <v>39083</v>
      </c>
      <c r="C219" s="1390">
        <v>349.59300000000002</v>
      </c>
      <c r="D219" s="1390">
        <v>2626.56</v>
      </c>
      <c r="E219" s="1390">
        <v>1.0108280266006449</v>
      </c>
      <c r="F219" s="1390">
        <v>16.844239612142516</v>
      </c>
      <c r="K219" s="1470">
        <v>42276</v>
      </c>
      <c r="L219" s="1471" t="s">
        <v>2129</v>
      </c>
      <c r="M219" s="1472">
        <v>5.2531000000000001E-2</v>
      </c>
      <c r="N219" s="1473">
        <v>1.0762462680064357</v>
      </c>
      <c r="O219" s="1473">
        <v>1.0762462680064357</v>
      </c>
    </row>
    <row r="220" spans="2:15">
      <c r="B220" s="1389">
        <v>39114</v>
      </c>
      <c r="C220" s="1390">
        <v>350.524</v>
      </c>
      <c r="D220" s="1390">
        <v>2638.12</v>
      </c>
      <c r="E220" s="1390">
        <v>1.008724844950982</v>
      </c>
      <c r="F220" s="1390">
        <v>16.991202991075649</v>
      </c>
      <c r="K220" s="1470">
        <v>42277</v>
      </c>
      <c r="L220" s="1471" t="s">
        <v>2129</v>
      </c>
      <c r="M220" s="1472">
        <v>5.2531000000000001E-2</v>
      </c>
      <c r="N220" s="1473">
        <v>1.0768116309334823</v>
      </c>
      <c r="O220" s="1473">
        <v>1.0768116309334823</v>
      </c>
    </row>
    <row r="221" spans="2:15">
      <c r="B221" s="1389">
        <v>39142</v>
      </c>
      <c r="C221" s="1390">
        <v>351.71699999999998</v>
      </c>
      <c r="D221" s="1390">
        <v>2647.88</v>
      </c>
      <c r="E221" s="1390">
        <v>1.0105222327764332</v>
      </c>
      <c r="F221" s="1390">
        <v>17.169988384099376</v>
      </c>
      <c r="K221" s="1470">
        <v>42278</v>
      </c>
      <c r="L221" s="1471" t="s">
        <v>2129</v>
      </c>
      <c r="M221" s="1472">
        <v>5.2531000000000001E-2</v>
      </c>
      <c r="N221" s="1473">
        <v>1.0773772908513279</v>
      </c>
      <c r="O221" s="1473">
        <v>1.0773772908513279</v>
      </c>
    </row>
    <row r="222" spans="2:15">
      <c r="B222" s="1389">
        <v>39173</v>
      </c>
      <c r="C222" s="1390">
        <v>351.86900000000003</v>
      </c>
      <c r="D222" s="1390">
        <v>2654.5</v>
      </c>
      <c r="E222" s="1390">
        <v>1.0094482340398951</v>
      </c>
      <c r="F222" s="1390">
        <v>17.332214452814629</v>
      </c>
      <c r="K222" s="1470">
        <v>42279</v>
      </c>
      <c r="L222" s="1471" t="s">
        <v>2129</v>
      </c>
      <c r="M222" s="1472">
        <v>5.2531000000000001E-2</v>
      </c>
      <c r="N222" s="1473">
        <v>1.0779432479159849</v>
      </c>
      <c r="O222" s="1473">
        <v>1.0779432479159849</v>
      </c>
    </row>
    <row r="223" spans="2:15">
      <c r="B223" s="1389">
        <v>39203</v>
      </c>
      <c r="C223" s="1390">
        <v>352.02</v>
      </c>
      <c r="D223" s="1390">
        <v>2661.93</v>
      </c>
      <c r="E223" s="1390">
        <v>1.0102807696314628</v>
      </c>
      <c r="F223" s="1390">
        <v>17.510402956807127</v>
      </c>
      <c r="K223" s="1470">
        <v>42280</v>
      </c>
      <c r="L223" s="1471"/>
      <c r="M223" s="1472">
        <v>0</v>
      </c>
      <c r="N223" s="1473">
        <v>1.0779432479159849</v>
      </c>
      <c r="O223" s="1473">
        <v>1.0779432479159849</v>
      </c>
    </row>
    <row r="224" spans="2:15">
      <c r="B224" s="1389">
        <v>39234</v>
      </c>
      <c r="C224" s="1390">
        <v>352.93599999999998</v>
      </c>
      <c r="D224" s="1390">
        <v>2669.38</v>
      </c>
      <c r="E224" s="1390">
        <v>1.0090562894719608</v>
      </c>
      <c r="F224" s="1390">
        <v>17.668982234754651</v>
      </c>
      <c r="K224" s="1470">
        <v>42281</v>
      </c>
      <c r="L224" s="1471"/>
      <c r="M224" s="1472">
        <v>0</v>
      </c>
      <c r="N224" s="1473">
        <v>1.0779432479159849</v>
      </c>
      <c r="O224" s="1473">
        <v>1.0779432479159849</v>
      </c>
    </row>
    <row r="225" spans="2:15">
      <c r="B225" s="1389">
        <v>39264</v>
      </c>
      <c r="C225" s="1390">
        <v>353.92</v>
      </c>
      <c r="D225" s="1390">
        <v>2675.79</v>
      </c>
      <c r="E225" s="1390">
        <v>1.0097263257608722</v>
      </c>
      <c r="F225" s="1390">
        <v>17.840836511832936</v>
      </c>
      <c r="K225" s="1470">
        <v>42282</v>
      </c>
      <c r="L225" s="1471" t="s">
        <v>2129</v>
      </c>
      <c r="M225" s="1472">
        <v>5.2531000000000001E-2</v>
      </c>
      <c r="N225" s="1473">
        <v>1.0785095022835478</v>
      </c>
      <c r="O225" s="1473">
        <v>1.0785095022835478</v>
      </c>
    </row>
    <row r="226" spans="2:15">
      <c r="B226" s="1389">
        <v>39295</v>
      </c>
      <c r="C226" s="1390">
        <v>357.404</v>
      </c>
      <c r="D226" s="1390">
        <v>2688.37</v>
      </c>
      <c r="E226" s="1390">
        <v>1.0099263513682912</v>
      </c>
      <c r="F226" s="1390">
        <v>18.017930923753628</v>
      </c>
      <c r="K226" s="1470">
        <v>42283</v>
      </c>
      <c r="L226" s="1471" t="s">
        <v>2129</v>
      </c>
      <c r="M226" s="1472">
        <v>5.2531000000000001E-2</v>
      </c>
      <c r="N226" s="1473">
        <v>1.0790760541101925</v>
      </c>
      <c r="O226" s="1473">
        <v>1.0790760541101925</v>
      </c>
    </row>
    <row r="227" spans="2:15">
      <c r="B227" s="1389">
        <v>39326</v>
      </c>
      <c r="C227" s="1390">
        <v>361.99700000000001</v>
      </c>
      <c r="D227" s="1390">
        <v>2693.21</v>
      </c>
      <c r="E227" s="1390">
        <v>1.0080496134415582</v>
      </c>
      <c r="F227" s="1390">
        <v>18.162968302706542</v>
      </c>
      <c r="K227" s="1470">
        <v>42284</v>
      </c>
      <c r="L227" s="1471" t="s">
        <v>2129</v>
      </c>
      <c r="M227" s="1472">
        <v>5.2531000000000001E-2</v>
      </c>
      <c r="N227" s="1473">
        <v>1.0796429035521771</v>
      </c>
      <c r="O227" s="1473">
        <v>1.0796429035521771</v>
      </c>
    </row>
    <row r="228" spans="2:15">
      <c r="B228" s="1389">
        <v>39356</v>
      </c>
      <c r="C228" s="1390">
        <v>365.79399999999998</v>
      </c>
      <c r="D228" s="1390">
        <v>2701.29</v>
      </c>
      <c r="E228" s="1390">
        <v>1.0092949262855189</v>
      </c>
      <c r="F228" s="1390">
        <v>18.331791754206414</v>
      </c>
      <c r="K228" s="1470">
        <v>42285</v>
      </c>
      <c r="L228" s="1471" t="s">
        <v>2129</v>
      </c>
      <c r="M228" s="1472">
        <v>5.2531000000000001E-2</v>
      </c>
      <c r="N228" s="1473">
        <v>1.0802100507658421</v>
      </c>
      <c r="O228" s="1473">
        <v>1.0802100507658421</v>
      </c>
    </row>
    <row r="229" spans="2:15">
      <c r="B229" s="1389">
        <v>39387</v>
      </c>
      <c r="C229" s="1390">
        <v>368.334</v>
      </c>
      <c r="D229" s="1390">
        <v>2711.55</v>
      </c>
      <c r="E229" s="1390">
        <v>1.0084467048252397</v>
      </c>
      <c r="F229" s="1390">
        <v>18.486634988071959</v>
      </c>
      <c r="K229" s="1470">
        <v>42286</v>
      </c>
      <c r="L229" s="1471" t="s">
        <v>2129</v>
      </c>
      <c r="M229" s="1472">
        <v>5.2531000000000001E-2</v>
      </c>
      <c r="N229" s="1473">
        <v>1.08077749590761</v>
      </c>
      <c r="O229" s="1473">
        <v>1.08077749590761</v>
      </c>
    </row>
    <row r="230" spans="2:15">
      <c r="B230" s="1389">
        <v>39417</v>
      </c>
      <c r="C230" s="1390">
        <v>374.815</v>
      </c>
      <c r="D230" s="1390">
        <v>2731.62</v>
      </c>
      <c r="E230" s="1390">
        <v>1.0084467048252395</v>
      </c>
      <c r="F230" s="1390">
        <v>18.642786137028146</v>
      </c>
      <c r="K230" s="1470">
        <v>42287</v>
      </c>
      <c r="L230" s="1471"/>
      <c r="M230" s="1472">
        <v>0</v>
      </c>
      <c r="N230" s="1473">
        <v>1.08077749590761</v>
      </c>
      <c r="O230" s="1473">
        <v>1.08077749590761</v>
      </c>
    </row>
    <row r="231" spans="2:15">
      <c r="B231" s="1389">
        <v>39448</v>
      </c>
      <c r="C231" s="1390">
        <v>378.9</v>
      </c>
      <c r="D231" s="1390">
        <v>2746.37</v>
      </c>
      <c r="E231" s="1390">
        <v>1.0092938367057227</v>
      </c>
      <c r="F231" s="1390">
        <v>18.816049147125398</v>
      </c>
      <c r="K231" s="1470">
        <v>42288</v>
      </c>
      <c r="L231" s="1471"/>
      <c r="M231" s="1472">
        <v>0</v>
      </c>
      <c r="N231" s="1473">
        <v>1.08077749590761</v>
      </c>
      <c r="O231" s="1473">
        <v>1.08077749590761</v>
      </c>
    </row>
    <row r="232" spans="2:15">
      <c r="B232" s="1389">
        <v>39479</v>
      </c>
      <c r="C232" s="1390">
        <v>380.90600000000001</v>
      </c>
      <c r="D232" s="1390">
        <v>2759.83</v>
      </c>
      <c r="E232" s="1390">
        <v>1.0080223173492819</v>
      </c>
      <c r="F232" s="1390">
        <v>18.966997464643324</v>
      </c>
      <c r="K232" s="1470">
        <v>42289</v>
      </c>
      <c r="L232" s="1471"/>
      <c r="M232" s="1472">
        <v>0</v>
      </c>
      <c r="N232" s="1473">
        <v>1.08077749590761</v>
      </c>
      <c r="O232" s="1473">
        <v>1.08077749590761</v>
      </c>
    </row>
    <row r="233" spans="2:15">
      <c r="B233" s="1389">
        <v>39508</v>
      </c>
      <c r="C233" s="1390">
        <v>383.73099999999999</v>
      </c>
      <c r="D233" s="1390">
        <v>2773.08</v>
      </c>
      <c r="E233" s="1390">
        <v>1.0084459790490408</v>
      </c>
      <c r="F233" s="1390">
        <v>19.12719232785291</v>
      </c>
      <c r="K233" s="1470">
        <v>42290</v>
      </c>
      <c r="L233" s="1471" t="s">
        <v>2129</v>
      </c>
      <c r="M233" s="1472">
        <v>5.2531000000000001E-2</v>
      </c>
      <c r="N233" s="1473">
        <v>1.0813452391339853</v>
      </c>
      <c r="O233" s="1473">
        <v>1.0813452391339853</v>
      </c>
    </row>
    <row r="234" spans="2:15">
      <c r="B234" s="1389">
        <v>39539</v>
      </c>
      <c r="C234" s="1390">
        <v>386.38</v>
      </c>
      <c r="D234" s="1390">
        <v>2788.33</v>
      </c>
      <c r="E234" s="1390">
        <v>1.0090142575644072</v>
      </c>
      <c r="F234" s="1390">
        <v>19.299609765980129</v>
      </c>
      <c r="K234" s="1470">
        <v>42291</v>
      </c>
      <c r="L234" s="1471" t="s">
        <v>2129</v>
      </c>
      <c r="M234" s="1472">
        <v>5.2531000000000001E-2</v>
      </c>
      <c r="N234" s="1473">
        <v>1.0819132806015548</v>
      </c>
      <c r="O234" s="1473">
        <v>1.0819132806015548</v>
      </c>
    </row>
    <row r="235" spans="2:15">
      <c r="B235" s="1389">
        <v>39569</v>
      </c>
      <c r="C235" s="1390">
        <v>392.59199999999998</v>
      </c>
      <c r="D235" s="1390">
        <v>2810.36</v>
      </c>
      <c r="E235" s="1390">
        <v>1.0087678287685495</v>
      </c>
      <c r="F235" s="1390">
        <v>19.46882543970807</v>
      </c>
      <c r="K235" s="1470">
        <v>42292</v>
      </c>
      <c r="L235" s="1471" t="s">
        <v>2129</v>
      </c>
      <c r="M235" s="1472">
        <v>5.2531000000000001E-2</v>
      </c>
      <c r="N235" s="1473">
        <v>1.0824816204669876</v>
      </c>
      <c r="O235" s="1473">
        <v>1.0824816204669876</v>
      </c>
    </row>
    <row r="236" spans="2:15">
      <c r="B236" s="1389">
        <v>39600</v>
      </c>
      <c r="C236" s="1390">
        <v>400.38200000000001</v>
      </c>
      <c r="D236" s="1390">
        <v>2831.16</v>
      </c>
      <c r="E236" s="1390">
        <v>1.0095559246898425</v>
      </c>
      <c r="F236" s="1390">
        <v>19.654868069409609</v>
      </c>
      <c r="K236" s="1470">
        <v>42293</v>
      </c>
      <c r="L236" s="1471" t="s">
        <v>2129</v>
      </c>
      <c r="M236" s="1472">
        <v>5.2531000000000001E-2</v>
      </c>
      <c r="N236" s="1473">
        <v>1.0830502588870352</v>
      </c>
      <c r="O236" s="1473">
        <v>1.0830502588870352</v>
      </c>
    </row>
    <row r="237" spans="2:15">
      <c r="B237" s="1389">
        <v>39630</v>
      </c>
      <c r="C237" s="1390">
        <v>407.44600000000003</v>
      </c>
      <c r="D237" s="1390">
        <v>2846.16</v>
      </c>
      <c r="E237" s="1390">
        <v>1.0106967121371</v>
      </c>
      <c r="F237" s="1390">
        <v>19.865110535240763</v>
      </c>
      <c r="K237" s="1470">
        <v>42294</v>
      </c>
      <c r="L237" s="1471"/>
      <c r="M237" s="1472">
        <v>0</v>
      </c>
      <c r="N237" s="1473">
        <v>1.0830502588870352</v>
      </c>
      <c r="O237" s="1473">
        <v>1.0830502588870352</v>
      </c>
    </row>
    <row r="238" spans="2:15">
      <c r="B238" s="1389">
        <v>39661</v>
      </c>
      <c r="C238" s="1390">
        <v>406.12700000000001</v>
      </c>
      <c r="D238" s="1390">
        <v>2854.13</v>
      </c>
      <c r="E238" s="1390">
        <v>1.0101765713502602</v>
      </c>
      <c r="F238" s="1390">
        <v>20.067269249983447</v>
      </c>
      <c r="K238" s="1470">
        <v>42295</v>
      </c>
      <c r="L238" s="1471"/>
      <c r="M238" s="1472">
        <v>0</v>
      </c>
      <c r="N238" s="1473">
        <v>1.0830502588870352</v>
      </c>
      <c r="O238" s="1473">
        <v>1.0830502588870352</v>
      </c>
    </row>
    <row r="239" spans="2:15">
      <c r="B239" s="1389">
        <v>39692</v>
      </c>
      <c r="C239" s="1390">
        <v>406.55700000000002</v>
      </c>
      <c r="D239" s="1390">
        <v>2861.55</v>
      </c>
      <c r="E239" s="1390">
        <v>1.011030909274969</v>
      </c>
      <c r="F239" s="1390">
        <v>20.288629476476387</v>
      </c>
      <c r="K239" s="1470">
        <v>42296</v>
      </c>
      <c r="L239" s="1471" t="s">
        <v>2129</v>
      </c>
      <c r="M239" s="1472">
        <v>5.2531000000000001E-2</v>
      </c>
      <c r="N239" s="1473">
        <v>1.0836191960185311</v>
      </c>
      <c r="O239" s="1473">
        <v>1.0836191960185311</v>
      </c>
    </row>
    <row r="240" spans="2:15">
      <c r="B240" s="1389">
        <v>39722</v>
      </c>
      <c r="C240" s="1390">
        <v>410.524</v>
      </c>
      <c r="D240" s="1390">
        <v>2874.43</v>
      </c>
      <c r="E240" s="1390">
        <v>1.0117587656900342</v>
      </c>
      <c r="F240" s="1390">
        <v>20.527198716662195</v>
      </c>
      <c r="K240" s="1470">
        <v>42297</v>
      </c>
      <c r="L240" s="1471" t="s">
        <v>2129</v>
      </c>
      <c r="M240" s="1472">
        <v>5.2531000000000001E-2</v>
      </c>
      <c r="N240" s="1473">
        <v>1.0841884320183917</v>
      </c>
      <c r="O240" s="1473">
        <v>1.0841884320183917</v>
      </c>
    </row>
    <row r="241" spans="2:15">
      <c r="B241" s="1389">
        <v>39753</v>
      </c>
      <c r="C241" s="1390">
        <v>412.10399999999998</v>
      </c>
      <c r="D241" s="1390">
        <v>2884.78</v>
      </c>
      <c r="E241" s="1390">
        <v>1.0101996908301405</v>
      </c>
      <c r="F241" s="1390">
        <v>20.736569797181005</v>
      </c>
      <c r="K241" s="1470">
        <v>42298</v>
      </c>
      <c r="L241" s="1471" t="s">
        <v>2129</v>
      </c>
      <c r="M241" s="1472">
        <v>5.2531000000000001E-2</v>
      </c>
      <c r="N241" s="1473">
        <v>1.0847579670436152</v>
      </c>
      <c r="O241" s="1473">
        <v>1.0847579670436152</v>
      </c>
    </row>
    <row r="242" spans="2:15">
      <c r="B242" s="1389">
        <v>39783</v>
      </c>
      <c r="C242" s="1390">
        <v>411.57499999999999</v>
      </c>
      <c r="D242" s="1390">
        <v>2892.86</v>
      </c>
      <c r="E242" s="1390">
        <v>1.0112409294280835</v>
      </c>
      <c r="F242" s="1390">
        <v>20.969668114851643</v>
      </c>
      <c r="K242" s="1470">
        <v>42299</v>
      </c>
      <c r="L242" s="1471" t="s">
        <v>2129</v>
      </c>
      <c r="M242" s="1472">
        <v>5.2531000000000001E-2</v>
      </c>
      <c r="N242" s="1473">
        <v>1.0853278012512828</v>
      </c>
      <c r="O242" s="1473">
        <v>1.0853278012512828</v>
      </c>
    </row>
    <row r="243" spans="2:15">
      <c r="B243" s="1389">
        <v>39814</v>
      </c>
      <c r="C243" s="1390">
        <v>409.78199999999998</v>
      </c>
      <c r="D243" s="1390">
        <v>2906.74</v>
      </c>
      <c r="E243" s="1390">
        <v>1.0104780743150839</v>
      </c>
      <c r="F243" s="1390">
        <v>21.189389855721704</v>
      </c>
      <c r="K243" s="1470">
        <v>42300</v>
      </c>
      <c r="L243" s="1471" t="s">
        <v>2129</v>
      </c>
      <c r="M243" s="1472">
        <v>5.2531000000000001E-2</v>
      </c>
      <c r="N243" s="1473">
        <v>1.0858979347985582</v>
      </c>
      <c r="O243" s="1473">
        <v>1.0858979347985582</v>
      </c>
    </row>
    <row r="244" spans="2:15">
      <c r="B244" s="1389">
        <v>39845</v>
      </c>
      <c r="C244" s="1390">
        <v>410.84899999999999</v>
      </c>
      <c r="D244" s="1390">
        <v>2922.73</v>
      </c>
      <c r="E244" s="1390">
        <v>1.0085508573858042</v>
      </c>
      <c r="F244" s="1390">
        <v>21.370577306470185</v>
      </c>
      <c r="K244" s="1470">
        <v>42301</v>
      </c>
      <c r="L244" s="1471"/>
      <c r="M244" s="1472">
        <v>0</v>
      </c>
      <c r="N244" s="1473">
        <v>1.0858979347985582</v>
      </c>
      <c r="O244" s="1473">
        <v>1.0858979347985582</v>
      </c>
    </row>
    <row r="245" spans="2:15">
      <c r="B245" s="1389">
        <v>39873</v>
      </c>
      <c r="C245" s="1390">
        <v>407.80799999999999</v>
      </c>
      <c r="D245" s="1390">
        <v>2928.57</v>
      </c>
      <c r="E245" s="1390">
        <v>1.0097088387156097</v>
      </c>
      <c r="F245" s="1390">
        <v>21.578060794798173</v>
      </c>
      <c r="K245" s="1470">
        <v>42302</v>
      </c>
      <c r="L245" s="1471"/>
      <c r="M245" s="1472">
        <v>0</v>
      </c>
      <c r="N245" s="1473">
        <v>1.0858979347985582</v>
      </c>
      <c r="O245" s="1473">
        <v>1.0858979347985582</v>
      </c>
    </row>
    <row r="246" spans="2:15">
      <c r="B246" s="1389">
        <v>39904</v>
      </c>
      <c r="C246" s="1390">
        <v>407.18099999999998</v>
      </c>
      <c r="D246" s="1390">
        <v>2942.63</v>
      </c>
      <c r="E246" s="1390">
        <v>1.008395669248594</v>
      </c>
      <c r="F246" s="1390">
        <v>21.759223056257351</v>
      </c>
      <c r="K246" s="1470">
        <v>42303</v>
      </c>
      <c r="L246" s="1471" t="s">
        <v>2129</v>
      </c>
      <c r="M246" s="1472">
        <v>5.2531000000000001E-2</v>
      </c>
      <c r="N246" s="1473">
        <v>1.0864683678426872</v>
      </c>
      <c r="O246" s="1473">
        <v>1.0864683678426872</v>
      </c>
    </row>
    <row r="247" spans="2:15">
      <c r="B247" s="1389">
        <v>39934</v>
      </c>
      <c r="C247" s="1390">
        <v>406.88499999999999</v>
      </c>
      <c r="D247" s="1390">
        <v>2956.46</v>
      </c>
      <c r="E247" s="1390">
        <v>1.0077089274459567</v>
      </c>
      <c r="F247" s="1390">
        <v>21.926963328078429</v>
      </c>
      <c r="K247" s="1470">
        <v>42304</v>
      </c>
      <c r="L247" s="1471" t="s">
        <v>2129</v>
      </c>
      <c r="M247" s="1472">
        <v>5.2531000000000001E-2</v>
      </c>
      <c r="N247" s="1473">
        <v>1.0870391005409987</v>
      </c>
      <c r="O247" s="1473">
        <v>1.0870391005409987</v>
      </c>
    </row>
    <row r="248" spans="2:15">
      <c r="B248" s="1389">
        <v>39965</v>
      </c>
      <c r="C248" s="1390">
        <v>406.48599999999999</v>
      </c>
      <c r="D248" s="1390">
        <v>2967.1</v>
      </c>
      <c r="E248" s="1390">
        <v>1.0076218232644543</v>
      </c>
      <c r="F248" s="1390">
        <v>22.094086767291213</v>
      </c>
      <c r="K248" s="1470">
        <v>42305</v>
      </c>
      <c r="L248" s="1471" t="s">
        <v>2129</v>
      </c>
      <c r="M248" s="1472">
        <v>5.2531000000000001E-2</v>
      </c>
      <c r="N248" s="1473">
        <v>1.0876101330509038</v>
      </c>
      <c r="O248" s="1473">
        <v>1.0876101330509038</v>
      </c>
    </row>
    <row r="249" spans="2:15">
      <c r="B249" s="1389">
        <v>39995</v>
      </c>
      <c r="C249" s="1390">
        <v>404.71800000000002</v>
      </c>
      <c r="D249" s="1390">
        <v>2974.22</v>
      </c>
      <c r="E249" s="1390">
        <v>1.0079014252372847</v>
      </c>
      <c r="F249" s="1390">
        <v>22.268661542069044</v>
      </c>
      <c r="K249" s="1470">
        <v>42306</v>
      </c>
      <c r="L249" s="1471" t="s">
        <v>2129</v>
      </c>
      <c r="M249" s="1472">
        <v>5.2531000000000001E-2</v>
      </c>
      <c r="N249" s="1473">
        <v>1.0881814655298967</v>
      </c>
      <c r="O249" s="1473">
        <v>1.0881814655298967</v>
      </c>
    </row>
    <row r="250" spans="2:15">
      <c r="B250" s="1389">
        <v>40026</v>
      </c>
      <c r="C250" s="1390">
        <v>403.25299999999999</v>
      </c>
      <c r="D250" s="1390">
        <v>2978.68</v>
      </c>
      <c r="E250" s="1390">
        <v>1.0069374854840563</v>
      </c>
      <c r="F250" s="1390">
        <v>22.423150058266511</v>
      </c>
      <c r="K250" s="1470">
        <v>42307</v>
      </c>
      <c r="L250" s="1471" t="s">
        <v>2129</v>
      </c>
      <c r="M250" s="1472">
        <v>5.2531000000000001E-2</v>
      </c>
      <c r="N250" s="1473">
        <v>1.0887530981355542</v>
      </c>
      <c r="O250" s="1473">
        <v>1.0887530981355542</v>
      </c>
    </row>
    <row r="251" spans="2:15">
      <c r="B251" s="1389">
        <v>40057</v>
      </c>
      <c r="C251" s="1390">
        <v>404.94499999999999</v>
      </c>
      <c r="D251" s="1390">
        <v>2985.83</v>
      </c>
      <c r="E251" s="1390">
        <v>1.0069374854840563</v>
      </c>
      <c r="F251" s="1390">
        <v>22.578710336302549</v>
      </c>
      <c r="K251" s="1470">
        <v>42308</v>
      </c>
      <c r="L251" s="1471"/>
      <c r="M251" s="1472">
        <v>0</v>
      </c>
      <c r="N251" s="1473">
        <v>1.0887530981355542</v>
      </c>
      <c r="O251" s="1473">
        <v>1.0887530981355542</v>
      </c>
    </row>
    <row r="252" spans="2:15">
      <c r="B252" s="1389">
        <v>40087</v>
      </c>
      <c r="C252" s="1390">
        <v>405.12900000000002</v>
      </c>
      <c r="D252" s="1390">
        <v>2994.19</v>
      </c>
      <c r="E252" s="1390">
        <v>1.006937485484056</v>
      </c>
      <c r="F252" s="1390">
        <v>22.735349811509355</v>
      </c>
      <c r="K252" s="1470">
        <v>42309</v>
      </c>
      <c r="L252" s="1471"/>
      <c r="M252" s="1472">
        <v>0</v>
      </c>
      <c r="N252" s="1473">
        <v>1.0887530981355542</v>
      </c>
      <c r="O252" s="1473">
        <v>1.0887530981355542</v>
      </c>
    </row>
    <row r="253" spans="2:15">
      <c r="B253" s="1389">
        <v>40118</v>
      </c>
      <c r="C253" s="1390">
        <v>405.548</v>
      </c>
      <c r="D253" s="1390">
        <v>3006.47</v>
      </c>
      <c r="E253" s="1390">
        <v>1.006606040313162</v>
      </c>
      <c r="F253" s="1390">
        <v>22.885540448898027</v>
      </c>
      <c r="K253" s="1470">
        <v>42310</v>
      </c>
      <c r="L253" s="1471"/>
      <c r="M253" s="1472">
        <v>0</v>
      </c>
      <c r="N253" s="1473">
        <v>1.0887530981355542</v>
      </c>
      <c r="O253" s="1473">
        <v>1.0887530981355542</v>
      </c>
    </row>
    <row r="254" spans="2:15">
      <c r="B254" s="1389">
        <v>40148</v>
      </c>
      <c r="C254" s="1390">
        <v>404.49900000000002</v>
      </c>
      <c r="D254" s="1390">
        <v>3017.59</v>
      </c>
      <c r="E254" s="1390">
        <v>1.0072686672230315</v>
      </c>
      <c r="F254" s="1390">
        <v>23.051887826640293</v>
      </c>
      <c r="K254" s="1470">
        <v>42311</v>
      </c>
      <c r="L254" s="1471" t="s">
        <v>2129</v>
      </c>
      <c r="M254" s="1472">
        <v>5.2531000000000001E-2</v>
      </c>
      <c r="N254" s="1473">
        <v>1.0893250310255358</v>
      </c>
      <c r="O254" s="1473">
        <v>1.0893250310255358</v>
      </c>
    </row>
    <row r="255" spans="2:15">
      <c r="B255" s="1389">
        <v>40179</v>
      </c>
      <c r="C255" s="1390">
        <v>407.04899999999998</v>
      </c>
      <c r="D255" s="1390">
        <v>3040.22</v>
      </c>
      <c r="E255" s="1390">
        <v>1.0066056679915218</v>
      </c>
      <c r="F255" s="1390">
        <v>23.204160944200883</v>
      </c>
      <c r="K255" s="1470">
        <v>42312</v>
      </c>
      <c r="L255" s="1471" t="s">
        <v>2129</v>
      </c>
      <c r="M255" s="1472">
        <v>5.2531000000000001E-2</v>
      </c>
      <c r="N255" s="1473">
        <v>1.0898972643575837</v>
      </c>
      <c r="O255" s="1473">
        <v>1.0898972643575837</v>
      </c>
    </row>
    <row r="256" spans="2:15">
      <c r="B256" s="1389">
        <v>40210</v>
      </c>
      <c r="C256" s="1390">
        <v>411.84300000000002</v>
      </c>
      <c r="D256" s="1390">
        <v>3063.93</v>
      </c>
      <c r="E256" s="1390">
        <v>1.0059434772325486</v>
      </c>
      <c r="F256" s="1390">
        <v>23.342074346473133</v>
      </c>
      <c r="K256" s="1470">
        <v>42313</v>
      </c>
      <c r="L256" s="1471" t="s">
        <v>2129</v>
      </c>
      <c r="M256" s="1472">
        <v>5.2531000000000001E-2</v>
      </c>
      <c r="N256" s="1473">
        <v>1.0904697982895235</v>
      </c>
      <c r="O256" s="1473">
        <v>1.0904697982895235</v>
      </c>
    </row>
    <row r="257" spans="2:15">
      <c r="B257" s="1389">
        <v>40238</v>
      </c>
      <c r="C257" s="1390">
        <v>415.73399999999998</v>
      </c>
      <c r="D257" s="1390">
        <v>3079.86</v>
      </c>
      <c r="E257" s="1390">
        <v>1.0076007032666325</v>
      </c>
      <c r="F257" s="1390">
        <v>23.519490527208351</v>
      </c>
      <c r="K257" s="1470">
        <v>42314</v>
      </c>
      <c r="L257" s="1471" t="s">
        <v>2129</v>
      </c>
      <c r="M257" s="1472">
        <v>5.2531000000000001E-2</v>
      </c>
      <c r="N257" s="1473">
        <v>1.0910426329792631</v>
      </c>
      <c r="O257" s="1473">
        <v>1.0910426329792631</v>
      </c>
    </row>
    <row r="258" spans="2:15">
      <c r="B258" s="1389">
        <v>40269</v>
      </c>
      <c r="C258" s="1390">
        <v>418.91699999999997</v>
      </c>
      <c r="D258" s="1390">
        <v>3097.42</v>
      </c>
      <c r="E258" s="1390">
        <v>1.0066591320264642</v>
      </c>
      <c r="F258" s="1390">
        <v>23.676109919824206</v>
      </c>
      <c r="K258" s="1470">
        <v>42315</v>
      </c>
      <c r="L258" s="1471"/>
      <c r="M258" s="1472">
        <v>0</v>
      </c>
      <c r="N258" s="1473">
        <v>1.0910426329792631</v>
      </c>
      <c r="O258" s="1473">
        <v>1.0910426329792631</v>
      </c>
    </row>
    <row r="259" spans="2:15">
      <c r="B259" s="1389">
        <v>40299</v>
      </c>
      <c r="C259" s="1390">
        <v>423.88499999999999</v>
      </c>
      <c r="D259" s="1390">
        <v>3110.74</v>
      </c>
      <c r="E259" s="1390">
        <v>1.0075136425194853</v>
      </c>
      <c r="F259" s="1390">
        <v>23.854003746013806</v>
      </c>
      <c r="K259" s="1470">
        <v>42316</v>
      </c>
      <c r="L259" s="1471"/>
      <c r="M259" s="1472">
        <v>0</v>
      </c>
      <c r="N259" s="1473">
        <v>1.0910426329792631</v>
      </c>
      <c r="O259" s="1473">
        <v>1.0910426329792631</v>
      </c>
    </row>
    <row r="260" spans="2:15">
      <c r="B260" s="1389">
        <v>40330</v>
      </c>
      <c r="C260" s="1390">
        <v>427.48899999999998</v>
      </c>
      <c r="D260" s="1390">
        <v>3110.74</v>
      </c>
      <c r="E260" s="1390">
        <v>1.0079257581819461</v>
      </c>
      <c r="F260" s="1390">
        <v>24.043064811375949</v>
      </c>
      <c r="K260" s="1470">
        <v>42317</v>
      </c>
      <c r="L260" s="1471" t="s">
        <v>2129</v>
      </c>
      <c r="M260" s="1472">
        <v>5.2531000000000001E-2</v>
      </c>
      <c r="N260" s="1473">
        <v>1.0916157685847934</v>
      </c>
      <c r="O260" s="1473">
        <v>1.0916157685847934</v>
      </c>
    </row>
    <row r="261" spans="2:15">
      <c r="B261" s="1389">
        <v>40360</v>
      </c>
      <c r="C261" s="1390">
        <v>428.15</v>
      </c>
      <c r="D261" s="1390">
        <v>3111.05</v>
      </c>
      <c r="E261" s="1390">
        <v>1.0086102956499179</v>
      </c>
      <c r="F261" s="1390">
        <v>24.250082707732034</v>
      </c>
      <c r="K261" s="1470">
        <v>42318</v>
      </c>
      <c r="L261" s="1471" t="s">
        <v>2129</v>
      </c>
      <c r="M261" s="1472">
        <v>5.2531000000000001E-2</v>
      </c>
      <c r="N261" s="1473">
        <v>1.0921892052641886</v>
      </c>
      <c r="O261" s="1473">
        <v>1.0921892052641886</v>
      </c>
    </row>
    <row r="262" spans="2:15">
      <c r="B262" s="1389">
        <v>40391</v>
      </c>
      <c r="C262" s="1390">
        <v>431.44499999999999</v>
      </c>
      <c r="D262" s="1390">
        <v>3112.29</v>
      </c>
      <c r="E262" s="1390">
        <v>1.0088820963555043</v>
      </c>
      <c r="F262" s="1390">
        <v>24.465474278971058</v>
      </c>
      <c r="K262" s="1470">
        <v>42319</v>
      </c>
      <c r="L262" s="1471" t="s">
        <v>2129</v>
      </c>
      <c r="M262" s="1472">
        <v>5.2531000000000001E-2</v>
      </c>
      <c r="N262" s="1473">
        <v>1.0927629431756058</v>
      </c>
      <c r="O262" s="1473">
        <v>1.0927629431756058</v>
      </c>
    </row>
    <row r="263" spans="2:15">
      <c r="B263" s="1389">
        <v>40422</v>
      </c>
      <c r="C263" s="1390">
        <v>436.423</v>
      </c>
      <c r="D263" s="1390">
        <v>3126.29</v>
      </c>
      <c r="E263" s="1390">
        <v>1.0084766584844942</v>
      </c>
      <c r="F263" s="1390">
        <v>24.672859749095071</v>
      </c>
      <c r="K263" s="1470">
        <v>42320</v>
      </c>
      <c r="L263" s="1471" t="s">
        <v>2129</v>
      </c>
      <c r="M263" s="1472">
        <v>5.2531000000000001E-2</v>
      </c>
      <c r="N263" s="1473">
        <v>1.0933369824772854</v>
      </c>
      <c r="O263" s="1473">
        <v>1.0933369824772854</v>
      </c>
    </row>
    <row r="264" spans="2:15">
      <c r="B264" s="1389">
        <v>40452</v>
      </c>
      <c r="C264" s="1390">
        <v>440.82900000000001</v>
      </c>
      <c r="D264" s="1390">
        <v>3149.74</v>
      </c>
      <c r="E264" s="1390">
        <v>1.0080713835461668</v>
      </c>
      <c r="F264" s="1390">
        <v>24.872003863310798</v>
      </c>
      <c r="K264" s="1470">
        <v>42321</v>
      </c>
      <c r="L264" s="1471" t="s">
        <v>2129</v>
      </c>
      <c r="M264" s="1472">
        <v>5.2531000000000001E-2</v>
      </c>
      <c r="N264" s="1473">
        <v>1.0939113233275506</v>
      </c>
      <c r="O264" s="1473">
        <v>1.0939113233275506</v>
      </c>
    </row>
    <row r="265" spans="2:15">
      <c r="B265" s="1389">
        <v>40483</v>
      </c>
      <c r="C265" s="1390">
        <v>447.20600000000002</v>
      </c>
      <c r="D265" s="1390">
        <v>3175.88</v>
      </c>
      <c r="E265" s="1390">
        <v>1.008071383546167</v>
      </c>
      <c r="F265" s="1390">
        <v>25.072755346053327</v>
      </c>
      <c r="K265" s="1470">
        <v>42322</v>
      </c>
      <c r="L265" s="1471"/>
      <c r="M265" s="1472">
        <v>0</v>
      </c>
      <c r="N265" s="1473">
        <v>1.0939113233275506</v>
      </c>
      <c r="O265" s="1473">
        <v>1.0939113233275506</v>
      </c>
    </row>
    <row r="266" spans="2:15">
      <c r="B266" s="1389">
        <v>40513</v>
      </c>
      <c r="C266" s="1390">
        <v>450.30099999999999</v>
      </c>
      <c r="D266" s="1390">
        <v>3195.89</v>
      </c>
      <c r="E266" s="1390">
        <v>1.0092887868177591</v>
      </c>
      <c r="F266" s="1390">
        <v>25.305650825396647</v>
      </c>
      <c r="K266" s="1470">
        <v>42323</v>
      </c>
      <c r="L266" s="1471"/>
      <c r="M266" s="1472">
        <v>0</v>
      </c>
      <c r="N266" s="1473">
        <v>1.0939113233275506</v>
      </c>
      <c r="O266" s="1473">
        <v>1.0939113233275506</v>
      </c>
    </row>
    <row r="267" spans="2:15">
      <c r="B267" s="1389">
        <v>40544</v>
      </c>
      <c r="C267" s="1390">
        <v>453.875</v>
      </c>
      <c r="D267" s="1390">
        <v>3222.42</v>
      </c>
      <c r="E267" s="1390">
        <v>1.0086232010755674</v>
      </c>
      <c r="F267" s="1390">
        <v>25.52386654081214</v>
      </c>
      <c r="K267" s="1470">
        <v>42324</v>
      </c>
      <c r="L267" s="1471" t="s">
        <v>2129</v>
      </c>
      <c r="M267" s="1472">
        <v>5.2531000000000001E-2</v>
      </c>
      <c r="N267" s="1473">
        <v>1.0944859658848078</v>
      </c>
      <c r="O267" s="1473">
        <v>1.0944859658848078</v>
      </c>
    </row>
    <row r="268" spans="2:15">
      <c r="B268" s="1389">
        <v>40575</v>
      </c>
      <c r="C268" s="1390">
        <v>458.39699999999999</v>
      </c>
      <c r="D268" s="1390">
        <v>3248.2</v>
      </c>
      <c r="E268" s="1390">
        <v>1.0084390842010735</v>
      </c>
      <c r="F268" s="1390">
        <v>25.739264599687019</v>
      </c>
      <c r="K268" s="1470">
        <v>42325</v>
      </c>
      <c r="L268" s="1471" t="s">
        <v>2129</v>
      </c>
      <c r="M268" s="1472">
        <v>5.2531000000000001E-2</v>
      </c>
      <c r="N268" s="1473">
        <v>1.0950609103075468</v>
      </c>
      <c r="O268" s="1473">
        <v>1.0950609103075468</v>
      </c>
    </row>
    <row r="269" spans="2:15">
      <c r="B269" s="1389">
        <v>40603</v>
      </c>
      <c r="C269" s="1390">
        <v>461.24900000000002</v>
      </c>
      <c r="D269" s="1390">
        <v>3273.86</v>
      </c>
      <c r="E269" s="1390">
        <v>1.0092045846073012</v>
      </c>
      <c r="F269" s="1390">
        <v>25.97618383842455</v>
      </c>
      <c r="K269" s="1470">
        <v>42326</v>
      </c>
      <c r="L269" s="1471" t="s">
        <v>2129</v>
      </c>
      <c r="M269" s="1472">
        <v>5.2531000000000001E-2</v>
      </c>
      <c r="N269" s="1473">
        <v>1.0956361567543405</v>
      </c>
      <c r="O269" s="1473">
        <v>1.0956361567543405</v>
      </c>
    </row>
    <row r="270" spans="2:15">
      <c r="B270" s="1389">
        <v>40634</v>
      </c>
      <c r="C270" s="1390">
        <v>463.31099999999998</v>
      </c>
      <c r="D270" s="1390">
        <v>3299.07</v>
      </c>
      <c r="E270" s="1390">
        <v>1.0084015541577225</v>
      </c>
      <c r="F270" s="1390">
        <v>26.194424153754028</v>
      </c>
      <c r="K270" s="1470">
        <v>42327</v>
      </c>
      <c r="L270" s="1471" t="s">
        <v>2129</v>
      </c>
      <c r="M270" s="1472">
        <v>5.2531000000000001E-2</v>
      </c>
      <c r="N270" s="1473">
        <v>1.0962117053838452</v>
      </c>
      <c r="O270" s="1473">
        <v>1.0962117053838452</v>
      </c>
    </row>
    <row r="271" spans="2:15">
      <c r="B271" s="1389">
        <v>40664</v>
      </c>
      <c r="C271" s="1390">
        <v>465.31099999999998</v>
      </c>
      <c r="D271" s="1390">
        <v>3314.58</v>
      </c>
      <c r="E271" s="1390">
        <v>1.0098798495673293</v>
      </c>
      <c r="F271" s="1390">
        <v>26.453221123895936</v>
      </c>
      <c r="K271" s="1470">
        <v>42328</v>
      </c>
      <c r="L271" s="1471" t="s">
        <v>2129</v>
      </c>
      <c r="M271" s="1472">
        <v>5.2531000000000001E-2</v>
      </c>
      <c r="N271" s="1473">
        <v>1.0967875563548004</v>
      </c>
      <c r="O271" s="1473">
        <v>1.0967875563548004</v>
      </c>
    </row>
    <row r="272" spans="2:15">
      <c r="B272" s="1389">
        <v>40695</v>
      </c>
      <c r="C272" s="1390">
        <v>464.46300000000002</v>
      </c>
      <c r="D272" s="1390">
        <v>3319.55</v>
      </c>
      <c r="E272" s="1390">
        <v>1.0095627565914342</v>
      </c>
      <c r="F272" s="1390">
        <v>26.706186838563141</v>
      </c>
      <c r="K272" s="1470">
        <v>42329</v>
      </c>
      <c r="L272" s="1471"/>
      <c r="M272" s="1472">
        <v>0</v>
      </c>
      <c r="N272" s="1473">
        <v>1.0967875563548004</v>
      </c>
      <c r="O272" s="1473">
        <v>1.0967875563548004</v>
      </c>
    </row>
    <row r="273" spans="2:15">
      <c r="B273" s="1389">
        <v>40725</v>
      </c>
      <c r="C273" s="1390">
        <v>463.92700000000002</v>
      </c>
      <c r="D273" s="1390">
        <v>3324.86</v>
      </c>
      <c r="E273" s="1390">
        <v>1.0096788504099796</v>
      </c>
      <c r="F273" s="1390">
        <v>26.96467202599456</v>
      </c>
      <c r="K273" s="1470">
        <v>42330</v>
      </c>
      <c r="L273" s="1471"/>
      <c r="M273" s="1472">
        <v>0</v>
      </c>
      <c r="N273" s="1473">
        <v>1.0967875563548004</v>
      </c>
      <c r="O273" s="1473">
        <v>1.0967875563548004</v>
      </c>
    </row>
    <row r="274" spans="2:15">
      <c r="B274" s="1389">
        <v>40756</v>
      </c>
      <c r="C274" s="1390">
        <v>465.96800000000002</v>
      </c>
      <c r="D274" s="1390">
        <v>3337.16</v>
      </c>
      <c r="E274" s="1390">
        <v>1.0107406292787873</v>
      </c>
      <c r="F274" s="1390">
        <v>27.254289571849853</v>
      </c>
      <c r="K274" s="1470">
        <v>42331</v>
      </c>
      <c r="L274" s="1471" t="s">
        <v>2129</v>
      </c>
      <c r="M274" s="1472">
        <v>5.2531000000000001E-2</v>
      </c>
      <c r="N274" s="1473">
        <v>1.0973637098260292</v>
      </c>
      <c r="O274" s="1473">
        <v>1.0973637098260292</v>
      </c>
    </row>
    <row r="275" spans="2:15">
      <c r="B275" s="1389">
        <v>40787</v>
      </c>
      <c r="C275" s="1390">
        <v>468.97500000000002</v>
      </c>
      <c r="D275" s="1390">
        <v>3354.85</v>
      </c>
      <c r="E275" s="1390">
        <v>1.00941760689889</v>
      </c>
      <c r="F275" s="1390">
        <v>27.510959757346054</v>
      </c>
      <c r="K275" s="1470">
        <v>42332</v>
      </c>
      <c r="L275" s="1471" t="s">
        <v>2129</v>
      </c>
      <c r="M275" s="1472">
        <v>5.2531000000000001E-2</v>
      </c>
      <c r="N275" s="1473">
        <v>1.0979401659564378</v>
      </c>
      <c r="O275" s="1473">
        <v>1.0979401659564378</v>
      </c>
    </row>
    <row r="276" spans="2:15">
      <c r="B276" s="1389">
        <v>40817</v>
      </c>
      <c r="C276" s="1390">
        <v>471.46600000000001</v>
      </c>
      <c r="D276" s="1390">
        <v>3369.28</v>
      </c>
      <c r="E276" s="1390">
        <v>1.0088195463919019</v>
      </c>
      <c r="F276" s="1390">
        <v>27.753593943211712</v>
      </c>
      <c r="K276" s="1470">
        <v>42333</v>
      </c>
      <c r="L276" s="1471" t="s">
        <v>2129</v>
      </c>
      <c r="M276" s="1472">
        <v>5.2531000000000001E-2</v>
      </c>
      <c r="N276" s="1473">
        <v>1.0985169249050164</v>
      </c>
      <c r="O276" s="1473">
        <v>1.0985169249050164</v>
      </c>
    </row>
    <row r="277" spans="2:15">
      <c r="B277" s="1389">
        <v>40848</v>
      </c>
      <c r="C277" s="1390">
        <v>473.80799999999999</v>
      </c>
      <c r="D277" s="1390">
        <v>3386.8</v>
      </c>
      <c r="E277" s="1390">
        <v>1.0086047745492386</v>
      </c>
      <c r="F277" s="1390">
        <v>27.992407362024164</v>
      </c>
      <c r="K277" s="1470">
        <v>42334</v>
      </c>
      <c r="L277" s="1471" t="s">
        <v>2129</v>
      </c>
      <c r="M277" s="1472">
        <v>5.2531000000000001E-2</v>
      </c>
      <c r="N277" s="1473">
        <v>1.0990939868308383</v>
      </c>
      <c r="O277" s="1473">
        <v>1.0990939868308383</v>
      </c>
    </row>
    <row r="278" spans="2:15">
      <c r="B278" s="1389">
        <v>40878</v>
      </c>
      <c r="C278" s="1390">
        <v>473.25200000000001</v>
      </c>
      <c r="D278" s="1390">
        <v>3403.73</v>
      </c>
      <c r="E278" s="1390">
        <v>1.0090732804800764</v>
      </c>
      <c r="F278" s="1390">
        <v>28.246390325332364</v>
      </c>
      <c r="K278" s="1470">
        <v>42335</v>
      </c>
      <c r="L278" s="1471" t="s">
        <v>2129</v>
      </c>
      <c r="M278" s="1472">
        <v>5.2531000000000001E-2</v>
      </c>
      <c r="N278" s="1473">
        <v>1.0996713518930603</v>
      </c>
      <c r="O278" s="1473">
        <v>1.0996713518930603</v>
      </c>
    </row>
    <row r="279" spans="2:15">
      <c r="B279" s="1389">
        <v>40909</v>
      </c>
      <c r="C279" s="1390">
        <v>474.42899999999997</v>
      </c>
      <c r="D279" s="1390">
        <v>3422.79</v>
      </c>
      <c r="E279" s="1390">
        <v>1.0089101617717657</v>
      </c>
      <c r="F279" s="1390">
        <v>28.498070232599513</v>
      </c>
      <c r="K279" s="1470">
        <v>42336</v>
      </c>
      <c r="L279" s="1471"/>
      <c r="M279" s="1472">
        <v>0</v>
      </c>
      <c r="N279" s="1473">
        <v>1.0996713518930603</v>
      </c>
      <c r="O279" s="1473">
        <v>1.0996713518930603</v>
      </c>
    </row>
    <row r="280" spans="2:15">
      <c r="B280" s="1389">
        <v>40940</v>
      </c>
      <c r="C280" s="1390">
        <v>474.13799999999998</v>
      </c>
      <c r="D280" s="1390">
        <v>3438.19</v>
      </c>
      <c r="E280" s="1390">
        <v>1.0074877292470876</v>
      </c>
      <c r="F280" s="1390">
        <v>28.711456066565706</v>
      </c>
      <c r="K280" s="1470">
        <v>42337</v>
      </c>
      <c r="L280" s="1471"/>
      <c r="M280" s="1472">
        <v>0</v>
      </c>
      <c r="N280" s="1473">
        <v>1.0996713518930603</v>
      </c>
      <c r="O280" s="1473">
        <v>1.0996713518930603</v>
      </c>
    </row>
    <row r="281" spans="2:15">
      <c r="B281" s="1389">
        <v>40969</v>
      </c>
      <c r="C281" s="1390">
        <v>476.166</v>
      </c>
      <c r="D281" s="1390">
        <v>3445.41</v>
      </c>
      <c r="E281" s="1390">
        <v>1.0082113884808406</v>
      </c>
      <c r="F281" s="1390">
        <v>28.947216986178862</v>
      </c>
      <c r="K281" s="1470">
        <v>42338</v>
      </c>
      <c r="L281" s="1471" t="s">
        <v>2129</v>
      </c>
      <c r="M281" s="1472">
        <v>5.2531000000000001E-2</v>
      </c>
      <c r="N281" s="1473">
        <v>1.1002490202509232</v>
      </c>
      <c r="O281" s="1473">
        <v>1.1002490202509232</v>
      </c>
    </row>
    <row r="282" spans="2:15">
      <c r="B282" s="1389">
        <v>41000</v>
      </c>
      <c r="C282" s="1390">
        <v>480.22899999999998</v>
      </c>
      <c r="D282" s="1390">
        <v>3467.46</v>
      </c>
      <c r="E282" s="1390">
        <v>1.0071187588624242</v>
      </c>
      <c r="F282" s="1390">
        <v>29.15328524364174</v>
      </c>
      <c r="K282" s="1470">
        <v>42339</v>
      </c>
      <c r="L282" s="1471" t="s">
        <v>2129</v>
      </c>
      <c r="M282" s="1472">
        <v>5.2531000000000001E-2</v>
      </c>
      <c r="N282" s="1473">
        <v>1.1008269920637512</v>
      </c>
      <c r="O282" s="1473">
        <v>1.1008269920637512</v>
      </c>
    </row>
    <row r="283" spans="2:15">
      <c r="B283" s="1389">
        <v>41030</v>
      </c>
      <c r="C283" s="1390">
        <v>485.14</v>
      </c>
      <c r="D283" s="1390">
        <v>3479.94</v>
      </c>
      <c r="E283" s="1390">
        <v>1.007447242329657</v>
      </c>
      <c r="F283" s="1390">
        <v>29.370396823556753</v>
      </c>
      <c r="G283" s="11"/>
      <c r="K283" s="1470">
        <v>42340</v>
      </c>
      <c r="L283" s="1471" t="s">
        <v>2129</v>
      </c>
      <c r="M283" s="1472">
        <v>5.2531000000000001E-2</v>
      </c>
      <c r="N283" s="1473">
        <v>1.1014052674909522</v>
      </c>
      <c r="O283" s="1473">
        <v>1.1014052674909522</v>
      </c>
    </row>
    <row r="284" spans="2:15">
      <c r="B284" s="1389">
        <v>41061</v>
      </c>
      <c r="C284" s="1390">
        <v>488.34199999999998</v>
      </c>
      <c r="D284" s="1390">
        <v>3482.72</v>
      </c>
      <c r="E284" s="1390">
        <v>1.0064150263426446</v>
      </c>
      <c r="F284" s="1390">
        <v>29.558808692873793</v>
      </c>
      <c r="K284" s="1470">
        <v>42341</v>
      </c>
      <c r="L284" s="1471" t="s">
        <v>2129</v>
      </c>
      <c r="M284" s="1472">
        <v>5.2531000000000001E-2</v>
      </c>
      <c r="N284" s="1473">
        <v>1.101983846692018</v>
      </c>
      <c r="O284" s="1473">
        <v>1.101983846692018</v>
      </c>
    </row>
    <row r="285" spans="2:15">
      <c r="B285" s="1389">
        <v>41091</v>
      </c>
      <c r="C285" s="1390">
        <v>494.89100000000002</v>
      </c>
      <c r="D285" s="1390">
        <v>3497.7</v>
      </c>
      <c r="E285" s="1390">
        <v>1.0067996486835762</v>
      </c>
      <c r="F285" s="1390">
        <v>29.759798207490373</v>
      </c>
      <c r="K285" s="1470">
        <v>42342</v>
      </c>
      <c r="L285" s="1471" t="s">
        <v>2129</v>
      </c>
      <c r="M285" s="1472">
        <v>5.2531000000000001E-2</v>
      </c>
      <c r="N285" s="1473">
        <v>1.1025627298265237</v>
      </c>
      <c r="O285" s="1473">
        <v>1.1025627298265237</v>
      </c>
    </row>
    <row r="286" spans="2:15">
      <c r="B286" s="1389">
        <v>41122</v>
      </c>
      <c r="C286" s="1390">
        <v>501.95699999999999</v>
      </c>
      <c r="D286" s="1390">
        <v>3512.04</v>
      </c>
      <c r="E286" s="1390">
        <v>1.0069181066014252</v>
      </c>
      <c r="F286" s="1390">
        <v>29.965679663926696</v>
      </c>
      <c r="K286" s="1470">
        <v>42343</v>
      </c>
      <c r="L286" s="1471"/>
      <c r="M286" s="1472">
        <v>0</v>
      </c>
      <c r="N286" s="1473">
        <v>1.1025627298265237</v>
      </c>
      <c r="O286" s="1473">
        <v>1.1025627298265237</v>
      </c>
    </row>
    <row r="287" spans="2:15">
      <c r="B287" s="1389">
        <v>41153</v>
      </c>
      <c r="C287" s="1390">
        <v>506.80399999999997</v>
      </c>
      <c r="D287" s="1390">
        <v>3532.06</v>
      </c>
      <c r="E287" s="1390">
        <v>1.0053899533259578</v>
      </c>
      <c r="F287" s="1390">
        <v>30.127193278695866</v>
      </c>
      <c r="K287" s="1470">
        <v>42344</v>
      </c>
      <c r="L287" s="1471"/>
      <c r="M287" s="1472">
        <v>0</v>
      </c>
      <c r="N287" s="1473">
        <v>1.1025627298265237</v>
      </c>
      <c r="O287" s="1473">
        <v>1.1025627298265237</v>
      </c>
    </row>
    <row r="288" spans="2:15">
      <c r="B288" s="1389">
        <v>41183</v>
      </c>
      <c r="C288" s="1390">
        <v>506.92599999999999</v>
      </c>
      <c r="D288" s="1390">
        <v>3552.9</v>
      </c>
      <c r="E288" s="1390">
        <v>1.0061133864051108</v>
      </c>
      <c r="F288" s="1390">
        <v>30.311372452509993</v>
      </c>
      <c r="K288" s="1470">
        <v>42345</v>
      </c>
      <c r="L288" s="1471" t="s">
        <v>2129</v>
      </c>
      <c r="M288" s="1472">
        <v>5.2531000000000001E-2</v>
      </c>
      <c r="N288" s="1473">
        <v>1.1031419170541288</v>
      </c>
      <c r="O288" s="1473">
        <v>1.1031419170541288</v>
      </c>
    </row>
    <row r="289" spans="2:15">
      <c r="B289" s="1389">
        <v>41214</v>
      </c>
      <c r="C289" s="1390">
        <v>506.79500000000002</v>
      </c>
      <c r="D289" s="1390">
        <v>3574.22</v>
      </c>
      <c r="E289" s="1390">
        <v>1.0054884576647556</v>
      </c>
      <c r="F289" s="1390">
        <v>30.477735136976232</v>
      </c>
      <c r="K289" s="1470">
        <v>42346</v>
      </c>
      <c r="L289" s="1471" t="s">
        <v>2129</v>
      </c>
      <c r="M289" s="1472">
        <v>5.2531000000000001E-2</v>
      </c>
      <c r="N289" s="1473">
        <v>1.1037214085345766</v>
      </c>
      <c r="O289" s="1473">
        <v>1.1037214085345766</v>
      </c>
    </row>
    <row r="290" spans="2:15">
      <c r="B290" s="1389">
        <v>41244</v>
      </c>
      <c r="C290" s="1390">
        <v>510.25200000000001</v>
      </c>
      <c r="D290" s="1390">
        <v>3602.46</v>
      </c>
      <c r="E290" s="1390">
        <v>1.0055015154231364</v>
      </c>
      <c r="F290" s="1390">
        <v>30.645408866894574</v>
      </c>
      <c r="K290" s="1470">
        <v>42347</v>
      </c>
      <c r="L290" s="1471" t="s">
        <v>2129</v>
      </c>
      <c r="M290" s="1472">
        <v>5.2531000000000001E-2</v>
      </c>
      <c r="N290" s="1473">
        <v>1.1043012044276939</v>
      </c>
      <c r="O290" s="1473">
        <v>1.1043012044276939</v>
      </c>
    </row>
    <row r="291" spans="2:15">
      <c r="B291" s="1389">
        <v>41275</v>
      </c>
      <c r="C291" s="1390">
        <v>511.97699999999998</v>
      </c>
      <c r="D291" s="1390">
        <v>3633.44</v>
      </c>
      <c r="E291" s="1390">
        <v>1.0060143970219473</v>
      </c>
      <c r="F291" s="1390">
        <v>30.82972252271998</v>
      </c>
      <c r="K291" s="1470">
        <v>42348</v>
      </c>
      <c r="L291" s="1471" t="s">
        <v>2129</v>
      </c>
      <c r="M291" s="1472">
        <v>5.2531000000000001E-2</v>
      </c>
      <c r="N291" s="1473">
        <v>1.1048813048933919</v>
      </c>
      <c r="O291" s="1473">
        <v>1.1048813048933919</v>
      </c>
    </row>
    <row r="292" spans="2:15">
      <c r="B292" s="1389">
        <v>41306</v>
      </c>
      <c r="C292" s="1390">
        <v>513.46699999999998</v>
      </c>
      <c r="D292" s="1390">
        <v>3655.24</v>
      </c>
      <c r="E292" s="1390">
        <v>1.0049274991744226</v>
      </c>
      <c r="F292" s="1390">
        <v>30.98163595499836</v>
      </c>
      <c r="K292" s="1470">
        <v>42349</v>
      </c>
      <c r="L292" s="1471" t="s">
        <v>2129</v>
      </c>
      <c r="M292" s="1472">
        <v>5.2531000000000001E-2</v>
      </c>
      <c r="N292" s="1473">
        <v>1.1054617100916655</v>
      </c>
      <c r="O292" s="1473">
        <v>1.1054617100916655</v>
      </c>
    </row>
    <row r="293" spans="2:15">
      <c r="B293" s="1389">
        <v>41334</v>
      </c>
      <c r="C293" s="1390">
        <v>514.52599999999995</v>
      </c>
      <c r="D293" s="1390">
        <v>3672.42</v>
      </c>
      <c r="E293" s="1390">
        <v>1.0054940366101026</v>
      </c>
      <c r="F293" s="1390">
        <v>31.151850197175992</v>
      </c>
      <c r="K293" s="1470">
        <v>42350</v>
      </c>
      <c r="L293" s="1471"/>
      <c r="M293" s="1472">
        <v>0</v>
      </c>
      <c r="N293" s="1473">
        <v>1.1054617100916655</v>
      </c>
      <c r="O293" s="1473">
        <v>1.1054617100916655</v>
      </c>
    </row>
    <row r="294" spans="2:15">
      <c r="B294" s="1389">
        <v>41365</v>
      </c>
      <c r="C294" s="1390">
        <v>515.27599999999995</v>
      </c>
      <c r="D294" s="1390">
        <v>3692.62</v>
      </c>
      <c r="E294" s="1390">
        <v>1.0061364605097283</v>
      </c>
      <c r="F294" s="1390">
        <v>31.343012295715933</v>
      </c>
      <c r="K294" s="1470">
        <v>42351</v>
      </c>
      <c r="L294" s="1471"/>
      <c r="M294" s="1472">
        <v>0</v>
      </c>
      <c r="N294" s="1473">
        <v>1.1054617100916655</v>
      </c>
      <c r="O294" s="1473">
        <v>1.1054617100916655</v>
      </c>
    </row>
    <row r="295" spans="2:15">
      <c r="B295" s="1389">
        <v>41395</v>
      </c>
      <c r="C295" s="1390">
        <v>515.29899999999998</v>
      </c>
      <c r="D295" s="1390">
        <v>3706.28</v>
      </c>
      <c r="E295" s="1390">
        <v>1.0059853629993882</v>
      </c>
      <c r="F295" s="1390">
        <v>31.530611601800082</v>
      </c>
      <c r="K295" s="1470">
        <v>42352</v>
      </c>
      <c r="L295" s="1471" t="s">
        <v>2129</v>
      </c>
      <c r="M295" s="1472">
        <v>5.2531000000000001E-2</v>
      </c>
      <c r="N295" s="1473">
        <v>1.1060424201825938</v>
      </c>
      <c r="O295" s="1473">
        <v>1.1060424201825938</v>
      </c>
    </row>
    <row r="296" spans="2:15">
      <c r="B296" s="1389">
        <v>41426</v>
      </c>
      <c r="C296" s="1390">
        <v>519.15300000000002</v>
      </c>
      <c r="D296" s="1390">
        <v>3715.92</v>
      </c>
      <c r="E296" s="1390">
        <v>1.0060527337434972</v>
      </c>
      <c r="F296" s="1390">
        <v>31.721457998595405</v>
      </c>
      <c r="G296" s="66"/>
      <c r="K296" s="1470">
        <v>42353</v>
      </c>
      <c r="L296" s="1471" t="s">
        <v>2129</v>
      </c>
      <c r="M296" s="1472">
        <v>5.2531000000000001E-2</v>
      </c>
      <c r="N296" s="1473">
        <v>1.10662343532634</v>
      </c>
      <c r="O296" s="1473">
        <v>1.10662343532634</v>
      </c>
    </row>
    <row r="297" spans="2:15">
      <c r="B297" s="1389">
        <v>41456</v>
      </c>
      <c r="C297" s="1390">
        <v>520.50800000000004</v>
      </c>
      <c r="D297" s="1390">
        <v>3717.03</v>
      </c>
      <c r="E297" s="1390">
        <v>1.0072409169740031</v>
      </c>
      <c r="F297" s="1390">
        <v>31.951150442257561</v>
      </c>
      <c r="K297" s="1470">
        <v>42354</v>
      </c>
      <c r="L297" s="1471" t="s">
        <v>2129</v>
      </c>
      <c r="M297" s="1472">
        <v>5.2531000000000001E-2</v>
      </c>
      <c r="N297" s="1473">
        <v>1.1072047556831512</v>
      </c>
      <c r="O297" s="1473">
        <v>1.1072047556831512</v>
      </c>
    </row>
    <row r="298" spans="2:15">
      <c r="B298" s="1389">
        <v>41487</v>
      </c>
      <c r="C298" s="1390">
        <v>521.27</v>
      </c>
      <c r="D298" s="1390">
        <v>3725.95</v>
      </c>
      <c r="E298" s="1390">
        <v>1.0071031495053051</v>
      </c>
      <c r="F298" s="1390">
        <v>32.178104240715413</v>
      </c>
      <c r="K298" s="1470">
        <v>42355</v>
      </c>
      <c r="L298" s="1471" t="s">
        <v>2129</v>
      </c>
      <c r="M298" s="1472">
        <v>5.2531000000000001E-2</v>
      </c>
      <c r="N298" s="1473">
        <v>1.1077863814133591</v>
      </c>
      <c r="O298" s="1473">
        <v>1.1077863814133591</v>
      </c>
    </row>
    <row r="299" spans="2:15">
      <c r="B299" s="1389">
        <v>41518</v>
      </c>
      <c r="C299" s="1390">
        <v>529.08500000000004</v>
      </c>
      <c r="D299" s="1390">
        <v>3738.99</v>
      </c>
      <c r="E299" s="1390">
        <v>1.0071302882501354</v>
      </c>
      <c r="F299" s="1390">
        <v>32.407543399294617</v>
      </c>
      <c r="K299" s="1470">
        <v>42356</v>
      </c>
      <c r="L299" s="1471" t="s">
        <v>2129</v>
      </c>
      <c r="M299" s="1472">
        <v>5.2531000000000001E-2</v>
      </c>
      <c r="N299" s="1473">
        <v>1.1083683126773793</v>
      </c>
      <c r="O299" s="1473">
        <v>1.1083683126773793</v>
      </c>
    </row>
    <row r="300" spans="2:15">
      <c r="B300" s="1389">
        <v>41548</v>
      </c>
      <c r="C300" s="1390">
        <v>533.62099999999998</v>
      </c>
      <c r="D300" s="1390">
        <v>3760.3</v>
      </c>
      <c r="E300" s="1390">
        <v>1.0081051023495244</v>
      </c>
      <c r="F300" s="1390">
        <v>32.670209855442558</v>
      </c>
      <c r="G300" s="67"/>
      <c r="K300" s="1470">
        <v>42357</v>
      </c>
      <c r="L300" s="1471"/>
      <c r="M300" s="1472">
        <v>0</v>
      </c>
      <c r="N300" s="1473">
        <v>1.1083683126773793</v>
      </c>
      <c r="O300" s="1473">
        <v>1.1083683126773793</v>
      </c>
    </row>
    <row r="301" spans="2:15">
      <c r="B301" s="1389">
        <v>41579</v>
      </c>
      <c r="C301" s="1390">
        <v>535.16800000000001</v>
      </c>
      <c r="D301" s="1390">
        <v>3780.61</v>
      </c>
      <c r="E301" s="1390">
        <v>1.0071920752752215</v>
      </c>
      <c r="F301" s="1390">
        <v>32.905176463980183</v>
      </c>
      <c r="G301" s="67"/>
      <c r="K301" s="1470">
        <v>42358</v>
      </c>
      <c r="L301" s="1471"/>
      <c r="M301" s="1472">
        <v>0</v>
      </c>
      <c r="N301" s="1473">
        <v>1.1083683126773793</v>
      </c>
      <c r="O301" s="1473">
        <v>1.1083683126773793</v>
      </c>
    </row>
    <row r="302" spans="2:15">
      <c r="B302" s="1389">
        <v>41609</v>
      </c>
      <c r="C302" s="1390">
        <v>538.37</v>
      </c>
      <c r="D302" s="1390">
        <v>3815.39</v>
      </c>
      <c r="E302" s="1390">
        <v>1.0078974581644051</v>
      </c>
      <c r="F302" s="1390">
        <v>33.165043718496833</v>
      </c>
      <c r="G302" s="66"/>
      <c r="K302" s="1470">
        <v>42359</v>
      </c>
      <c r="L302" s="1471" t="s">
        <v>2129</v>
      </c>
      <c r="M302" s="1472">
        <v>5.2531000000000001E-2</v>
      </c>
      <c r="N302" s="1473">
        <v>1.1089505496357119</v>
      </c>
      <c r="O302" s="1473">
        <v>1.1089505496357119</v>
      </c>
    </row>
    <row r="303" spans="2:15">
      <c r="B303" s="1389">
        <v>41640</v>
      </c>
      <c r="C303" s="1390">
        <v>540.95899999999995</v>
      </c>
      <c r="D303" s="1390">
        <v>3836.38</v>
      </c>
      <c r="E303" s="1390">
        <v>1.0084934395272054</v>
      </c>
      <c r="F303" s="1390">
        <v>33.446729011737006</v>
      </c>
      <c r="K303" s="1470">
        <v>42360</v>
      </c>
      <c r="L303" s="1471" t="s">
        <v>2129</v>
      </c>
      <c r="M303" s="1472">
        <v>5.2531000000000001E-2</v>
      </c>
      <c r="N303" s="1473">
        <v>1.109533092448941</v>
      </c>
      <c r="O303" s="1473">
        <v>1.109533092448941</v>
      </c>
    </row>
    <row r="304" spans="2:15">
      <c r="B304" s="1389">
        <v>41671</v>
      </c>
      <c r="C304" s="1390">
        <v>543.03800000000001</v>
      </c>
      <c r="D304" s="1390">
        <v>3862.84</v>
      </c>
      <c r="E304" s="1390">
        <v>1.007901464239193</v>
      </c>
      <c r="F304" s="1390">
        <v>33.711007144941227</v>
      </c>
      <c r="K304" s="1470">
        <v>42361</v>
      </c>
      <c r="L304" s="1471" t="s">
        <v>2129</v>
      </c>
      <c r="M304" s="1472">
        <v>5.2531000000000001E-2</v>
      </c>
      <c r="N304" s="1473">
        <v>1.1101159412777355</v>
      </c>
      <c r="O304" s="1473">
        <v>1.1101159412777355</v>
      </c>
    </row>
    <row r="305" spans="2:15">
      <c r="B305" s="1389">
        <v>41699</v>
      </c>
      <c r="C305" s="1390">
        <v>552.08699999999999</v>
      </c>
      <c r="D305" s="1390">
        <v>3898.38</v>
      </c>
      <c r="E305" s="1390">
        <v>1.0076595732083427</v>
      </c>
      <c r="F305" s="1390">
        <v>33.969219072094866</v>
      </c>
      <c r="K305" s="1470">
        <v>42362</v>
      </c>
      <c r="L305" s="1471" t="s">
        <v>2129</v>
      </c>
      <c r="M305" s="1472">
        <v>5.2531000000000001E-2</v>
      </c>
      <c r="N305" s="1473">
        <v>1.110699096282848</v>
      </c>
      <c r="O305" s="1473">
        <v>1.110699096282848</v>
      </c>
    </row>
    <row r="306" spans="2:15">
      <c r="B306" s="1389">
        <v>41730</v>
      </c>
      <c r="C306" s="1390">
        <v>556.41999999999996</v>
      </c>
      <c r="D306" s="1390">
        <v>3924.5</v>
      </c>
      <c r="E306" s="1390">
        <v>1.0082266762081393</v>
      </c>
      <c r="F306" s="1390">
        <v>34.248672838444342</v>
      </c>
      <c r="K306" s="1470">
        <v>42363</v>
      </c>
      <c r="L306" s="1471"/>
      <c r="M306" s="1472">
        <v>0</v>
      </c>
      <c r="N306" s="1473">
        <v>1.110699096282848</v>
      </c>
      <c r="O306" s="1473">
        <v>1.110699096282848</v>
      </c>
    </row>
    <row r="307" spans="2:15">
      <c r="B307" s="1389">
        <v>41760</v>
      </c>
      <c r="C307" s="1390">
        <v>555.67899999999997</v>
      </c>
      <c r="D307" s="1390">
        <v>3942.55</v>
      </c>
      <c r="E307" s="1390">
        <v>1.0086587318278823</v>
      </c>
      <c r="F307" s="1390">
        <v>34.545222912013308</v>
      </c>
      <c r="K307" s="1470">
        <v>42364</v>
      </c>
      <c r="L307" s="1471"/>
      <c r="M307" s="1472">
        <v>0</v>
      </c>
      <c r="N307" s="1473">
        <v>1.110699096282848</v>
      </c>
      <c r="O307" s="1473">
        <v>1.110699096282848</v>
      </c>
    </row>
    <row r="308" spans="2:15">
      <c r="B308" s="1389">
        <v>41791</v>
      </c>
      <c r="C308" s="1390">
        <v>551.55399999999997</v>
      </c>
      <c r="D308" s="1390">
        <v>3958.32</v>
      </c>
      <c r="E308" s="1390">
        <v>1.0082447163000285</v>
      </c>
      <c r="F308" s="1390">
        <v>34.830038474444102</v>
      </c>
      <c r="K308" s="1470">
        <v>42365</v>
      </c>
      <c r="L308" s="1471"/>
      <c r="M308" s="1472">
        <v>0</v>
      </c>
      <c r="N308" s="1473">
        <v>1.110699096282848</v>
      </c>
      <c r="O308" s="1473">
        <v>1.110699096282848</v>
      </c>
    </row>
    <row r="309" spans="2:15">
      <c r="B309" s="1389">
        <v>41821</v>
      </c>
      <c r="C309" s="1390">
        <v>548.202</v>
      </c>
      <c r="D309" s="1390">
        <v>3958.72</v>
      </c>
      <c r="E309" s="1390">
        <v>1.0094872729749897</v>
      </c>
      <c r="F309" s="1390">
        <v>35.160480557180549</v>
      </c>
      <c r="K309" s="1470">
        <v>42366</v>
      </c>
      <c r="L309" s="1471" t="s">
        <v>2129</v>
      </c>
      <c r="M309" s="1472">
        <v>5.2531000000000001E-2</v>
      </c>
      <c r="N309" s="1473">
        <v>1.1112825576251164</v>
      </c>
      <c r="O309" s="1473">
        <v>1.1112825576251164</v>
      </c>
    </row>
    <row r="310" spans="2:15">
      <c r="B310" s="1389">
        <v>41852</v>
      </c>
      <c r="C310" s="1390">
        <v>546.745</v>
      </c>
      <c r="D310" s="1390">
        <v>3968.62</v>
      </c>
      <c r="E310" s="1390">
        <v>1.0086598207325679</v>
      </c>
      <c r="F310" s="1390">
        <v>35.464964015676671</v>
      </c>
      <c r="K310" s="1470">
        <v>42367</v>
      </c>
      <c r="L310" s="1471" t="s">
        <v>2129</v>
      </c>
      <c r="M310" s="1472">
        <v>5.2531000000000001E-2</v>
      </c>
      <c r="N310" s="1473">
        <v>1.1118663254654624</v>
      </c>
      <c r="O310" s="1473">
        <v>1.1118663254654624</v>
      </c>
    </row>
    <row r="311" spans="2:15">
      <c r="B311" s="1389">
        <v>41883</v>
      </c>
      <c r="C311" s="1390">
        <v>547.83900000000006</v>
      </c>
      <c r="D311" s="1390">
        <v>3991.24</v>
      </c>
      <c r="E311" s="1390">
        <v>1.0090729173629331</v>
      </c>
      <c r="F311" s="1390">
        <v>35.786734703470302</v>
      </c>
      <c r="K311" s="1470">
        <v>42368</v>
      </c>
      <c r="L311" s="1471" t="s">
        <v>2129</v>
      </c>
      <c r="M311" s="1472">
        <v>5.2531000000000001E-2</v>
      </c>
      <c r="N311" s="1473">
        <v>1.1124503999648927</v>
      </c>
      <c r="O311" s="1473">
        <v>1.1124503999648927</v>
      </c>
    </row>
    <row r="312" spans="2:15">
      <c r="B312" s="1389">
        <v>41913</v>
      </c>
      <c r="C312" s="1390">
        <v>549.39599999999996</v>
      </c>
      <c r="D312" s="1390">
        <v>4008</v>
      </c>
      <c r="E312" s="1390">
        <v>1.009505315279368</v>
      </c>
      <c r="F312" s="1390">
        <v>36.126898899645887</v>
      </c>
      <c r="K312" s="1470">
        <v>42369</v>
      </c>
      <c r="L312" s="1471" t="s">
        <v>2129</v>
      </c>
      <c r="M312" s="1472">
        <v>5.2531000000000001E-2</v>
      </c>
      <c r="N312" s="1473">
        <v>1.1130347812844983</v>
      </c>
      <c r="O312" s="1473">
        <v>1.1130347812844983</v>
      </c>
    </row>
    <row r="313" spans="2:15">
      <c r="B313" s="1389">
        <v>41944</v>
      </c>
      <c r="C313" s="1390">
        <v>554.76900000000001</v>
      </c>
      <c r="D313" s="1390">
        <v>4028.44</v>
      </c>
      <c r="E313" s="1390">
        <v>1.0084249317586502</v>
      </c>
      <c r="F313" s="1390">
        <v>36.431265557527063</v>
      </c>
      <c r="K313" s="1470">
        <v>42370</v>
      </c>
      <c r="L313" s="1471"/>
      <c r="M313" s="1472">
        <v>0</v>
      </c>
      <c r="N313" s="1473">
        <v>1.1130347812844983</v>
      </c>
      <c r="O313" s="1473">
        <v>1.1130347812844983</v>
      </c>
    </row>
    <row r="314" spans="2:15">
      <c r="B314" s="1389">
        <v>41974</v>
      </c>
      <c r="C314" s="1390">
        <v>558.21299999999997</v>
      </c>
      <c r="D314" s="1390">
        <v>4059.86</v>
      </c>
      <c r="E314" s="1390">
        <v>1.0096129495106978</v>
      </c>
      <c r="F314" s="1390">
        <v>36.781477473942395</v>
      </c>
      <c r="K314" s="1470">
        <v>42371</v>
      </c>
      <c r="L314" s="1471"/>
      <c r="M314" s="1472">
        <v>0</v>
      </c>
      <c r="N314" s="1473">
        <v>1.1130347812844983</v>
      </c>
      <c r="O314" s="1473">
        <v>1.1130347812844983</v>
      </c>
    </row>
    <row r="315" spans="2:15">
      <c r="B315" s="1389">
        <v>42005</v>
      </c>
      <c r="C315" s="1390">
        <v>562.48199999999997</v>
      </c>
      <c r="D315" s="1390">
        <v>4110.2</v>
      </c>
      <c r="E315" s="1390">
        <v>1.0093507541041149</v>
      </c>
      <c r="F315" s="1390">
        <v>37.12541202538727</v>
      </c>
      <c r="K315" s="1470">
        <v>42372</v>
      </c>
      <c r="L315" s="1471"/>
      <c r="M315" s="1472">
        <v>0</v>
      </c>
      <c r="N315" s="1473">
        <v>1.1130347812844983</v>
      </c>
      <c r="O315" s="1473">
        <v>1.1130347812844983</v>
      </c>
    </row>
    <row r="316" spans="2:15">
      <c r="B316" s="1389">
        <v>42036</v>
      </c>
      <c r="C316" s="1390">
        <v>564.00400000000002</v>
      </c>
      <c r="D316" s="1390">
        <v>4160.34</v>
      </c>
      <c r="E316" s="1390">
        <v>1.0082241099890967</v>
      </c>
      <c r="F316" s="1390">
        <v>37.43073549727459</v>
      </c>
      <c r="K316" s="1470">
        <v>42373</v>
      </c>
      <c r="L316" s="1471" t="s">
        <v>2129</v>
      </c>
      <c r="M316" s="1472">
        <v>5.2531000000000001E-2</v>
      </c>
      <c r="N316" s="1473">
        <v>1.1136194695854549</v>
      </c>
      <c r="O316" s="1473">
        <v>1.1136194695854549</v>
      </c>
    </row>
    <row r="317" spans="2:15">
      <c r="B317" s="1389">
        <v>42064</v>
      </c>
      <c r="C317" s="1390">
        <v>569.53599999999994</v>
      </c>
      <c r="D317" s="1390">
        <v>4215.26</v>
      </c>
      <c r="E317" s="1390">
        <v>1.0103996710699541</v>
      </c>
      <c r="F317" s="1390">
        <v>37.820002834352699</v>
      </c>
      <c r="K317" s="1470">
        <v>42374</v>
      </c>
      <c r="L317" s="1471" t="s">
        <v>2129</v>
      </c>
      <c r="M317" s="1472">
        <v>5.2531000000000001E-2</v>
      </c>
      <c r="N317" s="1473">
        <v>1.1142044650290228</v>
      </c>
      <c r="O317" s="1473">
        <v>1.1142044650290228</v>
      </c>
    </row>
    <row r="318" spans="2:15">
      <c r="B318" s="1389">
        <v>42095</v>
      </c>
      <c r="C318" s="1390">
        <v>576.17499999999995</v>
      </c>
      <c r="D318" s="1390">
        <v>4245.1899999999996</v>
      </c>
      <c r="E318" s="1390">
        <v>1.0095179160892187</v>
      </c>
      <c r="F318" s="1390">
        <v>38.179970447824083</v>
      </c>
      <c r="K318" s="1470">
        <v>42375</v>
      </c>
      <c r="L318" s="1471" t="s">
        <v>2129</v>
      </c>
      <c r="M318" s="1472">
        <v>5.2531000000000001E-2</v>
      </c>
      <c r="N318" s="1473">
        <v>1.1147897677765473</v>
      </c>
      <c r="O318" s="1473">
        <v>1.1147897677765473</v>
      </c>
    </row>
    <row r="319" spans="2:15">
      <c r="B319" s="1389">
        <v>42125</v>
      </c>
      <c r="C319" s="1390">
        <v>578.51599999999996</v>
      </c>
      <c r="D319" s="1390">
        <v>4276.6000000000004</v>
      </c>
      <c r="E319" s="1390">
        <v>1.0098532226245138</v>
      </c>
      <c r="F319" s="1390">
        <v>38.556166196443854</v>
      </c>
      <c r="K319" s="1470">
        <v>42376</v>
      </c>
      <c r="L319" s="1471" t="s">
        <v>2129</v>
      </c>
      <c r="M319" s="1472">
        <v>5.2531000000000001E-2</v>
      </c>
      <c r="N319" s="1473">
        <v>1.115375377989458</v>
      </c>
      <c r="O319" s="1473">
        <v>1.115375377989458</v>
      </c>
    </row>
    <row r="320" spans="2:15">
      <c r="B320" s="1389">
        <v>42156</v>
      </c>
      <c r="C320" s="1390">
        <v>582.40099999999995</v>
      </c>
      <c r="D320" s="1390">
        <v>4310.3900000000003</v>
      </c>
      <c r="E320" s="1390">
        <v>1.0106667572412273</v>
      </c>
      <c r="F320" s="1390">
        <v>38.967435461413736</v>
      </c>
      <c r="K320" s="1470">
        <v>42377</v>
      </c>
      <c r="L320" s="1471" t="s">
        <v>2129</v>
      </c>
      <c r="M320" s="1472">
        <v>5.2531000000000001E-2</v>
      </c>
      <c r="N320" s="1473">
        <v>1.1159612958292695</v>
      </c>
      <c r="O320" s="1473">
        <v>1.1159612958292695</v>
      </c>
    </row>
    <row r="321" spans="2:15">
      <c r="B321" s="1389">
        <v>42186</v>
      </c>
      <c r="C321" s="1390">
        <v>586.42600000000004</v>
      </c>
      <c r="D321" s="1390">
        <v>4337.1099999999997</v>
      </c>
      <c r="E321" s="1390">
        <v>1.0117819838421735</v>
      </c>
      <c r="F321" s="1390">
        <v>39.426549156391054</v>
      </c>
      <c r="K321" s="1470">
        <v>42378</v>
      </c>
      <c r="L321" s="1471"/>
      <c r="M321" s="1472">
        <v>0</v>
      </c>
      <c r="N321" s="1473">
        <v>1.1159612958292695</v>
      </c>
      <c r="O321" s="1473">
        <v>1.1159612958292695</v>
      </c>
    </row>
    <row r="322" spans="2:15">
      <c r="B322" s="1389">
        <v>42217</v>
      </c>
      <c r="C322" s="1390">
        <v>588.04200000000003</v>
      </c>
      <c r="D322" s="1390">
        <v>4346.6499999999996</v>
      </c>
      <c r="E322" s="1390">
        <v>1.0110896528780247</v>
      </c>
      <c r="F322" s="1390">
        <v>39.863775900713804</v>
      </c>
      <c r="K322" s="1470">
        <v>42379</v>
      </c>
      <c r="L322" s="1471"/>
      <c r="M322" s="1472">
        <v>0</v>
      </c>
      <c r="N322" s="1473">
        <v>1.1159612958292695</v>
      </c>
      <c r="O322" s="1473">
        <v>1.1159612958292695</v>
      </c>
    </row>
    <row r="323" spans="2:15">
      <c r="B323" s="1389">
        <v>42248</v>
      </c>
      <c r="C323" s="1390">
        <v>593.60599999999999</v>
      </c>
      <c r="D323" s="1390">
        <v>4370.12</v>
      </c>
      <c r="E323" s="1390">
        <v>1.0110896528780244</v>
      </c>
      <c r="F323" s="1390">
        <v>40.305851337860076</v>
      </c>
      <c r="K323" s="1470">
        <v>42380</v>
      </c>
      <c r="L323" s="1471" t="s">
        <v>2129</v>
      </c>
      <c r="M323" s="1472">
        <v>5.2531000000000001E-2</v>
      </c>
      <c r="N323" s="1473">
        <v>1.1165475214575815</v>
      </c>
      <c r="O323" s="1473">
        <v>1.1165475214575815</v>
      </c>
    </row>
    <row r="324" spans="2:15">
      <c r="B324" s="1389">
        <v>42278</v>
      </c>
      <c r="C324" s="1390">
        <v>604.83199999999999</v>
      </c>
      <c r="D324" s="1390">
        <v>4405.95</v>
      </c>
      <c r="E324" s="1390">
        <v>1.0110896528780242</v>
      </c>
      <c r="F324" s="1390">
        <v>40.752829238150191</v>
      </c>
      <c r="K324" s="1470">
        <v>42381</v>
      </c>
      <c r="L324" s="1471" t="s">
        <v>2129</v>
      </c>
      <c r="M324" s="1472">
        <v>5.2531000000000001E-2</v>
      </c>
      <c r="N324" s="1473">
        <v>1.1171340550360784</v>
      </c>
      <c r="O324" s="1473">
        <v>1.1171340550360784</v>
      </c>
    </row>
    <row r="325" spans="2:15">
      <c r="B325" s="1389">
        <v>42309</v>
      </c>
      <c r="C325" s="1390">
        <v>614.05100000000004</v>
      </c>
      <c r="D325" s="1390">
        <v>4450.45</v>
      </c>
      <c r="E325" s="1390">
        <v>1.0105587962367735</v>
      </c>
      <c r="F325" s="1390">
        <v>41.183130058147846</v>
      </c>
      <c r="K325" s="1470">
        <v>42382</v>
      </c>
      <c r="L325" s="1471" t="s">
        <v>2129</v>
      </c>
      <c r="M325" s="1472">
        <v>5.2531000000000001E-2</v>
      </c>
      <c r="N325" s="1473">
        <v>1.1177208967265295</v>
      </c>
      <c r="O325" s="1473">
        <v>1.1177208967265295</v>
      </c>
    </row>
    <row r="326" spans="2:15">
      <c r="B326" s="1389">
        <v>42339</v>
      </c>
      <c r="C326" s="1390">
        <v>617.04399999999998</v>
      </c>
      <c r="D326" s="1390">
        <v>4493.17</v>
      </c>
      <c r="E326" s="1390">
        <v>1.0116207883835777</v>
      </c>
      <c r="F326" s="1390">
        <v>41.66171049752694</v>
      </c>
      <c r="K326" s="1470">
        <v>42383</v>
      </c>
      <c r="L326" s="1471" t="s">
        <v>2129</v>
      </c>
      <c r="M326" s="1472">
        <v>5.2531000000000001E-2</v>
      </c>
      <c r="N326" s="1473">
        <v>1.1183080466907889</v>
      </c>
      <c r="O326" s="1473">
        <v>1.1183080466907889</v>
      </c>
    </row>
    <row r="327" spans="2:15">
      <c r="B327" s="1389">
        <v>42370</v>
      </c>
      <c r="C327" s="1390">
        <v>624.05999999999995</v>
      </c>
      <c r="D327" s="1390">
        <v>4550.2299999999996</v>
      </c>
      <c r="E327" s="1390">
        <v>1.0105587962367735</v>
      </c>
      <c r="F327" s="1390">
        <v>42.101608009545771</v>
      </c>
      <c r="K327" s="1470">
        <v>42384</v>
      </c>
      <c r="L327" s="1471" t="s">
        <v>2129</v>
      </c>
      <c r="M327" s="1472">
        <v>5.2531000000000001E-2</v>
      </c>
      <c r="N327" s="1473">
        <v>1.118895505090796</v>
      </c>
      <c r="O327" s="1473">
        <v>1.118895505090796</v>
      </c>
    </row>
    <row r="328" spans="2:15">
      <c r="B328" s="1389">
        <v>42401</v>
      </c>
      <c r="C328" s="1390">
        <v>632.11400000000003</v>
      </c>
      <c r="D328" s="1390">
        <v>4591.18</v>
      </c>
      <c r="E328" s="1390">
        <v>1.0100282183134115</v>
      </c>
      <c r="F328" s="1390">
        <v>42.523812126011173</v>
      </c>
      <c r="K328" s="1470">
        <v>42385</v>
      </c>
      <c r="L328" s="1471"/>
      <c r="M328" s="1472">
        <v>0</v>
      </c>
      <c r="N328" s="1473">
        <v>1.118895505090796</v>
      </c>
      <c r="O328" s="1473">
        <v>1.118895505090796</v>
      </c>
    </row>
    <row r="329" spans="2:15">
      <c r="B329" s="1389">
        <v>42430</v>
      </c>
      <c r="C329" s="1390">
        <v>635.34900000000005</v>
      </c>
      <c r="D329" s="1390">
        <v>4610.92</v>
      </c>
      <c r="E329" s="1390">
        <v>1.0116207883835779</v>
      </c>
      <c r="F329" s="1390">
        <v>43.017972347990572</v>
      </c>
      <c r="K329" s="1470">
        <v>42386</v>
      </c>
      <c r="L329" s="1471"/>
      <c r="M329" s="1472">
        <v>0</v>
      </c>
      <c r="N329" s="1473">
        <v>1.118895505090796</v>
      </c>
      <c r="O329" s="1473">
        <v>1.118895505090796</v>
      </c>
    </row>
    <row r="330" spans="2:15">
      <c r="B330" s="1389">
        <v>42461</v>
      </c>
      <c r="C330" s="1390">
        <v>637.43399999999997</v>
      </c>
      <c r="D330" s="1390">
        <v>4639.05</v>
      </c>
      <c r="E330" s="1390">
        <v>1.0105587962367735</v>
      </c>
      <c r="F330" s="1390">
        <v>43.472190352532159</v>
      </c>
      <c r="K330" s="1470">
        <v>42387</v>
      </c>
      <c r="L330" s="1471" t="s">
        <v>2129</v>
      </c>
      <c r="M330" s="1472">
        <v>5.2531000000000001E-2</v>
      </c>
      <c r="N330" s="1473">
        <v>1.1194832720885752</v>
      </c>
      <c r="O330" s="1473">
        <v>1.1194832720885752</v>
      </c>
    </row>
    <row r="331" spans="2:15">
      <c r="B331" s="1389">
        <v>42491</v>
      </c>
      <c r="C331" s="1390">
        <v>642.65099999999995</v>
      </c>
      <c r="D331" s="1390">
        <v>4675.2299999999996</v>
      </c>
      <c r="E331" s="1390">
        <v>1.0110896528780244</v>
      </c>
      <c r="F331" s="1390">
        <v>43.954281853389141</v>
      </c>
      <c r="K331" s="1470">
        <v>42388</v>
      </c>
      <c r="L331" s="1471" t="s">
        <v>2129</v>
      </c>
      <c r="M331" s="1472">
        <v>5.2531000000000001E-2</v>
      </c>
      <c r="N331" s="1473">
        <v>1.1200713478462361</v>
      </c>
      <c r="O331" s="1473">
        <v>1.1200713478462361</v>
      </c>
    </row>
    <row r="332" spans="2:15">
      <c r="B332" s="1389">
        <v>42522</v>
      </c>
      <c r="C332" s="1390">
        <v>653.49599999999998</v>
      </c>
      <c r="D332" s="1390">
        <v>4691.59</v>
      </c>
      <c r="E332" s="1390">
        <v>1.0116207883835777</v>
      </c>
      <c r="F332" s="1390">
        <v>44.465065261359506</v>
      </c>
      <c r="K332" s="1470">
        <v>42389</v>
      </c>
      <c r="L332" s="1471" t="s">
        <v>2129</v>
      </c>
      <c r="M332" s="1472">
        <v>5.2531000000000001E-2</v>
      </c>
      <c r="N332" s="1473">
        <v>1.1206597325259733</v>
      </c>
      <c r="O332" s="1473">
        <v>1.1206597325259733</v>
      </c>
    </row>
    <row r="333" spans="2:15">
      <c r="B333" s="1389">
        <v>42552</v>
      </c>
      <c r="C333" s="1390">
        <v>654.64099999999996</v>
      </c>
      <c r="D333" s="1390">
        <v>4715.99</v>
      </c>
      <c r="E333" s="1390">
        <v>1.0110896528780242</v>
      </c>
      <c r="F333" s="1390">
        <v>44.958167400306678</v>
      </c>
      <c r="K333" s="1470">
        <v>42390</v>
      </c>
      <c r="L333" s="1471" t="s">
        <v>2129</v>
      </c>
      <c r="M333" s="1472">
        <v>5.2531000000000001E-2</v>
      </c>
      <c r="N333" s="1473">
        <v>1.1212484262900666</v>
      </c>
      <c r="O333" s="1473">
        <v>1.1212484262900666</v>
      </c>
    </row>
    <row r="334" spans="2:15">
      <c r="B334" s="1389">
        <v>42583</v>
      </c>
      <c r="C334" s="1390">
        <v>655.60199999999998</v>
      </c>
      <c r="D334" s="1390">
        <v>4736.74</v>
      </c>
      <c r="E334" s="1390">
        <v>1.0121522028999232</v>
      </c>
      <c r="F334" s="1390">
        <v>45.504508172563916</v>
      </c>
      <c r="K334" s="1470">
        <v>42391</v>
      </c>
      <c r="L334" s="1471" t="s">
        <v>2129</v>
      </c>
      <c r="M334" s="1472">
        <v>5.2531000000000001E-2</v>
      </c>
      <c r="N334" s="1473">
        <v>1.121837429300881</v>
      </c>
      <c r="O334" s="1473">
        <v>1.121837429300881</v>
      </c>
    </row>
    <row r="335" spans="2:15">
      <c r="B335" s="1389">
        <v>42614</v>
      </c>
      <c r="C335" s="1390">
        <v>656.89400000000001</v>
      </c>
      <c r="D335" s="1390">
        <v>4740.53</v>
      </c>
      <c r="E335" s="1390">
        <v>1.0110896528780247</v>
      </c>
      <c r="F335" s="1390">
        <v>46.009137372582884</v>
      </c>
      <c r="K335" s="1470">
        <v>42392</v>
      </c>
      <c r="L335" s="1471"/>
      <c r="M335" s="1472">
        <v>0</v>
      </c>
      <c r="N335" s="1473">
        <v>1.121837429300881</v>
      </c>
      <c r="O335" s="1473">
        <v>1.121837429300881</v>
      </c>
    </row>
    <row r="336" spans="2:15">
      <c r="B336" s="1389">
        <v>42644</v>
      </c>
      <c r="C336" s="1390">
        <v>657.92700000000002</v>
      </c>
      <c r="D336" s="1390">
        <v>4752.8599999999997</v>
      </c>
      <c r="E336" s="1390">
        <v>1.0104884196148551</v>
      </c>
      <c r="F336" s="1390">
        <v>46.491700511464046</v>
      </c>
      <c r="K336" s="1470">
        <v>42393</v>
      </c>
      <c r="L336" s="1471"/>
      <c r="M336" s="1472">
        <v>0</v>
      </c>
      <c r="N336" s="1473">
        <v>1.121837429300881</v>
      </c>
      <c r="O336" s="1473">
        <v>1.121837429300881</v>
      </c>
    </row>
    <row r="337" spans="2:15">
      <c r="B337" s="1389">
        <v>42675</v>
      </c>
      <c r="C337" s="1390">
        <v>657.75199999999995</v>
      </c>
      <c r="D337" s="1390">
        <v>4761.42</v>
      </c>
      <c r="E337" s="1390">
        <v>1.0103828638714687</v>
      </c>
      <c r="F337" s="1390">
        <v>46.974417509027667</v>
      </c>
      <c r="K337" s="1470">
        <v>42394</v>
      </c>
      <c r="L337" s="1471" t="s">
        <v>2129</v>
      </c>
      <c r="M337" s="1472">
        <v>5.2531000000000001E-2</v>
      </c>
      <c r="N337" s="1473">
        <v>1.1224267417208671</v>
      </c>
      <c r="O337" s="1473">
        <v>1.1224267417208671</v>
      </c>
    </row>
    <row r="338" spans="2:15">
      <c r="B338" s="1389">
        <v>42705</v>
      </c>
      <c r="C338" s="1390">
        <v>661.30399999999997</v>
      </c>
      <c r="D338" s="1390">
        <v>4775.7</v>
      </c>
      <c r="E338" s="1390">
        <v>1.0112331468569866</v>
      </c>
      <c r="F338" s="1390">
        <v>47.502088039427981</v>
      </c>
      <c r="K338" s="1470">
        <v>42395</v>
      </c>
      <c r="L338" s="1471" t="s">
        <v>2129</v>
      </c>
      <c r="M338" s="1472">
        <v>5.2531000000000001E-2</v>
      </c>
      <c r="N338" s="1473">
        <v>1.1230163637125605</v>
      </c>
      <c r="O338" s="1473">
        <v>1.1230163637125605</v>
      </c>
    </row>
    <row r="339" spans="2:15">
      <c r="B339" s="1389">
        <v>42736</v>
      </c>
      <c r="C339" s="1390">
        <v>665.54200000000003</v>
      </c>
      <c r="D339" s="1390">
        <v>4793.8500000000004</v>
      </c>
      <c r="E339" s="1390">
        <v>1.0108612048503447</v>
      </c>
      <c r="F339" s="1390">
        <v>48.018017948443315</v>
      </c>
      <c r="K339" s="1470">
        <v>42396</v>
      </c>
      <c r="L339" s="1471" t="s">
        <v>2129</v>
      </c>
      <c r="M339" s="1472">
        <v>5.2531000000000001E-2</v>
      </c>
      <c r="N339" s="1473">
        <v>1.1236062954385824</v>
      </c>
      <c r="O339" s="1473">
        <v>1.1236062954385824</v>
      </c>
    </row>
    <row r="340" spans="2:15">
      <c r="B340" s="1389">
        <v>42767</v>
      </c>
      <c r="C340" s="1390">
        <v>666.09900000000005</v>
      </c>
      <c r="D340" s="1390">
        <v>4809.67</v>
      </c>
      <c r="E340" s="1390">
        <v>1.0086508422083289</v>
      </c>
      <c r="F340" s="1390">
        <v>48.433414244872004</v>
      </c>
      <c r="K340" s="1470">
        <v>42397</v>
      </c>
      <c r="L340" s="1471" t="s">
        <v>2129</v>
      </c>
      <c r="M340" s="1472">
        <v>5.2531000000000001E-2</v>
      </c>
      <c r="N340" s="1473">
        <v>1.1241965370616391</v>
      </c>
      <c r="O340" s="1473">
        <v>1.1241965370616391</v>
      </c>
    </row>
    <row r="341" spans="2:15">
      <c r="B341" s="1389">
        <v>42795</v>
      </c>
      <c r="C341" s="1390">
        <v>666.197</v>
      </c>
      <c r="D341" s="1390">
        <v>4821.6899999999996</v>
      </c>
      <c r="E341" s="1390">
        <v>1.0105205646045978</v>
      </c>
      <c r="F341" s="1390">
        <v>48.94296110845643</v>
      </c>
      <c r="K341" s="1470">
        <v>42398</v>
      </c>
      <c r="L341" s="1471" t="s">
        <v>2129</v>
      </c>
      <c r="M341" s="1472">
        <v>5.2531000000000001E-2</v>
      </c>
      <c r="N341" s="1473">
        <v>1.124787088744523</v>
      </c>
      <c r="O341" s="1473">
        <v>1.124787088744523</v>
      </c>
    </row>
    <row r="342" spans="2:15">
      <c r="B342" s="1389">
        <v>42826</v>
      </c>
      <c r="C342" s="1390">
        <v>658.89800000000002</v>
      </c>
      <c r="D342" s="1390">
        <v>4828.4399999999996</v>
      </c>
      <c r="E342" s="1390">
        <v>1.0078658059100756</v>
      </c>
      <c r="F342" s="1390">
        <v>49.327936941199923</v>
      </c>
      <c r="K342" s="1470">
        <v>42399</v>
      </c>
      <c r="L342" s="1471"/>
      <c r="M342" s="1472">
        <v>0</v>
      </c>
      <c r="N342" s="1473">
        <v>1.124787088744523</v>
      </c>
      <c r="O342" s="1473">
        <v>1.124787088744523</v>
      </c>
    </row>
    <row r="343" spans="2:15">
      <c r="B343" s="1389">
        <v>42856</v>
      </c>
      <c r="C343" s="1390">
        <v>652.75800000000004</v>
      </c>
      <c r="D343" s="1390">
        <v>4843.41</v>
      </c>
      <c r="E343" s="1390">
        <v>1.0092713189779878</v>
      </c>
      <c r="F343" s="1390">
        <v>49.785271979107854</v>
      </c>
      <c r="K343" s="1470">
        <v>42400</v>
      </c>
      <c r="L343" s="1471"/>
      <c r="M343" s="1472">
        <v>0</v>
      </c>
      <c r="N343" s="1473">
        <v>1.124787088744523</v>
      </c>
      <c r="O343" s="1473">
        <v>1.124787088744523</v>
      </c>
    </row>
    <row r="344" spans="2:15">
      <c r="B344" s="1389">
        <v>42887</v>
      </c>
      <c r="C344" s="1390">
        <v>648.40899999999999</v>
      </c>
      <c r="D344" s="1390">
        <v>4832.2700000000004</v>
      </c>
      <c r="E344" s="1390">
        <v>1.0080886926571575</v>
      </c>
      <c r="F344" s="1390">
        <v>50.187969742999854</v>
      </c>
      <c r="K344" s="1470">
        <v>42401</v>
      </c>
      <c r="L344" s="1471" t="s">
        <v>2129</v>
      </c>
      <c r="M344" s="1472">
        <v>5.2531000000000001E-2</v>
      </c>
      <c r="N344" s="1473">
        <v>1.1253779506501114</v>
      </c>
      <c r="O344" s="1473">
        <v>1.1253779506501114</v>
      </c>
    </row>
    <row r="345" spans="2:15">
      <c r="B345" s="1389">
        <v>42917</v>
      </c>
      <c r="C345" s="1390">
        <v>643.76599999999996</v>
      </c>
      <c r="D345" s="1390">
        <v>4843.87</v>
      </c>
      <c r="E345" s="1390">
        <v>1.0079792299470567</v>
      </c>
      <c r="F345" s="1390">
        <v>50.588431094155176</v>
      </c>
      <c r="K345" s="1470">
        <v>42402</v>
      </c>
      <c r="L345" s="1471" t="s">
        <v>2129</v>
      </c>
      <c r="M345" s="1472">
        <v>5.2531000000000001E-2</v>
      </c>
      <c r="N345" s="1473">
        <v>1.1259691229413673</v>
      </c>
      <c r="O345" s="1473">
        <v>1.1259691229413673</v>
      </c>
    </row>
    <row r="346" spans="2:15">
      <c r="B346" s="1389">
        <v>42948</v>
      </c>
      <c r="C346" s="1390">
        <v>644.38300000000004</v>
      </c>
      <c r="D346" s="1390">
        <v>4853.07</v>
      </c>
      <c r="E346" s="1390">
        <v>1.0080228940119034</v>
      </c>
      <c r="F346" s="1390">
        <v>50.994296715052059</v>
      </c>
      <c r="K346" s="1470">
        <v>42403</v>
      </c>
      <c r="L346" s="1471" t="s">
        <v>2129</v>
      </c>
      <c r="M346" s="1472">
        <v>5.2531000000000001E-2</v>
      </c>
      <c r="N346" s="1473">
        <v>1.1265606057813395</v>
      </c>
      <c r="O346" s="1473">
        <v>1.1265606057813395</v>
      </c>
    </row>
    <row r="347" spans="2:15">
      <c r="B347" s="1389">
        <v>42979</v>
      </c>
      <c r="C347" s="1390">
        <v>647.4</v>
      </c>
      <c r="D347" s="1390">
        <v>4860.83</v>
      </c>
      <c r="E347" s="1390">
        <v>1.0063846003708505</v>
      </c>
      <c r="F347" s="1390">
        <v>51.319874920770239</v>
      </c>
      <c r="K347" s="1470">
        <v>42404</v>
      </c>
      <c r="L347" s="1471" t="s">
        <v>2129</v>
      </c>
      <c r="M347" s="1472">
        <v>5.2531000000000001E-2</v>
      </c>
      <c r="N347" s="1473">
        <v>1.1271523993331625</v>
      </c>
      <c r="O347" s="1473">
        <v>1.1271523993331625</v>
      </c>
    </row>
    <row r="348" spans="2:15">
      <c r="B348" s="1389">
        <v>43009</v>
      </c>
      <c r="C348" s="1390">
        <v>648.67200000000003</v>
      </c>
      <c r="D348" s="1390">
        <v>4881.25</v>
      </c>
      <c r="E348" s="1390">
        <v>1.0064393014601032</v>
      </c>
      <c r="F348" s="1390">
        <v>51.650339066279869</v>
      </c>
      <c r="K348" s="1470">
        <v>42405</v>
      </c>
      <c r="L348" s="1471" t="s">
        <v>2129</v>
      </c>
      <c r="M348" s="1472">
        <v>5.2531000000000001E-2</v>
      </c>
      <c r="N348" s="1473">
        <v>1.1277445037600562</v>
      </c>
      <c r="O348" s="1473">
        <v>1.1277445037600562</v>
      </c>
    </row>
    <row r="349" spans="2:15">
      <c r="B349" s="1389">
        <v>43040</v>
      </c>
      <c r="C349" s="1390">
        <v>652.07299999999998</v>
      </c>
      <c r="D349" s="1390">
        <v>4894.92</v>
      </c>
      <c r="E349" s="1390">
        <v>1.0056818783789492</v>
      </c>
      <c r="F349" s="1390">
        <v>51.943810011085958</v>
      </c>
      <c r="K349" s="1470">
        <v>42406</v>
      </c>
      <c r="L349" s="1471"/>
      <c r="M349" s="1472">
        <v>0</v>
      </c>
      <c r="N349" s="1473">
        <v>1.1277445037600562</v>
      </c>
      <c r="O349" s="1473">
        <v>1.1277445037600562</v>
      </c>
    </row>
    <row r="350" spans="2:15">
      <c r="B350" s="1389">
        <v>43070</v>
      </c>
      <c r="C350" s="1390">
        <v>657.85900000000004</v>
      </c>
      <c r="D350" s="1390">
        <v>4916.46</v>
      </c>
      <c r="E350" s="1390">
        <v>1.0053840004998948</v>
      </c>
      <c r="F350" s="1390">
        <v>52.223475510152085</v>
      </c>
      <c r="K350" s="1470">
        <v>42407</v>
      </c>
      <c r="L350" s="1471"/>
      <c r="M350" s="1472">
        <v>0</v>
      </c>
      <c r="N350" s="1473">
        <v>1.1277445037600562</v>
      </c>
      <c r="O350" s="1473">
        <v>1.1277445037600562</v>
      </c>
    </row>
    <row r="351" spans="2:15">
      <c r="B351" s="1389">
        <v>43101</v>
      </c>
      <c r="C351" s="1390">
        <v>662.82600000000002</v>
      </c>
      <c r="D351" s="1390">
        <v>4930.72</v>
      </c>
      <c r="E351" s="1390">
        <v>1.0058420473548675</v>
      </c>
      <c r="F351" s="1390">
        <v>52.528567527118156</v>
      </c>
      <c r="K351" s="1470">
        <v>42408</v>
      </c>
      <c r="L351" s="1471"/>
      <c r="M351" s="1472">
        <v>0</v>
      </c>
      <c r="N351" s="1473">
        <v>1.1277445037600562</v>
      </c>
      <c r="O351" s="1473">
        <v>1.1277445037600562</v>
      </c>
    </row>
    <row r="352" spans="2:15">
      <c r="B352" s="1389">
        <v>43132</v>
      </c>
      <c r="C352" s="1390">
        <v>663.31100000000004</v>
      </c>
      <c r="D352" s="1390">
        <v>4946.5</v>
      </c>
      <c r="E352" s="1390">
        <v>1.0046560161193037</v>
      </c>
      <c r="F352" s="1390">
        <v>52.773141384248348</v>
      </c>
      <c r="K352" s="1470">
        <v>42409</v>
      </c>
      <c r="L352" s="1471"/>
      <c r="M352" s="1472">
        <v>0</v>
      </c>
      <c r="N352" s="1473">
        <v>1.1277445037600562</v>
      </c>
      <c r="O352" s="1473">
        <v>1.1277445037600562</v>
      </c>
    </row>
    <row r="353" spans="2:15">
      <c r="B353" s="1389">
        <v>43160</v>
      </c>
      <c r="C353" s="1390">
        <v>667.524</v>
      </c>
      <c r="D353" s="1390">
        <v>4950.95</v>
      </c>
      <c r="E353" s="1390">
        <v>1.0053234480536677</v>
      </c>
      <c r="F353" s="1390">
        <v>53.054076461036253</v>
      </c>
      <c r="K353" s="1470">
        <v>42410</v>
      </c>
      <c r="L353" s="1471" t="s">
        <v>2129</v>
      </c>
      <c r="M353" s="1472">
        <v>5.2531000000000001E-2</v>
      </c>
      <c r="N353" s="1473">
        <v>1.1283369192253263</v>
      </c>
      <c r="O353" s="1473">
        <v>1.1283369192253263</v>
      </c>
    </row>
    <row r="354" spans="2:15">
      <c r="B354" s="1389">
        <v>43191</v>
      </c>
      <c r="C354" s="1390">
        <v>671.327</v>
      </c>
      <c r="D354" s="1390">
        <v>4961.84</v>
      </c>
      <c r="E354" s="1390">
        <v>1.0051829489023658</v>
      </c>
      <c r="F354" s="1390">
        <v>53.329053028396011</v>
      </c>
      <c r="K354" s="1470">
        <v>42411</v>
      </c>
      <c r="L354" s="1471" t="s">
        <v>2129</v>
      </c>
      <c r="M354" s="1472">
        <v>5.2531000000000001E-2</v>
      </c>
      <c r="N354" s="1473">
        <v>1.1289296458923646</v>
      </c>
      <c r="O354" s="1473">
        <v>1.1289296458923646</v>
      </c>
    </row>
    <row r="355" spans="2:15">
      <c r="B355" s="1389">
        <v>43221</v>
      </c>
      <c r="C355" s="1390">
        <v>680.57899999999995</v>
      </c>
      <c r="D355" s="1390">
        <v>4981.6899999999996</v>
      </c>
      <c r="E355" s="1390">
        <v>1.0051829489023656</v>
      </c>
      <c r="F355" s="1390">
        <v>53.605454785253734</v>
      </c>
      <c r="G355" s="491"/>
      <c r="K355" s="1470">
        <v>42412</v>
      </c>
      <c r="L355" s="1471" t="s">
        <v>2129</v>
      </c>
      <c r="M355" s="1472">
        <v>5.2531000000000001E-2</v>
      </c>
      <c r="N355" s="1473">
        <v>1.1295226839246482</v>
      </c>
      <c r="O355" s="1473">
        <v>1.1295226839246482</v>
      </c>
    </row>
    <row r="356" spans="2:15">
      <c r="B356" s="1389">
        <v>43252</v>
      </c>
      <c r="C356" s="1390">
        <v>693.28700000000003</v>
      </c>
      <c r="D356" s="1390">
        <v>5044.46</v>
      </c>
      <c r="E356" s="1390">
        <v>1.0051829489023654</v>
      </c>
      <c r="F356" s="1390">
        <v>53.88328911829376</v>
      </c>
      <c r="G356" s="10"/>
      <c r="I356" s="10"/>
      <c r="K356" s="1470">
        <v>42413</v>
      </c>
      <c r="L356" s="1471"/>
      <c r="M356" s="1472">
        <v>0</v>
      </c>
      <c r="N356" s="1473">
        <v>1.1295226839246482</v>
      </c>
      <c r="O356" s="1473">
        <v>1.1295226839246482</v>
      </c>
    </row>
    <row r="357" spans="2:15">
      <c r="B357" s="1389">
        <v>43282</v>
      </c>
      <c r="C357" s="1390">
        <v>696.8</v>
      </c>
      <c r="D357" s="1390">
        <v>5061.1099999999997</v>
      </c>
      <c r="E357" s="1390">
        <v>1.0054304249443857</v>
      </c>
      <c r="F357" s="1390">
        <v>54.175898275607288</v>
      </c>
      <c r="G357" s="10"/>
      <c r="K357" s="1470">
        <v>42414</v>
      </c>
      <c r="L357" s="1471"/>
      <c r="M357" s="1472">
        <v>0</v>
      </c>
      <c r="N357" s="1473">
        <v>1.1295226839246482</v>
      </c>
      <c r="O357" s="1473">
        <v>1.1295226839246482</v>
      </c>
    </row>
    <row r="358" spans="2:15">
      <c r="B358" s="1389">
        <v>43313</v>
      </c>
      <c r="C358" s="1390">
        <v>701.67700000000002</v>
      </c>
      <c r="D358" s="1390">
        <v>5056.5600000000004</v>
      </c>
      <c r="E358" s="1390">
        <v>1.0056779619150069</v>
      </c>
      <c r="F358" s="1390">
        <v>54.483506962727475</v>
      </c>
      <c r="K358" s="1470">
        <v>42415</v>
      </c>
      <c r="L358" s="1471" t="s">
        <v>2129</v>
      </c>
      <c r="M358" s="1472">
        <v>5.2531000000000001E-2</v>
      </c>
      <c r="N358" s="1473">
        <v>1.1301160334857405</v>
      </c>
      <c r="O358" s="1473">
        <v>1.1301160334857405</v>
      </c>
    </row>
    <row r="359" spans="2:15">
      <c r="B359" s="1389">
        <v>43344</v>
      </c>
      <c r="C359" s="1390">
        <v>712.37300000000005</v>
      </c>
      <c r="D359" s="1390">
        <v>5080.83</v>
      </c>
      <c r="E359" s="1390">
        <v>1.0046881795441467</v>
      </c>
      <c r="F359" s="1390">
        <v>54.738935425563504</v>
      </c>
      <c r="K359" s="1470">
        <v>42416</v>
      </c>
      <c r="L359" s="1471" t="s">
        <v>2129</v>
      </c>
      <c r="M359" s="1472">
        <v>5.2531000000000001E-2</v>
      </c>
      <c r="N359" s="1473">
        <v>1.1307096947392909</v>
      </c>
      <c r="O359" s="1473">
        <v>1.1307096947392909</v>
      </c>
    </row>
    <row r="360" spans="2:15">
      <c r="B360" s="1389">
        <v>43374</v>
      </c>
      <c r="C360" s="1390">
        <v>718.68399999999997</v>
      </c>
      <c r="D360" s="1390">
        <v>5103.6899999999996</v>
      </c>
      <c r="E360" s="1390">
        <v>1.0054304249443855</v>
      </c>
      <c r="F360" s="1390">
        <v>55.036191105927593</v>
      </c>
      <c r="K360" s="1470">
        <v>42417</v>
      </c>
      <c r="L360" s="1471" t="s">
        <v>2129</v>
      </c>
      <c r="M360" s="1472">
        <v>5.2531000000000001E-2</v>
      </c>
      <c r="N360" s="1473">
        <v>1.1313036678490345</v>
      </c>
      <c r="O360" s="1473">
        <v>1.1313036678490345</v>
      </c>
    </row>
    <row r="361" spans="2:15">
      <c r="B361" s="1389">
        <v>43405</v>
      </c>
      <c r="C361" s="1390">
        <v>715.16600000000005</v>
      </c>
      <c r="D361" s="1390">
        <v>5092.97</v>
      </c>
      <c r="E361" s="1390">
        <v>1.0049355337739507</v>
      </c>
      <c r="F361" s="1390">
        <v>55.307824085920508</v>
      </c>
      <c r="K361" s="1470">
        <v>42418</v>
      </c>
      <c r="L361" s="1471" t="s">
        <v>2129</v>
      </c>
      <c r="M361" s="1472">
        <v>5.2531000000000001E-2</v>
      </c>
      <c r="N361" s="1473">
        <v>1.1318979529787923</v>
      </c>
      <c r="O361" s="1473">
        <v>1.1318979529787923</v>
      </c>
    </row>
    <row r="362" spans="2:15">
      <c r="B362" s="1389">
        <v>43435</v>
      </c>
      <c r="C362" s="1390">
        <v>707.44100000000003</v>
      </c>
      <c r="D362" s="1390">
        <v>5100.6099999999997</v>
      </c>
      <c r="E362" s="1390">
        <v>1.0049355337739507</v>
      </c>
      <c r="F362" s="1390">
        <v>55.580797719660296</v>
      </c>
      <c r="K362" s="1470">
        <v>42419</v>
      </c>
      <c r="L362" s="1471" t="s">
        <v>2129</v>
      </c>
      <c r="M362" s="1472">
        <v>5.2531000000000001E-2</v>
      </c>
      <c r="N362" s="1473">
        <v>1.1324925502924716</v>
      </c>
      <c r="O362" s="1473">
        <v>1.1324925502924716</v>
      </c>
    </row>
    <row r="363" spans="2:15">
      <c r="B363" s="1389">
        <v>43466</v>
      </c>
      <c r="C363" s="1390">
        <v>707.48800000000006</v>
      </c>
      <c r="D363" s="1390">
        <v>5116.93</v>
      </c>
      <c r="E363" s="1390">
        <v>1.0054304249443855</v>
      </c>
      <c r="F363" s="1390">
        <v>55.882625070025988</v>
      </c>
      <c r="K363" s="1470">
        <v>42420</v>
      </c>
      <c r="L363" s="1471"/>
      <c r="M363" s="1472">
        <v>0</v>
      </c>
      <c r="N363" s="1473">
        <v>1.1324925502924716</v>
      </c>
      <c r="O363" s="1473">
        <v>1.1324925502924716</v>
      </c>
    </row>
    <row r="364" spans="2:15">
      <c r="B364" s="1389">
        <v>43497</v>
      </c>
      <c r="C364" s="1390">
        <v>713.74699999999996</v>
      </c>
      <c r="D364" s="1390">
        <v>5138.93</v>
      </c>
      <c r="E364" s="1390">
        <v>1.0049355337739507</v>
      </c>
      <c r="F364" s="1390">
        <v>56.158435653436129</v>
      </c>
      <c r="K364" s="1470">
        <v>42421</v>
      </c>
      <c r="L364" s="1471"/>
      <c r="M364" s="1472">
        <v>0</v>
      </c>
      <c r="N364" s="1473">
        <v>1.1324925502924716</v>
      </c>
      <c r="O364" s="1473">
        <v>1.1324925502924716</v>
      </c>
    </row>
    <row r="365" spans="2:15">
      <c r="B365" s="1389">
        <v>43525</v>
      </c>
      <c r="C365" s="1390">
        <v>722.70699999999999</v>
      </c>
      <c r="D365" s="1390">
        <v>5177.47</v>
      </c>
      <c r="E365" s="1390">
        <v>1.0046881795441467</v>
      </c>
      <c r="F365" s="1390">
        <v>56.421716482697846</v>
      </c>
      <c r="K365" s="1470">
        <v>42422</v>
      </c>
      <c r="L365" s="1471" t="s">
        <v>2129</v>
      </c>
      <c r="M365" s="1472">
        <v>5.2531000000000001E-2</v>
      </c>
      <c r="N365" s="1473">
        <v>1.1330874599540657</v>
      </c>
      <c r="O365" s="1473">
        <v>1.1330874599540657</v>
      </c>
    </row>
    <row r="366" spans="2:15">
      <c r="B366" s="1389">
        <v>43556</v>
      </c>
      <c r="C366" s="1390">
        <v>729.346</v>
      </c>
      <c r="D366" s="1390">
        <v>5206.9799999999996</v>
      </c>
      <c r="E366" s="1390">
        <v>1.0051829489023654</v>
      </c>
      <c r="F366" s="1390">
        <v>56.714147356211413</v>
      </c>
      <c r="K366" s="1470">
        <v>42423</v>
      </c>
      <c r="L366" s="1471" t="s">
        <v>2129</v>
      </c>
      <c r="M366" s="1472">
        <v>5.2531000000000001E-2</v>
      </c>
      <c r="N366" s="1473">
        <v>1.1336826821276542</v>
      </c>
      <c r="O366" s="1473">
        <v>1.1336826821276542</v>
      </c>
    </row>
    <row r="367" spans="2:15">
      <c r="B367" s="1389">
        <v>43586</v>
      </c>
      <c r="C367" s="1390">
        <v>732.59500000000003</v>
      </c>
      <c r="D367" s="1390">
        <v>5213.75</v>
      </c>
      <c r="E367" s="1390">
        <v>1.0054304249443855</v>
      </c>
      <c r="F367" s="1390">
        <v>57.022129276714139</v>
      </c>
      <c r="K367" s="1470">
        <v>42424</v>
      </c>
      <c r="L367" s="1471" t="s">
        <v>2129</v>
      </c>
      <c r="M367" s="1472">
        <v>5.2531000000000001E-2</v>
      </c>
      <c r="N367" s="1473">
        <v>1.1342782169774026</v>
      </c>
      <c r="O367" s="1473">
        <v>1.1342782169774026</v>
      </c>
    </row>
    <row r="368" spans="2:15">
      <c r="B368" s="1389">
        <v>43617</v>
      </c>
      <c r="C368" s="1390">
        <v>738.42100000000005</v>
      </c>
      <c r="D368" s="1390">
        <v>5214.2700000000004</v>
      </c>
      <c r="E368" s="1390">
        <v>1.0046881795441465</v>
      </c>
      <c r="F368" s="1390">
        <v>57.289459256752906</v>
      </c>
      <c r="K368" s="1470">
        <v>42425</v>
      </c>
      <c r="L368" s="1471" t="s">
        <v>2129</v>
      </c>
      <c r="M368" s="1472">
        <v>5.2531000000000001E-2</v>
      </c>
      <c r="N368" s="1473">
        <v>1.134874064667563</v>
      </c>
      <c r="O368" s="1473">
        <v>1.134874064667563</v>
      </c>
    </row>
    <row r="369" spans="2:15">
      <c r="B369" s="1389">
        <v>43647</v>
      </c>
      <c r="C369" s="1390">
        <v>741.346</v>
      </c>
      <c r="D369" s="1390">
        <v>5224.18</v>
      </c>
      <c r="E369" s="1390">
        <v>1.0056779619150069</v>
      </c>
      <c r="F369" s="1390">
        <v>57.61474662454409</v>
      </c>
      <c r="K369" s="1470">
        <v>42426</v>
      </c>
      <c r="L369" s="1471" t="s">
        <v>2129</v>
      </c>
      <c r="M369" s="1472">
        <v>5.2531000000000001E-2</v>
      </c>
      <c r="N369" s="1473">
        <v>1.1354702253624736</v>
      </c>
      <c r="O369" s="1473">
        <v>1.1354702253624736</v>
      </c>
    </row>
    <row r="370" spans="2:15">
      <c r="B370" s="1389">
        <v>43678</v>
      </c>
      <c r="C370" s="1390">
        <v>736.40200000000004</v>
      </c>
      <c r="D370" s="1390">
        <v>5229.93</v>
      </c>
      <c r="E370" s="1390">
        <v>1.0050171948996307</v>
      </c>
      <c r="F370" s="1390">
        <v>57.903811037452265</v>
      </c>
      <c r="K370" s="1470">
        <v>42427</v>
      </c>
      <c r="L370" s="1471"/>
      <c r="M370" s="1472">
        <v>0</v>
      </c>
      <c r="N370" s="1473">
        <v>1.1354702253624736</v>
      </c>
      <c r="O370" s="1473">
        <v>1.1354702253624736</v>
      </c>
    </row>
    <row r="371" spans="2:15">
      <c r="B371" s="1389">
        <v>43709</v>
      </c>
      <c r="C371" s="1390">
        <v>736.36199999999997</v>
      </c>
      <c r="D371" s="1390">
        <v>5227.84</v>
      </c>
      <c r="E371" s="1390">
        <v>1.0046375999081099</v>
      </c>
      <c r="F371" s="1390">
        <v>58.172345746198765</v>
      </c>
      <c r="K371" s="1470">
        <v>42428</v>
      </c>
      <c r="L371" s="1471"/>
      <c r="M371" s="1472">
        <v>0</v>
      </c>
      <c r="N371" s="1473">
        <v>1.1354702253624736</v>
      </c>
      <c r="O371" s="1473">
        <v>1.1354702253624736</v>
      </c>
    </row>
    <row r="372" spans="2:15">
      <c r="B372" s="1389">
        <v>43739</v>
      </c>
      <c r="C372" s="1390">
        <v>741.33299999999997</v>
      </c>
      <c r="D372" s="1390">
        <v>5233.07</v>
      </c>
      <c r="E372" s="1390">
        <v>1.0047926409835022</v>
      </c>
      <c r="F372" s="1390">
        <v>58.451144914528456</v>
      </c>
      <c r="K372" s="1470">
        <v>42429</v>
      </c>
      <c r="L372" s="1471" t="s">
        <v>2129</v>
      </c>
      <c r="M372" s="1472">
        <v>5.2531000000000001E-2</v>
      </c>
      <c r="N372" s="1473">
        <v>1.1360666992265587</v>
      </c>
      <c r="O372" s="1473">
        <v>1.1360666992265587</v>
      </c>
    </row>
    <row r="373" spans="2:15">
      <c r="B373" s="1389">
        <v>43770</v>
      </c>
      <c r="C373" s="1390">
        <v>743.55799999999999</v>
      </c>
      <c r="D373" s="1390">
        <v>5259.76</v>
      </c>
      <c r="E373" s="1390">
        <v>1.0038038559813272</v>
      </c>
      <c r="F373" s="1390">
        <v>58.673484651727009</v>
      </c>
      <c r="K373" s="1470">
        <v>42430</v>
      </c>
      <c r="L373" s="1471" t="s">
        <v>2129</v>
      </c>
      <c r="M373" s="1472">
        <v>5.2531000000000001E-2</v>
      </c>
      <c r="N373" s="1473">
        <v>1.1366634864243295</v>
      </c>
      <c r="O373" s="1473">
        <v>1.1366634864243295</v>
      </c>
    </row>
    <row r="374" spans="2:15">
      <c r="B374" s="1389">
        <v>43800</v>
      </c>
      <c r="C374" s="1390">
        <v>759.11199999999997</v>
      </c>
      <c r="D374" s="1390">
        <v>5320.25</v>
      </c>
      <c r="E374" s="1390">
        <v>1.0037470387078873</v>
      </c>
      <c r="F374" s="1390">
        <v>58.893336469843661</v>
      </c>
      <c r="K374" s="1470">
        <v>42431</v>
      </c>
      <c r="L374" s="1471" t="s">
        <v>2129</v>
      </c>
      <c r="M374" s="1472">
        <v>5.2531000000000001E-2</v>
      </c>
      <c r="N374" s="1473">
        <v>1.1372605871203831</v>
      </c>
      <c r="O374" s="1473">
        <v>1.1372605871203831</v>
      </c>
    </row>
    <row r="375" spans="2:15">
      <c r="B375" s="1389">
        <v>43831</v>
      </c>
      <c r="C375" s="1390">
        <v>762.73299999999995</v>
      </c>
      <c r="D375" s="1390">
        <v>5331.42</v>
      </c>
      <c r="E375" s="1390">
        <v>1.00376633367529</v>
      </c>
      <c r="F375" s="1390">
        <v>59.115148426240218</v>
      </c>
      <c r="K375" s="1470">
        <v>42432</v>
      </c>
      <c r="L375" s="1471" t="s">
        <v>2129</v>
      </c>
      <c r="M375" s="1472">
        <v>5.2531000000000001E-2</v>
      </c>
      <c r="N375" s="1473">
        <v>1.1378580014794033</v>
      </c>
      <c r="O375" s="1473">
        <v>1.1378580014794033</v>
      </c>
    </row>
    <row r="376" spans="2:15">
      <c r="B376" s="1389">
        <v>43862</v>
      </c>
      <c r="C376" s="1390">
        <v>762.423</v>
      </c>
      <c r="D376" s="1390">
        <v>5344.75</v>
      </c>
      <c r="E376" s="1390">
        <v>1.0029372863155552</v>
      </c>
      <c r="F376" s="1390">
        <v>59.288786542754629</v>
      </c>
      <c r="K376" s="1470">
        <v>42433</v>
      </c>
      <c r="L376" s="1471" t="s">
        <v>2129</v>
      </c>
      <c r="M376" s="1472">
        <v>5.2531000000000001E-2</v>
      </c>
      <c r="N376" s="1473">
        <v>1.1384557296661604</v>
      </c>
      <c r="O376" s="1473">
        <v>1.1384557296661604</v>
      </c>
    </row>
    <row r="377" spans="2:15">
      <c r="B377" s="1389">
        <v>43891</v>
      </c>
      <c r="C377" s="1390">
        <v>771.90800000000002</v>
      </c>
      <c r="D377" s="1390">
        <v>5348.49</v>
      </c>
      <c r="E377" s="1390">
        <v>1.0033836914846632</v>
      </c>
      <c r="F377" s="1390">
        <v>59.489401504915364</v>
      </c>
      <c r="K377" s="1470">
        <v>42434</v>
      </c>
      <c r="L377" s="1471"/>
      <c r="M377" s="1472">
        <v>0</v>
      </c>
      <c r="N377" s="1473">
        <v>1.1384557296661604</v>
      </c>
      <c r="O377" s="1473">
        <v>1.1384557296661604</v>
      </c>
    </row>
    <row r="378" spans="2:15">
      <c r="B378" s="1389">
        <v>43922</v>
      </c>
      <c r="C378" s="1390">
        <v>778.101</v>
      </c>
      <c r="D378" s="1390">
        <v>5331.91</v>
      </c>
      <c r="E378" s="1390">
        <v>1.0028492490278405</v>
      </c>
      <c r="F378" s="1390">
        <v>59.658901624320052</v>
      </c>
      <c r="K378" s="1470">
        <v>42435</v>
      </c>
      <c r="L378" s="1471"/>
      <c r="M378" s="1472">
        <v>0</v>
      </c>
      <c r="N378" s="1473">
        <v>1.1384557296661604</v>
      </c>
      <c r="O378" s="1473">
        <v>1.1384557296661604</v>
      </c>
    </row>
    <row r="379" spans="2:15">
      <c r="B379" s="1389">
        <v>43952</v>
      </c>
      <c r="C379" s="1390">
        <v>780.28</v>
      </c>
      <c r="D379" s="1390">
        <v>5311.65</v>
      </c>
      <c r="E379" s="1390">
        <v>1.0023580961930716</v>
      </c>
      <c r="F379" s="1390">
        <v>59.799583053123193</v>
      </c>
      <c r="K379" s="1470">
        <v>42436</v>
      </c>
      <c r="L379" s="1471" t="s">
        <v>2129</v>
      </c>
      <c r="M379" s="1472">
        <v>5.2531000000000001E-2</v>
      </c>
      <c r="N379" s="1473">
        <v>1.1390537718455114</v>
      </c>
      <c r="O379" s="1473">
        <v>1.1390537718455114</v>
      </c>
    </row>
    <row r="380" spans="2:15">
      <c r="B380" s="1389">
        <v>43983</v>
      </c>
      <c r="C380" s="1390">
        <v>792.42899999999997</v>
      </c>
      <c r="D380" s="1390">
        <v>5325.46</v>
      </c>
      <c r="E380" s="1390">
        <v>1.0021233217736718</v>
      </c>
      <c r="F380" s="1390">
        <v>59.926556809876388</v>
      </c>
      <c r="K380" s="1470">
        <v>42437</v>
      </c>
      <c r="L380" s="1471" t="s">
        <v>2129</v>
      </c>
      <c r="M380" s="1472">
        <v>5.2531000000000001E-2</v>
      </c>
      <c r="N380" s="1473">
        <v>1.1396521281823995</v>
      </c>
      <c r="O380" s="1473">
        <v>1.1396521281823995</v>
      </c>
    </row>
    <row r="381" spans="2:15">
      <c r="B381" s="1389">
        <v>44013</v>
      </c>
      <c r="C381" s="1390">
        <v>810.08299999999997</v>
      </c>
      <c r="D381" s="1390">
        <v>5344.63</v>
      </c>
      <c r="E381" s="1390">
        <v>1.0019434641302636</v>
      </c>
      <c r="F381" s="1390">
        <v>60.043021923486585</v>
      </c>
      <c r="K381" s="1470">
        <v>42438</v>
      </c>
      <c r="L381" s="1471" t="s">
        <v>2129</v>
      </c>
      <c r="M381" s="1472">
        <v>5.2531000000000001E-2</v>
      </c>
      <c r="N381" s="1473">
        <v>1.1402507988418549</v>
      </c>
      <c r="O381" s="1473">
        <v>1.1402507988418549</v>
      </c>
    </row>
    <row r="382" spans="2:15">
      <c r="B382" s="1389">
        <v>44044</v>
      </c>
      <c r="C382" s="1390">
        <v>832.31299999999999</v>
      </c>
      <c r="D382" s="1390">
        <v>5357.46</v>
      </c>
      <c r="E382" s="1390">
        <v>1.0015988959789295</v>
      </c>
      <c r="F382" s="1390">
        <v>60.13902446980282</v>
      </c>
      <c r="K382" s="1470">
        <v>42439</v>
      </c>
      <c r="L382" s="1471" t="s">
        <v>2129</v>
      </c>
      <c r="M382" s="1472">
        <v>5.2531000000000001E-2</v>
      </c>
      <c r="N382" s="1473">
        <v>1.1408497839889944</v>
      </c>
      <c r="O382" s="1473">
        <v>1.1408497839889944</v>
      </c>
    </row>
    <row r="383" spans="2:15">
      <c r="B383" s="1389">
        <v>44075</v>
      </c>
      <c r="C383" s="1390">
        <v>868.44200000000001</v>
      </c>
      <c r="D383" s="1390">
        <v>5391.75</v>
      </c>
      <c r="E383" s="1390">
        <v>1.0015696620595307</v>
      </c>
      <c r="F383" s="1390">
        <v>60.233422414810256</v>
      </c>
      <c r="K383" s="1470">
        <v>42440</v>
      </c>
      <c r="L383" s="1471" t="s">
        <v>2129</v>
      </c>
      <c r="M383" s="1472">
        <v>5.2531000000000001E-2</v>
      </c>
      <c r="N383" s="1473">
        <v>1.1414490837890217</v>
      </c>
      <c r="O383" s="1473">
        <v>1.1414490837890217</v>
      </c>
    </row>
    <row r="384" spans="2:15">
      <c r="B384" s="1389">
        <v>44105</v>
      </c>
      <c r="C384" s="1390">
        <v>896.505</v>
      </c>
      <c r="D384" s="1390">
        <v>5438.12</v>
      </c>
      <c r="E384" s="1390">
        <v>1.00156966205953</v>
      </c>
      <c r="F384" s="1390">
        <v>60.327968532690427</v>
      </c>
      <c r="K384" s="1470">
        <v>42441</v>
      </c>
      <c r="L384" s="1471"/>
      <c r="M384" s="1472">
        <v>0</v>
      </c>
      <c r="N384" s="1473">
        <v>1.1414490837890217</v>
      </c>
      <c r="O384" s="1473">
        <v>1.1414490837890217</v>
      </c>
    </row>
    <row r="385" spans="2:15">
      <c r="B385" s="1389">
        <v>44136</v>
      </c>
      <c r="C385" s="1390">
        <v>925.88699999999994</v>
      </c>
      <c r="D385" s="1390">
        <v>5486.52</v>
      </c>
      <c r="E385" s="1390">
        <v>1.0014948604084073</v>
      </c>
      <c r="F385" s="1390">
        <v>60.418150424369585</v>
      </c>
      <c r="K385" s="1470">
        <v>42442</v>
      </c>
      <c r="L385" s="1471"/>
      <c r="M385" s="1472">
        <v>0</v>
      </c>
      <c r="N385" s="1473">
        <v>1.1414490837890217</v>
      </c>
      <c r="O385" s="1473">
        <v>1.1414490837890217</v>
      </c>
    </row>
    <row r="386" spans="2:15">
      <c r="B386" s="1389">
        <v>44166</v>
      </c>
      <c r="C386" s="1390">
        <v>934.75800000000004</v>
      </c>
      <c r="D386" s="1390">
        <v>5560.59</v>
      </c>
      <c r="E386" s="1390">
        <v>1.0016444692975899</v>
      </c>
      <c r="F386" s="1390">
        <v>60.517506217759632</v>
      </c>
      <c r="K386" s="1470">
        <v>42443</v>
      </c>
      <c r="L386" s="1471" t="s">
        <v>2129</v>
      </c>
      <c r="M386" s="1472">
        <v>5.2531000000000001E-2</v>
      </c>
      <c r="N386" s="1473">
        <v>1.1420486984072269</v>
      </c>
      <c r="O386" s="1473">
        <v>1.1420486984072269</v>
      </c>
    </row>
    <row r="387" spans="2:15">
      <c r="B387" s="1389">
        <v>44197</v>
      </c>
      <c r="C387" s="1390">
        <v>958.84400000000005</v>
      </c>
      <c r="D387" s="1390">
        <v>5574.49</v>
      </c>
      <c r="E387" s="1390">
        <v>1.0014948604084077</v>
      </c>
      <c r="F387" s="1390">
        <v>60.607971441820126</v>
      </c>
      <c r="K387" s="1470">
        <v>42444</v>
      </c>
      <c r="L387" s="1471" t="s">
        <v>2129</v>
      </c>
      <c r="M387" s="1472">
        <v>5.2531000000000001E-2</v>
      </c>
      <c r="N387" s="1473">
        <v>1.1426486280089871</v>
      </c>
      <c r="O387" s="1473">
        <v>1.1426486280089871</v>
      </c>
    </row>
    <row r="388" spans="2:15">
      <c r="B388" s="1389">
        <v>44228</v>
      </c>
      <c r="C388" s="1390">
        <v>983.06299999999999</v>
      </c>
      <c r="D388" s="1390">
        <v>5622.43</v>
      </c>
      <c r="E388" s="1390">
        <v>1.0013452738652961</v>
      </c>
      <c r="F388" s="1390">
        <v>60.689505761829423</v>
      </c>
      <c r="K388" s="1470">
        <v>42445</v>
      </c>
      <c r="L388" s="1471" t="s">
        <v>2129</v>
      </c>
      <c r="M388" s="1472">
        <v>5.2531000000000001E-2</v>
      </c>
      <c r="N388" s="1473">
        <v>1.1432488727597665</v>
      </c>
      <c r="O388" s="1473">
        <v>1.1432488727597665</v>
      </c>
    </row>
    <row r="389" spans="2:15">
      <c r="B389" s="1389">
        <v>44256</v>
      </c>
      <c r="C389" s="1390">
        <v>1011.948</v>
      </c>
      <c r="D389" s="1390">
        <v>5674.72</v>
      </c>
      <c r="E389" s="1390">
        <v>1.0020107988327946</v>
      </c>
      <c r="F389" s="1390">
        <v>60.811540149178192</v>
      </c>
      <c r="K389" s="1470">
        <v>42446</v>
      </c>
      <c r="L389" s="1471" t="s">
        <v>2129</v>
      </c>
      <c r="M389" s="1472">
        <v>5.2531000000000001E-2</v>
      </c>
      <c r="N389" s="1473">
        <v>1.1438494328251159</v>
      </c>
      <c r="O389" s="1473">
        <v>1.1438494328251159</v>
      </c>
    </row>
    <row r="390" spans="2:15">
      <c r="B390" s="1389">
        <v>44287</v>
      </c>
      <c r="C390" s="1390">
        <v>1027.211</v>
      </c>
      <c r="D390" s="1390">
        <v>5692.31</v>
      </c>
      <c r="E390" s="1390">
        <v>1.0020778480243349</v>
      </c>
      <c r="F390" s="1390">
        <v>60.937897287733925</v>
      </c>
      <c r="K390" s="1470">
        <v>42447</v>
      </c>
      <c r="L390" s="1471" t="s">
        <v>2129</v>
      </c>
      <c r="M390" s="1472">
        <v>5.2531000000000001E-2</v>
      </c>
      <c r="N390" s="1473">
        <v>1.1444503083706732</v>
      </c>
      <c r="O390" s="1473">
        <v>1.1444503083706732</v>
      </c>
    </row>
    <row r="391" spans="2:15">
      <c r="B391" s="1389">
        <v>44317</v>
      </c>
      <c r="C391" s="1390">
        <v>1069.289</v>
      </c>
      <c r="D391" s="1390">
        <v>5739.56</v>
      </c>
      <c r="E391" s="1390">
        <v>1.0027032626398216</v>
      </c>
      <c r="F391" s="1390">
        <v>61.102628428821141</v>
      </c>
      <c r="K391" s="1470">
        <v>42448</v>
      </c>
      <c r="L391" s="1471"/>
      <c r="M391" s="1472">
        <v>0</v>
      </c>
      <c r="N391" s="1473">
        <v>1.1444503083706732</v>
      </c>
      <c r="O391" s="1473">
        <v>1.1444503083706732</v>
      </c>
    </row>
    <row r="392" spans="2:15">
      <c r="B392" s="1389">
        <v>44348</v>
      </c>
      <c r="C392" s="1390">
        <v>1075.7329999999999</v>
      </c>
      <c r="D392" s="1390">
        <v>5769.98</v>
      </c>
      <c r="E392" s="1390">
        <v>1.0030777896833167</v>
      </c>
      <c r="F392" s="1390">
        <v>61.290689468222901</v>
      </c>
      <c r="K392" s="1470">
        <v>42449</v>
      </c>
      <c r="L392" s="1471"/>
      <c r="M392" s="1472">
        <v>0</v>
      </c>
      <c r="N392" s="1473">
        <v>1.1444503083706732</v>
      </c>
      <c r="O392" s="1473">
        <v>1.1444503083706732</v>
      </c>
    </row>
    <row r="393" spans="2:15">
      <c r="B393" s="1389">
        <v>44378</v>
      </c>
      <c r="C393" s="1390">
        <v>1084.095</v>
      </c>
      <c r="D393" s="1390">
        <v>5825.37</v>
      </c>
      <c r="E393" s="1390">
        <v>1.003556161780192</v>
      </c>
      <c r="F393" s="1390">
        <v>61.508649075591414</v>
      </c>
      <c r="K393" s="1470">
        <v>42450</v>
      </c>
      <c r="L393" s="1471" t="s">
        <v>2129</v>
      </c>
      <c r="M393" s="1472">
        <v>5.2531000000000001E-2</v>
      </c>
      <c r="N393" s="1473">
        <v>1.1450514995621635</v>
      </c>
      <c r="O393" s="1473">
        <v>1.1450514995621635</v>
      </c>
    </row>
    <row r="394" spans="2:15">
      <c r="B394" s="1389">
        <v>44409</v>
      </c>
      <c r="C394" s="1390">
        <v>1091.29</v>
      </c>
      <c r="D394" s="1390">
        <v>5876.05</v>
      </c>
      <c r="E394" s="1390">
        <v>1.0042795247734253</v>
      </c>
      <c r="F394" s="1390">
        <v>61.771876863090334</v>
      </c>
      <c r="K394" s="1470">
        <v>42451</v>
      </c>
      <c r="L394" s="1471" t="s">
        <v>2129</v>
      </c>
      <c r="M394" s="1472">
        <v>5.2531000000000001E-2</v>
      </c>
      <c r="N394" s="1473">
        <v>1.1456530065653985</v>
      </c>
      <c r="O394" s="1473">
        <v>1.1456530065653985</v>
      </c>
    </row>
    <row r="395" spans="2:15">
      <c r="B395" s="1389">
        <v>44440</v>
      </c>
      <c r="C395" s="1390">
        <v>1084.3119999999999</v>
      </c>
      <c r="D395" s="1390">
        <v>5944.21</v>
      </c>
      <c r="E395" s="1390">
        <v>1.0044199933223523</v>
      </c>
      <c r="F395" s="1390">
        <v>62.044908146334365</v>
      </c>
      <c r="K395" s="1470">
        <v>42452</v>
      </c>
      <c r="L395" s="1471" t="s">
        <v>2129</v>
      </c>
      <c r="M395" s="1472">
        <v>5.2531000000000001E-2</v>
      </c>
      <c r="N395" s="1473">
        <v>1.1462548295462773</v>
      </c>
      <c r="O395" s="1473">
        <v>1.1462548295462773</v>
      </c>
    </row>
    <row r="396" spans="2:15">
      <c r="B396" s="1389">
        <v>44470</v>
      </c>
      <c r="C396" s="1390">
        <v>1091.2829999999999</v>
      </c>
      <c r="D396" s="1390">
        <v>6018.51</v>
      </c>
      <c r="E396" s="1390">
        <v>1.0048599610251685</v>
      </c>
      <c r="F396" s="1390">
        <v>62.34644398173571</v>
      </c>
      <c r="K396" s="1470">
        <v>42453</v>
      </c>
      <c r="L396" s="1471" t="s">
        <v>2129</v>
      </c>
      <c r="M396" s="1472">
        <v>5.2531000000000001E-2</v>
      </c>
      <c r="N396" s="1473">
        <v>1.1468569686707863</v>
      </c>
      <c r="O396" s="1473">
        <v>1.1468569686707863</v>
      </c>
    </row>
    <row r="397" spans="2:15">
      <c r="B397" s="1389">
        <v>44501</v>
      </c>
      <c r="C397" s="1390">
        <v>1091.4829999999999</v>
      </c>
      <c r="D397" s="1390">
        <v>6075.69</v>
      </c>
      <c r="E397" s="1390">
        <v>1.0058674909390046</v>
      </c>
      <c r="F397" s="1390">
        <v>62.712261176877703</v>
      </c>
      <c r="K397" s="1470">
        <v>42454</v>
      </c>
      <c r="L397" s="1471"/>
      <c r="M397" s="1472">
        <v>0</v>
      </c>
      <c r="N397" s="1473">
        <v>1.1468569686707863</v>
      </c>
      <c r="O397" s="1473">
        <v>1.1468569686707863</v>
      </c>
    </row>
    <row r="398" spans="2:15">
      <c r="B398" s="1389">
        <v>44531</v>
      </c>
      <c r="C398" s="1390">
        <v>1100.9880000000001</v>
      </c>
      <c r="D398" s="1390">
        <v>6120.04</v>
      </c>
      <c r="E398" s="1390">
        <v>1.0076908308186336</v>
      </c>
      <c r="F398" s="1390">
        <v>63.194570567843037</v>
      </c>
      <c r="K398" s="1470">
        <v>42455</v>
      </c>
      <c r="L398" s="1471"/>
      <c r="M398" s="1472">
        <v>0</v>
      </c>
      <c r="N398" s="1473">
        <v>1.1468569686707863</v>
      </c>
      <c r="O398" s="1473">
        <v>1.1468569686707863</v>
      </c>
    </row>
    <row r="399" spans="2:15">
      <c r="B399" s="1389">
        <v>44562</v>
      </c>
      <c r="C399" s="1390">
        <v>1120.999</v>
      </c>
      <c r="D399" s="1390">
        <v>6153.09</v>
      </c>
      <c r="E399" s="1390">
        <v>1.0073227032460901</v>
      </c>
      <c r="F399" s="1390">
        <v>63.65732565487545</v>
      </c>
      <c r="K399" s="1470">
        <v>42456</v>
      </c>
      <c r="L399" s="1471"/>
      <c r="M399" s="1472">
        <v>0</v>
      </c>
      <c r="N399" s="1473">
        <v>1.1468569686707863</v>
      </c>
      <c r="O399" s="1473">
        <v>1.1468569686707863</v>
      </c>
    </row>
    <row r="400" spans="2:15">
      <c r="B400" s="1389">
        <v>44593</v>
      </c>
      <c r="C400" s="1390">
        <v>1141.546</v>
      </c>
      <c r="D400" s="1390">
        <v>6215.24</v>
      </c>
      <c r="E400" s="1390">
        <v>1.0075504098703885</v>
      </c>
      <c r="F400" s="1390">
        <v>64.13796455482256</v>
      </c>
      <c r="K400" s="1470">
        <v>42457</v>
      </c>
      <c r="L400" s="1471" t="s">
        <v>2129</v>
      </c>
      <c r="M400" s="1472">
        <v>5.2531000000000001E-2</v>
      </c>
      <c r="N400" s="1473">
        <v>1.1474594241049989</v>
      </c>
      <c r="O400" s="1473">
        <v>1.1474594241049989</v>
      </c>
    </row>
    <row r="401" spans="2:15">
      <c r="B401" s="1389">
        <v>44621</v>
      </c>
      <c r="C401" s="1390">
        <v>1161.4179999999999</v>
      </c>
      <c r="D401" s="1390">
        <v>6315.93</v>
      </c>
      <c r="E401" s="1390">
        <v>1.0092705386289318</v>
      </c>
      <c r="F401" s="1390">
        <v>64.732558032809095</v>
      </c>
      <c r="K401" s="1470">
        <v>42458</v>
      </c>
      <c r="L401" s="1471" t="s">
        <v>2129</v>
      </c>
      <c r="M401" s="1472">
        <v>5.2531000000000001E-2</v>
      </c>
      <c r="N401" s="1473">
        <v>1.1480621960150754</v>
      </c>
      <c r="O401" s="1473">
        <v>1.1480621960150754</v>
      </c>
    </row>
    <row r="402" spans="2:15">
      <c r="B402" s="1389">
        <v>44652</v>
      </c>
      <c r="C402" s="1390">
        <v>1177.809</v>
      </c>
      <c r="D402" s="1390">
        <v>6382.88</v>
      </c>
      <c r="E402" s="1390">
        <v>1.0083432052372134</v>
      </c>
      <c r="F402" s="1390">
        <v>65.272635050006656</v>
      </c>
      <c r="K402" s="1470">
        <v>42459</v>
      </c>
      <c r="L402" s="1471" t="s">
        <v>2129</v>
      </c>
      <c r="M402" s="1472">
        <v>5.2531000000000001E-2</v>
      </c>
      <c r="N402" s="1473">
        <v>1.148665284567264</v>
      </c>
      <c r="O402" s="1473">
        <v>1.148665284567264</v>
      </c>
    </row>
    <row r="403" spans="2:15">
      <c r="B403" s="1389">
        <v>44682</v>
      </c>
      <c r="C403" s="1390">
        <v>1183.953</v>
      </c>
      <c r="D403" s="1390">
        <v>6412.88</v>
      </c>
      <c r="E403" s="1390">
        <v>1.0103459230153136</v>
      </c>
      <c r="F403" s="1390">
        <v>65.947940707240676</v>
      </c>
      <c r="K403" s="1470">
        <v>42460</v>
      </c>
      <c r="L403" s="1471" t="s">
        <v>2129</v>
      </c>
      <c r="M403" s="1472">
        <v>5.2531000000000001E-2</v>
      </c>
      <c r="N403" s="1473">
        <v>1.1492686899279001</v>
      </c>
      <c r="O403" s="1473">
        <v>1.1492686899279001</v>
      </c>
    </row>
    <row r="404" spans="2:15">
      <c r="B404" s="1389">
        <v>44713</v>
      </c>
      <c r="C404" s="1390">
        <v>1190.8820000000001</v>
      </c>
      <c r="D404" s="1390">
        <v>6455.85</v>
      </c>
      <c r="E404" s="1390">
        <v>1.0101531560893695</v>
      </c>
      <c r="F404" s="1390">
        <v>66.617520443013774</v>
      </c>
      <c r="K404" s="1470">
        <v>42461</v>
      </c>
      <c r="L404" s="1471" t="s">
        <v>2129</v>
      </c>
      <c r="M404" s="1472">
        <v>5.2531000000000001E-2</v>
      </c>
      <c r="N404" s="1473">
        <v>1.1498724122634061</v>
      </c>
      <c r="O404" s="1473">
        <v>1.1498724122634061</v>
      </c>
    </row>
    <row r="405" spans="2:15">
      <c r="B405" s="1389">
        <v>44743</v>
      </c>
      <c r="C405" s="1390">
        <v>1193.337</v>
      </c>
      <c r="D405" s="1390">
        <v>6411.95</v>
      </c>
      <c r="E405" s="1390">
        <v>1.0103484243492924</v>
      </c>
      <c r="F405" s="1390">
        <v>67.306906813655743</v>
      </c>
      <c r="K405" s="1470">
        <v>42462</v>
      </c>
      <c r="L405" s="1471"/>
      <c r="M405" s="1472">
        <v>0</v>
      </c>
      <c r="N405" s="1473">
        <v>1.1498724122634061</v>
      </c>
      <c r="O405" s="1473">
        <v>1.1498724122634061</v>
      </c>
    </row>
    <row r="406" spans="2:15">
      <c r="B406" s="1389">
        <v>44774</v>
      </c>
      <c r="C406" s="1390">
        <v>1185.0039999999999</v>
      </c>
      <c r="D406" s="1390">
        <v>6388.87</v>
      </c>
      <c r="E406" s="1390">
        <v>1.0116936128000631</v>
      </c>
      <c r="F406" s="1390">
        <v>68.093967720704555</v>
      </c>
      <c r="K406" s="1470">
        <v>42463</v>
      </c>
      <c r="L406" s="1471"/>
      <c r="M406" s="1472">
        <v>0</v>
      </c>
      <c r="N406" s="1473">
        <v>1.1498724122634061</v>
      </c>
      <c r="O406" s="1473">
        <v>1.1498724122634061</v>
      </c>
    </row>
    <row r="407" spans="2:15">
      <c r="B407" s="1389">
        <v>44805</v>
      </c>
      <c r="C407" s="1390">
        <v>1188.5886370999999</v>
      </c>
      <c r="D407" s="1390">
        <v>6404.6441200300005</v>
      </c>
      <c r="E407" s="1390">
        <v>1.010719822473549</v>
      </c>
      <c r="F407" s="1390">
        <v>68.823922966190082</v>
      </c>
      <c r="K407" s="1470">
        <v>42464</v>
      </c>
      <c r="L407" s="1471" t="s">
        <v>2129</v>
      </c>
      <c r="M407" s="1472">
        <v>5.2531000000000001E-2</v>
      </c>
      <c r="N407" s="1473">
        <v>1.1504764517402921</v>
      </c>
      <c r="O407" s="1473">
        <v>1.1504764517402921</v>
      </c>
    </row>
    <row r="408" spans="2:15">
      <c r="B408" s="1389">
        <v>44835</v>
      </c>
      <c r="C408" s="1390">
        <v>1195.4598680110751</v>
      </c>
      <c r="D408" s="1390">
        <v>6437.1220703626732</v>
      </c>
      <c r="E408" s="1390">
        <v>1.0102067586649579</v>
      </c>
      <c r="F408" s="1390">
        <v>69.526392138281636</v>
      </c>
      <c r="K408" s="1470">
        <v>42465</v>
      </c>
      <c r="L408" s="1471" t="s">
        <v>2129</v>
      </c>
      <c r="M408" s="1472">
        <v>5.2531000000000001E-2</v>
      </c>
      <c r="N408" s="1473">
        <v>1.1510808085251558</v>
      </c>
      <c r="O408" s="1473">
        <v>1.1510808085251558</v>
      </c>
    </row>
    <row r="409" spans="2:15">
      <c r="B409" s="1389">
        <v>44866</v>
      </c>
      <c r="C409" s="1390">
        <v>1202.90399660918</v>
      </c>
      <c r="D409" s="1390">
        <v>6470.2603747808998</v>
      </c>
      <c r="E409" s="1390">
        <v>1.0102067586649579</v>
      </c>
      <c r="F409" s="1390">
        <v>70.236031243682305</v>
      </c>
      <c r="K409" s="1470">
        <v>42466</v>
      </c>
      <c r="L409" s="1471" t="s">
        <v>2129</v>
      </c>
      <c r="M409" s="1472">
        <v>5.2531000000000001E-2</v>
      </c>
      <c r="N409" s="1473">
        <v>1.1516854827846821</v>
      </c>
      <c r="O409" s="1473">
        <v>1.1516854827846821</v>
      </c>
    </row>
    <row r="410" spans="2:15">
      <c r="B410" s="1389">
        <v>44896</v>
      </c>
      <c r="C410" s="1390">
        <v>1210.0636811969978</v>
      </c>
      <c r="D410" s="1390">
        <v>6518.3732309277702</v>
      </c>
      <c r="E410" s="1390">
        <v>1.0112331468569864</v>
      </c>
      <c r="F410" s="1390">
        <v>71.02500289729447</v>
      </c>
      <c r="K410" s="1470">
        <v>42467</v>
      </c>
      <c r="L410" s="1471" t="s">
        <v>2129</v>
      </c>
      <c r="M410" s="1472">
        <v>5.2531000000000001E-2</v>
      </c>
      <c r="N410" s="1473">
        <v>1.1522904746856437</v>
      </c>
      <c r="O410" s="1473">
        <v>1.1522904746856437</v>
      </c>
    </row>
    <row r="411" spans="2:15">
      <c r="B411" s="1389">
        <v>44927</v>
      </c>
      <c r="C411" s="1390">
        <v>1216.2204852069281</v>
      </c>
      <c r="D411" s="1390">
        <v>6562.8546098556208</v>
      </c>
      <c r="E411" s="1390">
        <v>1.0112331468569866</v>
      </c>
      <c r="F411" s="1390">
        <v>71.822837185357685</v>
      </c>
      <c r="K411" s="1470">
        <v>42468</v>
      </c>
      <c r="L411" s="1471" t="s">
        <v>2129</v>
      </c>
      <c r="M411" s="1472">
        <v>5.2531000000000001E-2</v>
      </c>
      <c r="N411" s="1473">
        <v>1.1528957843949008</v>
      </c>
      <c r="O411" s="1473">
        <v>1.1528957843949008</v>
      </c>
    </row>
    <row r="412" spans="2:15">
      <c r="B412" s="1389">
        <v>44958</v>
      </c>
      <c r="C412" s="1390">
        <v>1221.2130702987026</v>
      </c>
      <c r="D412" s="1390">
        <v>6605.2243992168487</v>
      </c>
      <c r="E412" s="1390">
        <v>1.0091814122432907</v>
      </c>
      <c r="F412" s="1390">
        <v>72.482272262039203</v>
      </c>
      <c r="K412" s="1470">
        <v>42469</v>
      </c>
      <c r="L412" s="1471"/>
      <c r="M412" s="1472">
        <v>0</v>
      </c>
      <c r="N412" s="1473">
        <v>1.1528957843949008</v>
      </c>
      <c r="O412" s="1473">
        <v>1.1528957843949008</v>
      </c>
    </row>
    <row r="413" spans="2:15">
      <c r="B413" s="1389">
        <v>44986</v>
      </c>
      <c r="C413" s="1390">
        <v>1226.0405255655935</v>
      </c>
      <c r="D413" s="1390">
        <v>6636.5860046643302</v>
      </c>
      <c r="E413" s="1390">
        <v>1.0117467319476126</v>
      </c>
      <c r="F413" s="1390">
        <v>73.333702085255254</v>
      </c>
      <c r="K413" s="1470">
        <v>42470</v>
      </c>
      <c r="L413" s="1471"/>
      <c r="M413" s="1472">
        <v>0</v>
      </c>
      <c r="N413" s="1473">
        <v>1.1528957843949008</v>
      </c>
      <c r="O413" s="1473">
        <v>1.1528957843949008</v>
      </c>
    </row>
    <row r="414" spans="2:15">
      <c r="B414" s="1389">
        <v>45017</v>
      </c>
      <c r="C414" s="1390">
        <v>1230.1955769067354</v>
      </c>
      <c r="D414" s="1390">
        <v>6667.1143002857852</v>
      </c>
      <c r="E414" s="1390">
        <v>1.0091814122432907</v>
      </c>
      <c r="F414" s="1390">
        <v>74.007009035426648</v>
      </c>
      <c r="K414" s="1470">
        <v>42471</v>
      </c>
      <c r="L414" s="1471" t="s">
        <v>2129</v>
      </c>
      <c r="M414" s="1472">
        <v>5.2531000000000001E-2</v>
      </c>
      <c r="N414" s="1473">
        <v>1.1535014120794014</v>
      </c>
      <c r="O414" s="1473">
        <v>1.1535014120794014</v>
      </c>
    </row>
    <row r="415" spans="2:15">
      <c r="B415" s="1389">
        <v>45047</v>
      </c>
      <c r="C415" s="1390">
        <v>1233.7926687736106</v>
      </c>
      <c r="D415" s="1390">
        <v>6689.8024902496581</v>
      </c>
      <c r="E415" s="1390">
        <v>1.0112331468569866</v>
      </c>
      <c r="F415" s="1390">
        <v>74.838340636367931</v>
      </c>
      <c r="K415" s="1470">
        <v>42472</v>
      </c>
      <c r="L415" s="1471" t="s">
        <v>2129</v>
      </c>
      <c r="M415" s="1472">
        <v>5.2531000000000001E-2</v>
      </c>
      <c r="N415" s="1473">
        <v>1.1541073579061809</v>
      </c>
      <c r="O415" s="1473">
        <v>1.1541073579061809</v>
      </c>
    </row>
    <row r="416" spans="2:15">
      <c r="B416" s="1389">
        <v>45078</v>
      </c>
      <c r="C416" s="1390">
        <v>1238.0924362242865</v>
      </c>
      <c r="D416" s="1390">
        <v>6710.8887476989257</v>
      </c>
      <c r="E416" s="1390">
        <v>1.010719822473549</v>
      </c>
      <c r="F416" s="1390">
        <v>75.64059436220478</v>
      </c>
      <c r="K416" s="1470">
        <v>42473</v>
      </c>
      <c r="L416" s="1471" t="s">
        <v>2129</v>
      </c>
      <c r="M416" s="1472">
        <v>5.2531000000000001E-2</v>
      </c>
      <c r="N416" s="1473">
        <v>1.1547136220423626</v>
      </c>
      <c r="O416" s="1473">
        <v>1.1547136220423626</v>
      </c>
    </row>
    <row r="417" spans="2:15">
      <c r="B417" s="1389">
        <v>45108</v>
      </c>
      <c r="C417" s="1390">
        <v>1241.6878566590819</v>
      </c>
      <c r="D417" s="1390">
        <v>6731.658948373054</v>
      </c>
      <c r="E417" s="1390">
        <v>1.0107198224735483</v>
      </c>
      <c r="F417" s="1390">
        <v>76.451448105561298</v>
      </c>
      <c r="K417" s="1470">
        <v>42474</v>
      </c>
      <c r="L417" s="1471" t="s">
        <v>2129</v>
      </c>
      <c r="M417" s="1472">
        <v>5.2531000000000001E-2</v>
      </c>
      <c r="N417" s="1473">
        <v>1.1553202046551576</v>
      </c>
      <c r="O417" s="1473">
        <v>1.1553202046551576</v>
      </c>
    </row>
    <row r="418" spans="2:15">
      <c r="B418" s="1389">
        <v>45139</v>
      </c>
      <c r="C418" s="1390">
        <v>1245.6153153496946</v>
      </c>
      <c r="D418" s="1390">
        <v>6747.6399067164921</v>
      </c>
      <c r="E418" s="1390">
        <v>1.0117467319476126</v>
      </c>
      <c r="F418" s="1390">
        <v>77.349502773464138</v>
      </c>
      <c r="K418" s="1470">
        <v>42475</v>
      </c>
      <c r="L418" s="1471" t="s">
        <v>2129</v>
      </c>
      <c r="M418" s="1472">
        <v>5.2531000000000001E-2</v>
      </c>
      <c r="N418" s="1473">
        <v>1.155927105911865</v>
      </c>
      <c r="O418" s="1473">
        <v>1.155927105911865</v>
      </c>
    </row>
    <row r="419" spans="2:15">
      <c r="B419" s="1389">
        <v>45170</v>
      </c>
      <c r="C419" s="1390">
        <v>1251.1570578876854</v>
      </c>
      <c r="D419" s="1390">
        <v>6769.6169698926678</v>
      </c>
      <c r="E419" s="1390">
        <v>1.0102067586649579</v>
      </c>
      <c r="F419" s="1390">
        <v>78.138990481127379</v>
      </c>
      <c r="K419" s="1470">
        <v>42476</v>
      </c>
      <c r="L419" s="1471"/>
      <c r="M419" s="1472">
        <v>0</v>
      </c>
      <c r="N419" s="1473">
        <v>1.155927105911865</v>
      </c>
      <c r="O419" s="1473">
        <v>1.155927105911865</v>
      </c>
    </row>
    <row r="420" spans="2:15">
      <c r="B420" s="1389">
        <v>45200</v>
      </c>
      <c r="C420" s="1390">
        <v>1257.0750307714941</v>
      </c>
      <c r="D420" s="1390">
        <v>6796.3637265407142</v>
      </c>
      <c r="E420" s="1390">
        <v>1.0107198224735487</v>
      </c>
      <c r="F420" s="1390">
        <v>78.976626587347383</v>
      </c>
      <c r="K420" s="1470">
        <v>42477</v>
      </c>
      <c r="L420" s="1471"/>
      <c r="M420" s="1472">
        <v>0</v>
      </c>
      <c r="N420" s="1473">
        <v>1.155927105911865</v>
      </c>
      <c r="O420" s="1473">
        <v>1.155927105911865</v>
      </c>
    </row>
    <row r="421" spans="2:15">
      <c r="B421" s="1389">
        <v>45231</v>
      </c>
      <c r="C421" s="1390">
        <v>1262.6702717334581</v>
      </c>
      <c r="D421" s="1390">
        <v>6821.4830868740082</v>
      </c>
      <c r="E421" s="1390">
        <v>1.0102067586649577</v>
      </c>
      <c r="F421" s="1390">
        <v>79.782721955096918</v>
      </c>
      <c r="K421" s="1470">
        <v>42478</v>
      </c>
      <c r="L421" s="1471" t="s">
        <v>2129</v>
      </c>
      <c r="M421" s="1472">
        <v>5.2531000000000001E-2</v>
      </c>
      <c r="N421" s="1473">
        <v>1.1565343259798715</v>
      </c>
      <c r="O421" s="1473">
        <v>1.1565343259798715</v>
      </c>
    </row>
    <row r="422" spans="2:15">
      <c r="B422" s="1389">
        <v>45261</v>
      </c>
      <c r="C422" s="1390">
        <v>1268.1742514479442</v>
      </c>
      <c r="D422" s="1390">
        <v>6857.9166280410027</v>
      </c>
      <c r="E422" s="1390">
        <v>1.0102067586649579</v>
      </c>
      <c r="F422" s="1390">
        <v>80.597044943726033</v>
      </c>
      <c r="K422" s="1470">
        <v>42479</v>
      </c>
      <c r="L422" s="1471" t="s">
        <v>2129</v>
      </c>
      <c r="M422" s="1472">
        <v>5.2531000000000001E-2</v>
      </c>
      <c r="N422" s="1473">
        <v>1.1571418650266521</v>
      </c>
      <c r="O422" s="1473">
        <v>1.1571418650266521</v>
      </c>
    </row>
    <row r="423" spans="2:15">
      <c r="B423" s="1389">
        <v>45292</v>
      </c>
      <c r="C423" s="1390" t="e">
        <v>#N/A</v>
      </c>
      <c r="D423" s="1390" t="e">
        <v>#N/A</v>
      </c>
      <c r="E423" s="1390" t="e">
        <v>#N/A</v>
      </c>
      <c r="F423" s="1390" t="e">
        <f t="shared" ref="F423:F483" si="0">F422*E423</f>
        <v>#N/A</v>
      </c>
      <c r="K423" s="1470">
        <v>42480</v>
      </c>
      <c r="L423" s="1471" t="s">
        <v>2129</v>
      </c>
      <c r="M423" s="1472">
        <v>5.2531000000000001E-2</v>
      </c>
      <c r="N423" s="1473">
        <v>1.1577497232197693</v>
      </c>
      <c r="O423" s="1473">
        <v>1.1577497232197693</v>
      </c>
    </row>
    <row r="424" spans="2:15">
      <c r="B424" s="1389">
        <v>45323</v>
      </c>
      <c r="C424" s="1390" t="e">
        <v>#N/A</v>
      </c>
      <c r="D424" s="1390" t="e">
        <v>#N/A</v>
      </c>
      <c r="E424" s="1390" t="e">
        <v>#N/A</v>
      </c>
      <c r="F424" s="1390" t="e">
        <f t="shared" si="0"/>
        <v>#N/A</v>
      </c>
      <c r="K424" s="1470">
        <v>42481</v>
      </c>
      <c r="L424" s="1471"/>
      <c r="M424" s="1472">
        <v>0</v>
      </c>
      <c r="N424" s="1473">
        <v>1.1577497232197693</v>
      </c>
      <c r="O424" s="1473">
        <v>1.1577497232197693</v>
      </c>
    </row>
    <row r="425" spans="2:15">
      <c r="B425" s="1389">
        <v>45352</v>
      </c>
      <c r="C425" s="1390" t="e">
        <v>#N/A</v>
      </c>
      <c r="D425" s="1390" t="e">
        <v>#N/A</v>
      </c>
      <c r="E425" s="1390" t="e">
        <v>#N/A</v>
      </c>
      <c r="F425" s="1390" t="e">
        <f t="shared" si="0"/>
        <v>#N/A</v>
      </c>
      <c r="K425" s="1470">
        <v>42482</v>
      </c>
      <c r="L425" s="1471" t="s">
        <v>2129</v>
      </c>
      <c r="M425" s="1472">
        <v>5.2531000000000001E-2</v>
      </c>
      <c r="N425" s="1473">
        <v>1.1583579007268738</v>
      </c>
      <c r="O425" s="1473">
        <v>1.1583579007268738</v>
      </c>
    </row>
    <row r="426" spans="2:15">
      <c r="B426" s="1389">
        <v>45383</v>
      </c>
      <c r="C426" s="1390" t="e">
        <v>#N/A</v>
      </c>
      <c r="D426" s="1390" t="e">
        <v>#N/A</v>
      </c>
      <c r="E426" s="1390" t="e">
        <v>#N/A</v>
      </c>
      <c r="F426" s="1390" t="e">
        <f t="shared" si="0"/>
        <v>#N/A</v>
      </c>
      <c r="K426" s="1470">
        <v>42483</v>
      </c>
      <c r="L426" s="1471"/>
      <c r="M426" s="1472">
        <v>0</v>
      </c>
      <c r="N426" s="1473">
        <v>1.1583579007268738</v>
      </c>
      <c r="O426" s="1473">
        <v>1.1583579007268738</v>
      </c>
    </row>
    <row r="427" spans="2:15">
      <c r="B427" s="1389">
        <v>45413</v>
      </c>
      <c r="C427" s="1390" t="e">
        <v>#N/A</v>
      </c>
      <c r="D427" s="1390" t="e">
        <v>#N/A</v>
      </c>
      <c r="E427" s="1390" t="e">
        <v>#N/A</v>
      </c>
      <c r="F427" s="1390" t="e">
        <f t="shared" si="0"/>
        <v>#N/A</v>
      </c>
      <c r="K427" s="1470">
        <v>42484</v>
      </c>
      <c r="L427" s="1471"/>
      <c r="M427" s="1472">
        <v>0</v>
      </c>
      <c r="N427" s="1473">
        <v>1.1583579007268738</v>
      </c>
      <c r="O427" s="1473">
        <v>1.1583579007268738</v>
      </c>
    </row>
    <row r="428" spans="2:15">
      <c r="B428" s="1389">
        <v>45444</v>
      </c>
      <c r="C428" s="1390" t="e">
        <v>#N/A</v>
      </c>
      <c r="D428" s="1390" t="e">
        <v>#N/A</v>
      </c>
      <c r="E428" s="1390" t="e">
        <v>#N/A</v>
      </c>
      <c r="F428" s="1390" t="e">
        <f t="shared" si="0"/>
        <v>#N/A</v>
      </c>
      <c r="K428" s="1470">
        <v>42485</v>
      </c>
      <c r="L428" s="1471" t="s">
        <v>2129</v>
      </c>
      <c r="M428" s="1472">
        <v>5.2531000000000001E-2</v>
      </c>
      <c r="N428" s="1473">
        <v>1.1589663977157048</v>
      </c>
      <c r="O428" s="1473">
        <v>1.1589663977157048</v>
      </c>
    </row>
    <row r="429" spans="2:15">
      <c r="B429" s="1389">
        <v>45474</v>
      </c>
      <c r="C429" s="1390" t="e">
        <v>#N/A</v>
      </c>
      <c r="D429" s="1390" t="e">
        <v>#N/A</v>
      </c>
      <c r="E429" s="1390" t="e">
        <v>#N/A</v>
      </c>
      <c r="F429" s="1390" t="e">
        <f t="shared" si="0"/>
        <v>#N/A</v>
      </c>
      <c r="K429" s="1470">
        <v>42486</v>
      </c>
      <c r="L429" s="1471" t="s">
        <v>2129</v>
      </c>
      <c r="M429" s="1472">
        <v>5.2531000000000001E-2</v>
      </c>
      <c r="N429" s="1473">
        <v>1.1595752143540887</v>
      </c>
      <c r="O429" s="1473">
        <v>1.1595752143540887</v>
      </c>
    </row>
    <row r="430" spans="2:15">
      <c r="B430" s="1389">
        <v>45505</v>
      </c>
      <c r="C430" s="1390" t="e">
        <v>#N/A</v>
      </c>
      <c r="D430" s="1390" t="e">
        <v>#N/A</v>
      </c>
      <c r="E430" s="1390" t="e">
        <v>#N/A</v>
      </c>
      <c r="F430" s="1390" t="e">
        <f t="shared" si="0"/>
        <v>#N/A</v>
      </c>
      <c r="K430" s="1470">
        <v>42487</v>
      </c>
      <c r="L430" s="1471" t="s">
        <v>2129</v>
      </c>
      <c r="M430" s="1472">
        <v>5.2531000000000001E-2</v>
      </c>
      <c r="N430" s="1473">
        <v>1.160184350809941</v>
      </c>
      <c r="O430" s="1473">
        <v>1.160184350809941</v>
      </c>
    </row>
    <row r="431" spans="2:15">
      <c r="B431" s="1389">
        <v>45536</v>
      </c>
      <c r="C431" s="1390" t="e">
        <v>#N/A</v>
      </c>
      <c r="D431" s="1390" t="e">
        <v>#N/A</v>
      </c>
      <c r="E431" s="1390" t="e">
        <v>#N/A</v>
      </c>
      <c r="F431" s="1390" t="e">
        <f t="shared" si="0"/>
        <v>#N/A</v>
      </c>
      <c r="K431" s="1470">
        <v>42488</v>
      </c>
      <c r="L431" s="1471" t="s">
        <v>2129</v>
      </c>
      <c r="M431" s="1472">
        <v>5.2531000000000001E-2</v>
      </c>
      <c r="N431" s="1473">
        <v>1.1607938072512649</v>
      </c>
      <c r="O431" s="1473">
        <v>1.1607938072512649</v>
      </c>
    </row>
    <row r="432" spans="2:15">
      <c r="B432" s="1389">
        <v>45566</v>
      </c>
      <c r="C432" s="1390" t="e">
        <v>#N/A</v>
      </c>
      <c r="D432" s="1390" t="e">
        <v>#N/A</v>
      </c>
      <c r="E432" s="1390" t="e">
        <v>#N/A</v>
      </c>
      <c r="F432" s="1390" t="e">
        <f t="shared" si="0"/>
        <v>#N/A</v>
      </c>
      <c r="K432" s="1470">
        <v>42489</v>
      </c>
      <c r="L432" s="1471" t="s">
        <v>2129</v>
      </c>
      <c r="M432" s="1472">
        <v>5.2531000000000001E-2</v>
      </c>
      <c r="N432" s="1473">
        <v>1.1614035838461521</v>
      </c>
      <c r="O432" s="1473">
        <v>1.1614035838461521</v>
      </c>
    </row>
    <row r="433" spans="2:15">
      <c r="B433" s="1389">
        <v>45597</v>
      </c>
      <c r="C433" s="1390" t="e">
        <v>#N/A</v>
      </c>
      <c r="D433" s="1390" t="e">
        <v>#N/A</v>
      </c>
      <c r="E433" s="1390" t="e">
        <v>#N/A</v>
      </c>
      <c r="F433" s="1390" t="e">
        <f t="shared" si="0"/>
        <v>#N/A</v>
      </c>
      <c r="K433" s="1470">
        <v>42490</v>
      </c>
      <c r="L433" s="1471"/>
      <c r="M433" s="1472">
        <v>0</v>
      </c>
      <c r="N433" s="1473">
        <v>1.1614035838461521</v>
      </c>
      <c r="O433" s="1473">
        <v>1.1614035838461521</v>
      </c>
    </row>
    <row r="434" spans="2:15">
      <c r="B434" s="1389">
        <v>45627</v>
      </c>
      <c r="C434" s="1390" t="e">
        <v>#N/A</v>
      </c>
      <c r="D434" s="1390" t="e">
        <v>#N/A</v>
      </c>
      <c r="E434" s="1390" t="e">
        <v>#N/A</v>
      </c>
      <c r="F434" s="1390" t="e">
        <f t="shared" si="0"/>
        <v>#N/A</v>
      </c>
      <c r="K434" s="1470">
        <v>42491</v>
      </c>
      <c r="L434" s="1471"/>
      <c r="M434" s="1472">
        <v>0</v>
      </c>
      <c r="N434" s="1473">
        <v>1.1614035838461521</v>
      </c>
      <c r="O434" s="1473">
        <v>1.1614035838461521</v>
      </c>
    </row>
    <row r="435" spans="2:15">
      <c r="B435" s="1389">
        <v>45658</v>
      </c>
      <c r="C435" s="1390" t="e">
        <v>#N/A</v>
      </c>
      <c r="D435" s="1390" t="e">
        <v>#N/A</v>
      </c>
      <c r="E435" s="1390" t="e">
        <v>#N/A</v>
      </c>
      <c r="F435" s="1390" t="e">
        <f t="shared" si="0"/>
        <v>#N/A</v>
      </c>
      <c r="K435" s="1470">
        <v>42492</v>
      </c>
      <c r="L435" s="1471" t="s">
        <v>2129</v>
      </c>
      <c r="M435" s="1472">
        <v>5.2531000000000001E-2</v>
      </c>
      <c r="N435" s="1473">
        <v>1.1620136807627823</v>
      </c>
      <c r="O435" s="1473">
        <v>1.1620136807627823</v>
      </c>
    </row>
    <row r="436" spans="2:15">
      <c r="B436" s="1389">
        <v>45689</v>
      </c>
      <c r="C436" s="1390" t="e">
        <v>#N/A</v>
      </c>
      <c r="D436" s="1390" t="e">
        <v>#N/A</v>
      </c>
      <c r="E436" s="1390" t="e">
        <v>#N/A</v>
      </c>
      <c r="F436" s="1390" t="e">
        <f t="shared" si="0"/>
        <v>#N/A</v>
      </c>
      <c r="K436" s="1470">
        <v>42493</v>
      </c>
      <c r="L436" s="1471" t="s">
        <v>2129</v>
      </c>
      <c r="M436" s="1472">
        <v>5.2531000000000001E-2</v>
      </c>
      <c r="N436" s="1473">
        <v>1.1626240981694238</v>
      </c>
      <c r="O436" s="1473">
        <v>1.1626240981694238</v>
      </c>
    </row>
    <row r="437" spans="2:15">
      <c r="B437" s="1389">
        <v>45717</v>
      </c>
      <c r="C437" s="1390" t="e">
        <v>#N/A</v>
      </c>
      <c r="D437" s="1390" t="e">
        <v>#N/A</v>
      </c>
      <c r="E437" s="1390" t="e">
        <v>#N/A</v>
      </c>
      <c r="F437" s="1390" t="e">
        <f t="shared" si="0"/>
        <v>#N/A</v>
      </c>
      <c r="K437" s="1470">
        <v>42494</v>
      </c>
      <c r="L437" s="1471" t="s">
        <v>2129</v>
      </c>
      <c r="M437" s="1472">
        <v>5.2531000000000001E-2</v>
      </c>
      <c r="N437" s="1473">
        <v>1.1632348362344331</v>
      </c>
      <c r="O437" s="1473">
        <v>1.1632348362344331</v>
      </c>
    </row>
    <row r="438" spans="2:15">
      <c r="B438" s="1389">
        <v>45748</v>
      </c>
      <c r="C438" s="1390" t="e">
        <v>#N/A</v>
      </c>
      <c r="D438" s="1390" t="e">
        <v>#N/A</v>
      </c>
      <c r="E438" s="1390" t="e">
        <v>#N/A</v>
      </c>
      <c r="F438" s="1390" t="e">
        <f t="shared" si="0"/>
        <v>#N/A</v>
      </c>
      <c r="K438" s="1470">
        <v>42495</v>
      </c>
      <c r="L438" s="1471" t="s">
        <v>2129</v>
      </c>
      <c r="M438" s="1472">
        <v>5.2531000000000001E-2</v>
      </c>
      <c r="N438" s="1473">
        <v>1.1638458951262554</v>
      </c>
      <c r="O438" s="1473">
        <v>1.1638458951262554</v>
      </c>
    </row>
    <row r="439" spans="2:15">
      <c r="B439" s="1389">
        <v>45778</v>
      </c>
      <c r="C439" s="1390" t="e">
        <v>#N/A</v>
      </c>
      <c r="D439" s="1390" t="e">
        <v>#N/A</v>
      </c>
      <c r="E439" s="1390" t="e">
        <v>#N/A</v>
      </c>
      <c r="F439" s="1390" t="e">
        <f t="shared" si="0"/>
        <v>#N/A</v>
      </c>
      <c r="K439" s="1470">
        <v>42496</v>
      </c>
      <c r="L439" s="1471" t="s">
        <v>2129</v>
      </c>
      <c r="M439" s="1472">
        <v>5.2531000000000001E-2</v>
      </c>
      <c r="N439" s="1473">
        <v>1.1644572750134241</v>
      </c>
      <c r="O439" s="1473">
        <v>1.1644572750134241</v>
      </c>
    </row>
    <row r="440" spans="2:15">
      <c r="B440" s="1389">
        <v>45809</v>
      </c>
      <c r="C440" s="1390" t="e">
        <v>#N/A</v>
      </c>
      <c r="D440" s="1390" t="e">
        <v>#N/A</v>
      </c>
      <c r="E440" s="1390" t="e">
        <v>#N/A</v>
      </c>
      <c r="F440" s="1390" t="e">
        <f t="shared" si="0"/>
        <v>#N/A</v>
      </c>
      <c r="K440" s="1470">
        <v>42497</v>
      </c>
      <c r="L440" s="1471"/>
      <c r="M440" s="1472">
        <v>0</v>
      </c>
      <c r="N440" s="1473">
        <v>1.1644572750134241</v>
      </c>
      <c r="O440" s="1473">
        <v>1.1644572750134241</v>
      </c>
    </row>
    <row r="441" spans="2:15">
      <c r="B441" s="1389">
        <v>45839</v>
      </c>
      <c r="C441" s="1390" t="e">
        <v>#N/A</v>
      </c>
      <c r="D441" s="1390" t="e">
        <v>#N/A</v>
      </c>
      <c r="E441" s="1390" t="e">
        <v>#N/A</v>
      </c>
      <c r="F441" s="1390" t="e">
        <f t="shared" si="0"/>
        <v>#N/A</v>
      </c>
      <c r="K441" s="1470">
        <v>42498</v>
      </c>
      <c r="L441" s="1471"/>
      <c r="M441" s="1472">
        <v>0</v>
      </c>
      <c r="N441" s="1473">
        <v>1.1644572750134241</v>
      </c>
      <c r="O441" s="1473">
        <v>1.1644572750134241</v>
      </c>
    </row>
    <row r="442" spans="2:15">
      <c r="B442" s="1389">
        <v>45870</v>
      </c>
      <c r="C442" s="1390" t="e">
        <v>#N/A</v>
      </c>
      <c r="D442" s="1390" t="e">
        <v>#N/A</v>
      </c>
      <c r="E442" s="1390" t="e">
        <v>#N/A</v>
      </c>
      <c r="F442" s="1390" t="e">
        <f t="shared" si="0"/>
        <v>#N/A</v>
      </c>
      <c r="K442" s="1470">
        <v>42499</v>
      </c>
      <c r="L442" s="1471" t="s">
        <v>2129</v>
      </c>
      <c r="M442" s="1472">
        <v>5.2531000000000001E-2</v>
      </c>
      <c r="N442" s="1473">
        <v>1.1650689760645614</v>
      </c>
      <c r="O442" s="1473">
        <v>1.1650689760645614</v>
      </c>
    </row>
    <row r="443" spans="2:15">
      <c r="B443" s="1389">
        <v>45901</v>
      </c>
      <c r="C443" s="1390" t="e">
        <v>#N/A</v>
      </c>
      <c r="D443" s="1390" t="e">
        <v>#N/A</v>
      </c>
      <c r="E443" s="1390" t="e">
        <v>#N/A</v>
      </c>
      <c r="F443" s="1390" t="e">
        <f t="shared" si="0"/>
        <v>#N/A</v>
      </c>
      <c r="K443" s="1470">
        <v>42500</v>
      </c>
      <c r="L443" s="1471" t="s">
        <v>2129</v>
      </c>
      <c r="M443" s="1472">
        <v>5.2531000000000001E-2</v>
      </c>
      <c r="N443" s="1473">
        <v>1.1656809984483778</v>
      </c>
      <c r="O443" s="1473">
        <v>1.1656809984483778</v>
      </c>
    </row>
    <row r="444" spans="2:15">
      <c r="B444" s="1389">
        <v>45931</v>
      </c>
      <c r="C444" s="1390" t="e">
        <v>#N/A</v>
      </c>
      <c r="D444" s="1390" t="e">
        <v>#N/A</v>
      </c>
      <c r="E444" s="1390" t="e">
        <v>#N/A</v>
      </c>
      <c r="F444" s="1390" t="e">
        <f t="shared" si="0"/>
        <v>#N/A</v>
      </c>
      <c r="K444" s="1470">
        <v>42501</v>
      </c>
      <c r="L444" s="1471" t="s">
        <v>2129</v>
      </c>
      <c r="M444" s="1472">
        <v>5.2531000000000001E-2</v>
      </c>
      <c r="N444" s="1473">
        <v>1.1662933423336728</v>
      </c>
      <c r="O444" s="1473">
        <v>1.1662933423336728</v>
      </c>
    </row>
    <row r="445" spans="2:15">
      <c r="B445" s="1389">
        <v>45962</v>
      </c>
      <c r="C445" s="1390" t="e">
        <v>#N/A</v>
      </c>
      <c r="D445" s="1390" t="e">
        <v>#N/A</v>
      </c>
      <c r="E445" s="1390" t="e">
        <v>#N/A</v>
      </c>
      <c r="F445" s="1390" t="e">
        <f t="shared" si="0"/>
        <v>#N/A</v>
      </c>
      <c r="K445" s="1470">
        <v>42502</v>
      </c>
      <c r="L445" s="1471" t="s">
        <v>2129</v>
      </c>
      <c r="M445" s="1472">
        <v>5.2531000000000001E-2</v>
      </c>
      <c r="N445" s="1473">
        <v>1.1669060078893341</v>
      </c>
      <c r="O445" s="1473">
        <v>1.1669060078893341</v>
      </c>
    </row>
    <row r="446" spans="2:15">
      <c r="B446" s="1389">
        <v>45992</v>
      </c>
      <c r="C446" s="1390" t="e">
        <v>#N/A</v>
      </c>
      <c r="D446" s="1390" t="e">
        <v>#N/A</v>
      </c>
      <c r="E446" s="1390" t="e">
        <v>#N/A</v>
      </c>
      <c r="F446" s="1390" t="e">
        <f t="shared" si="0"/>
        <v>#N/A</v>
      </c>
      <c r="K446" s="1470">
        <v>42503</v>
      </c>
      <c r="L446" s="1471" t="s">
        <v>2129</v>
      </c>
      <c r="M446" s="1472">
        <v>5.2531000000000001E-2</v>
      </c>
      <c r="N446" s="1473">
        <v>1.1675189952843383</v>
      </c>
      <c r="O446" s="1473">
        <v>1.1675189952843383</v>
      </c>
    </row>
    <row r="447" spans="2:15">
      <c r="B447" s="1389">
        <v>46023</v>
      </c>
      <c r="C447" s="1390" t="e">
        <v>#N/A</v>
      </c>
      <c r="D447" s="1390" t="e">
        <v>#N/A</v>
      </c>
      <c r="E447" s="1390" t="e">
        <v>#N/A</v>
      </c>
      <c r="F447" s="1390" t="e">
        <f t="shared" si="0"/>
        <v>#N/A</v>
      </c>
      <c r="K447" s="1470">
        <v>42504</v>
      </c>
      <c r="L447" s="1471"/>
      <c r="M447" s="1472">
        <v>0</v>
      </c>
      <c r="N447" s="1473">
        <v>1.1675189952843383</v>
      </c>
      <c r="O447" s="1473">
        <v>1.1675189952843383</v>
      </c>
    </row>
    <row r="448" spans="2:15">
      <c r="B448" s="1389">
        <v>46054</v>
      </c>
      <c r="C448" s="1390" t="e">
        <v>#N/A</v>
      </c>
      <c r="D448" s="1390" t="e">
        <v>#N/A</v>
      </c>
      <c r="E448" s="1390" t="e">
        <v>#N/A</v>
      </c>
      <c r="F448" s="1390" t="e">
        <f t="shared" si="0"/>
        <v>#N/A</v>
      </c>
      <c r="K448" s="1470">
        <v>42505</v>
      </c>
      <c r="L448" s="1471"/>
      <c r="M448" s="1472">
        <v>0</v>
      </c>
      <c r="N448" s="1473">
        <v>1.1675189952843383</v>
      </c>
      <c r="O448" s="1473">
        <v>1.1675189952843383</v>
      </c>
    </row>
    <row r="449" spans="2:15">
      <c r="B449" s="1389">
        <v>46082</v>
      </c>
      <c r="C449" s="1390" t="e">
        <v>#N/A</v>
      </c>
      <c r="D449" s="1390" t="e">
        <v>#N/A</v>
      </c>
      <c r="E449" s="1390" t="e">
        <v>#N/A</v>
      </c>
      <c r="F449" s="1390" t="e">
        <f t="shared" si="0"/>
        <v>#N/A</v>
      </c>
      <c r="K449" s="1470">
        <v>42506</v>
      </c>
      <c r="L449" s="1471" t="s">
        <v>2129</v>
      </c>
      <c r="M449" s="1472">
        <v>5.2531000000000001E-2</v>
      </c>
      <c r="N449" s="1473">
        <v>1.1681323046877512</v>
      </c>
      <c r="O449" s="1473">
        <v>1.1681323046877512</v>
      </c>
    </row>
    <row r="450" spans="2:15">
      <c r="B450" s="1389">
        <v>46113</v>
      </c>
      <c r="C450" s="1390" t="e">
        <v>#N/A</v>
      </c>
      <c r="D450" s="1390" t="e">
        <v>#N/A</v>
      </c>
      <c r="E450" s="1390" t="e">
        <v>#N/A</v>
      </c>
      <c r="F450" s="1390" t="e">
        <f t="shared" si="0"/>
        <v>#N/A</v>
      </c>
      <c r="K450" s="1470">
        <v>42507</v>
      </c>
      <c r="L450" s="1471" t="s">
        <v>2129</v>
      </c>
      <c r="M450" s="1472">
        <v>5.2531000000000001E-2</v>
      </c>
      <c r="N450" s="1473">
        <v>1.1687459362687267</v>
      </c>
      <c r="O450" s="1473">
        <v>1.1687459362687267</v>
      </c>
    </row>
    <row r="451" spans="2:15">
      <c r="B451" s="1389">
        <v>46143</v>
      </c>
      <c r="C451" s="1390" t="e">
        <v>#N/A</v>
      </c>
      <c r="D451" s="1390" t="e">
        <v>#N/A</v>
      </c>
      <c r="E451" s="1390" t="e">
        <v>#N/A</v>
      </c>
      <c r="F451" s="1390" t="e">
        <f t="shared" si="0"/>
        <v>#N/A</v>
      </c>
      <c r="K451" s="1470">
        <v>42508</v>
      </c>
      <c r="L451" s="1471" t="s">
        <v>2129</v>
      </c>
      <c r="M451" s="1472">
        <v>5.2531000000000001E-2</v>
      </c>
      <c r="N451" s="1473">
        <v>1.1693598901965081</v>
      </c>
      <c r="O451" s="1473">
        <v>1.1693598901965081</v>
      </c>
    </row>
    <row r="452" spans="2:15">
      <c r="B452" s="1389">
        <v>46174</v>
      </c>
      <c r="C452" s="1390" t="e">
        <v>#N/A</v>
      </c>
      <c r="D452" s="1390" t="e">
        <v>#N/A</v>
      </c>
      <c r="E452" s="1390" t="e">
        <v>#N/A</v>
      </c>
      <c r="F452" s="1390" t="e">
        <f t="shared" si="0"/>
        <v>#N/A</v>
      </c>
      <c r="K452" s="1470">
        <v>42509</v>
      </c>
      <c r="L452" s="1471" t="s">
        <v>2129</v>
      </c>
      <c r="M452" s="1472">
        <v>5.2531000000000001E-2</v>
      </c>
      <c r="N452" s="1473">
        <v>1.1699741666404273</v>
      </c>
      <c r="O452" s="1473">
        <v>1.1699741666404273</v>
      </c>
    </row>
    <row r="453" spans="2:15">
      <c r="B453" s="1389">
        <v>46204</v>
      </c>
      <c r="C453" s="1390" t="e">
        <v>#N/A</v>
      </c>
      <c r="D453" s="1390" t="e">
        <v>#N/A</v>
      </c>
      <c r="E453" s="1390" t="e">
        <v>#N/A</v>
      </c>
      <c r="F453" s="1390" t="e">
        <f t="shared" si="0"/>
        <v>#N/A</v>
      </c>
      <c r="K453" s="1470">
        <v>42510</v>
      </c>
      <c r="L453" s="1471" t="s">
        <v>2129</v>
      </c>
      <c r="M453" s="1472">
        <v>5.2531000000000001E-2</v>
      </c>
      <c r="N453" s="1473">
        <v>1.1705887657699052</v>
      </c>
      <c r="O453" s="1473">
        <v>1.1705887657699052</v>
      </c>
    </row>
    <row r="454" spans="2:15">
      <c r="B454" s="1389">
        <v>46235</v>
      </c>
      <c r="C454" s="1390" t="e">
        <v>#N/A</v>
      </c>
      <c r="D454" s="1390" t="e">
        <v>#N/A</v>
      </c>
      <c r="E454" s="1390" t="e">
        <v>#N/A</v>
      </c>
      <c r="F454" s="1390" t="e">
        <f t="shared" si="0"/>
        <v>#N/A</v>
      </c>
      <c r="K454" s="1470">
        <v>42511</v>
      </c>
      <c r="L454" s="1471"/>
      <c r="M454" s="1472">
        <v>0</v>
      </c>
      <c r="N454" s="1473">
        <v>1.1705887657699052</v>
      </c>
      <c r="O454" s="1473">
        <v>1.1705887657699052</v>
      </c>
    </row>
    <row r="455" spans="2:15">
      <c r="B455" s="1389">
        <v>46266</v>
      </c>
      <c r="C455" s="1390" t="e">
        <v>#N/A</v>
      </c>
      <c r="D455" s="1390" t="e">
        <v>#N/A</v>
      </c>
      <c r="E455" s="1390" t="e">
        <v>#N/A</v>
      </c>
      <c r="F455" s="1390" t="e">
        <f t="shared" si="0"/>
        <v>#N/A</v>
      </c>
      <c r="K455" s="1470">
        <v>42512</v>
      </c>
      <c r="L455" s="1471"/>
      <c r="M455" s="1472">
        <v>0</v>
      </c>
      <c r="N455" s="1473">
        <v>1.1705887657699052</v>
      </c>
      <c r="O455" s="1473">
        <v>1.1705887657699052</v>
      </c>
    </row>
    <row r="456" spans="2:15">
      <c r="B456" s="1389">
        <v>46296</v>
      </c>
      <c r="C456" s="1390" t="e">
        <v>#N/A</v>
      </c>
      <c r="D456" s="1390" t="e">
        <v>#N/A</v>
      </c>
      <c r="E456" s="1390" t="e">
        <v>#N/A</v>
      </c>
      <c r="F456" s="1390" t="e">
        <f t="shared" si="0"/>
        <v>#N/A</v>
      </c>
      <c r="K456" s="1470">
        <v>42513</v>
      </c>
      <c r="L456" s="1471" t="s">
        <v>2129</v>
      </c>
      <c r="M456" s="1472">
        <v>5.2531000000000001E-2</v>
      </c>
      <c r="N456" s="1473">
        <v>1.1712036877544518</v>
      </c>
      <c r="O456" s="1473">
        <v>1.1712036877544518</v>
      </c>
    </row>
    <row r="457" spans="2:15">
      <c r="B457" s="1389">
        <v>46327</v>
      </c>
      <c r="C457" s="1390" t="e">
        <v>#N/A</v>
      </c>
      <c r="D457" s="1390" t="e">
        <v>#N/A</v>
      </c>
      <c r="E457" s="1390" t="e">
        <v>#N/A</v>
      </c>
      <c r="F457" s="1390" t="e">
        <f t="shared" si="0"/>
        <v>#N/A</v>
      </c>
      <c r="K457" s="1470">
        <v>42514</v>
      </c>
      <c r="L457" s="1471" t="s">
        <v>2129</v>
      </c>
      <c r="M457" s="1472">
        <v>5.2531000000000001E-2</v>
      </c>
      <c r="N457" s="1473">
        <v>1.1718189327636661</v>
      </c>
      <c r="O457" s="1473">
        <v>1.1718189327636661</v>
      </c>
    </row>
    <row r="458" spans="2:15">
      <c r="B458" s="1389">
        <v>46357</v>
      </c>
      <c r="C458" s="1390" t="e">
        <v>#N/A</v>
      </c>
      <c r="D458" s="1390" t="e">
        <v>#N/A</v>
      </c>
      <c r="E458" s="1390" t="e">
        <v>#N/A</v>
      </c>
      <c r="F458" s="1390" t="e">
        <f t="shared" si="0"/>
        <v>#N/A</v>
      </c>
      <c r="K458" s="1470">
        <v>42515</v>
      </c>
      <c r="L458" s="1471" t="s">
        <v>2129</v>
      </c>
      <c r="M458" s="1472">
        <v>5.2531000000000001E-2</v>
      </c>
      <c r="N458" s="1473">
        <v>1.1724345009672361</v>
      </c>
      <c r="O458" s="1473">
        <v>1.1724345009672361</v>
      </c>
    </row>
    <row r="459" spans="2:15">
      <c r="B459" s="1389">
        <v>46388</v>
      </c>
      <c r="C459" s="1390" t="e">
        <v>#N/A</v>
      </c>
      <c r="D459" s="1390" t="e">
        <v>#N/A</v>
      </c>
      <c r="E459" s="1390" t="e">
        <v>#N/A</v>
      </c>
      <c r="F459" s="1390" t="e">
        <f t="shared" si="0"/>
        <v>#N/A</v>
      </c>
      <c r="K459" s="1470">
        <v>42516</v>
      </c>
      <c r="L459" s="1471"/>
      <c r="M459" s="1472">
        <v>0</v>
      </c>
      <c r="N459" s="1473">
        <v>1.1724345009672361</v>
      </c>
      <c r="O459" s="1473">
        <v>1.1724345009672361</v>
      </c>
    </row>
    <row r="460" spans="2:15">
      <c r="B460" s="1389">
        <v>46419</v>
      </c>
      <c r="C460" s="1390" t="e">
        <v>#N/A</v>
      </c>
      <c r="D460" s="1390" t="e">
        <v>#N/A</v>
      </c>
      <c r="E460" s="1390" t="e">
        <v>#N/A</v>
      </c>
      <c r="F460" s="1390" t="e">
        <f t="shared" si="0"/>
        <v>#N/A</v>
      </c>
      <c r="K460" s="1470">
        <v>42517</v>
      </c>
      <c r="L460" s="1471" t="s">
        <v>2129</v>
      </c>
      <c r="M460" s="1472">
        <v>5.2531000000000001E-2</v>
      </c>
      <c r="N460" s="1473">
        <v>1.1730503925349391</v>
      </c>
      <c r="O460" s="1473">
        <v>1.1730503925349391</v>
      </c>
    </row>
    <row r="461" spans="2:15">
      <c r="B461" s="1389">
        <v>46447</v>
      </c>
      <c r="C461" s="1390" t="e">
        <v>#N/A</v>
      </c>
      <c r="D461" s="1390" t="e">
        <v>#N/A</v>
      </c>
      <c r="E461" s="1390" t="e">
        <v>#N/A</v>
      </c>
      <c r="F461" s="1390" t="e">
        <f t="shared" si="0"/>
        <v>#N/A</v>
      </c>
      <c r="K461" s="1470">
        <v>42518</v>
      </c>
      <c r="L461" s="1471"/>
      <c r="M461" s="1472">
        <v>0</v>
      </c>
      <c r="N461" s="1473">
        <v>1.1730503925349391</v>
      </c>
      <c r="O461" s="1473">
        <v>1.1730503925349391</v>
      </c>
    </row>
    <row r="462" spans="2:15">
      <c r="B462" s="1389">
        <v>46478</v>
      </c>
      <c r="C462" s="1390" t="e">
        <v>#N/A</v>
      </c>
      <c r="D462" s="1390" t="e">
        <v>#N/A</v>
      </c>
      <c r="E462" s="1390" t="e">
        <v>#N/A</v>
      </c>
      <c r="F462" s="1390" t="e">
        <f t="shared" si="0"/>
        <v>#N/A</v>
      </c>
      <c r="K462" s="1470">
        <v>42519</v>
      </c>
      <c r="L462" s="1471"/>
      <c r="M462" s="1472">
        <v>0</v>
      </c>
      <c r="N462" s="1473">
        <v>1.1730503925349391</v>
      </c>
      <c r="O462" s="1473">
        <v>1.1730503925349391</v>
      </c>
    </row>
    <row r="463" spans="2:15">
      <c r="B463" s="1389">
        <v>46508</v>
      </c>
      <c r="C463" s="1390" t="e">
        <v>#N/A</v>
      </c>
      <c r="D463" s="1390" t="e">
        <v>#N/A</v>
      </c>
      <c r="E463" s="1390" t="e">
        <v>#N/A</v>
      </c>
      <c r="F463" s="1390" t="e">
        <f t="shared" si="0"/>
        <v>#N/A</v>
      </c>
      <c r="K463" s="1470">
        <v>42520</v>
      </c>
      <c r="L463" s="1471" t="s">
        <v>2129</v>
      </c>
      <c r="M463" s="1472">
        <v>5.2531000000000001E-2</v>
      </c>
      <c r="N463" s="1473">
        <v>1.1736666076366418</v>
      </c>
      <c r="O463" s="1473">
        <v>1.1736666076366418</v>
      </c>
    </row>
    <row r="464" spans="2:15">
      <c r="B464" s="1389">
        <v>46539</v>
      </c>
      <c r="C464" s="1390" t="e">
        <v>#N/A</v>
      </c>
      <c r="D464" s="1390" t="e">
        <v>#N/A</v>
      </c>
      <c r="E464" s="1390" t="e">
        <v>#N/A</v>
      </c>
      <c r="F464" s="1390" t="e">
        <f t="shared" si="0"/>
        <v>#N/A</v>
      </c>
      <c r="K464" s="1470">
        <v>42521</v>
      </c>
      <c r="L464" s="1471" t="s">
        <v>2129</v>
      </c>
      <c r="M464" s="1472">
        <v>5.2531000000000001E-2</v>
      </c>
      <c r="N464" s="1473">
        <v>1.1742831464422994</v>
      </c>
      <c r="O464" s="1473">
        <v>1.1742831464422994</v>
      </c>
    </row>
    <row r="465" spans="2:15">
      <c r="B465" s="1389">
        <v>46569</v>
      </c>
      <c r="C465" s="1390" t="e">
        <v>#N/A</v>
      </c>
      <c r="D465" s="1390" t="e">
        <v>#N/A</v>
      </c>
      <c r="E465" s="1390" t="e">
        <v>#N/A</v>
      </c>
      <c r="F465" s="1390" t="e">
        <f t="shared" si="0"/>
        <v>#N/A</v>
      </c>
      <c r="K465" s="1470">
        <v>42522</v>
      </c>
      <c r="L465" s="1471" t="s">
        <v>2129</v>
      </c>
      <c r="M465" s="1472">
        <v>5.2531000000000001E-2</v>
      </c>
      <c r="N465" s="1473">
        <v>1.174900009121957</v>
      </c>
      <c r="O465" s="1473">
        <v>1.174900009121957</v>
      </c>
    </row>
    <row r="466" spans="2:15">
      <c r="B466" s="1389">
        <v>46600</v>
      </c>
      <c r="C466" s="1390" t="e">
        <v>#N/A</v>
      </c>
      <c r="D466" s="1390" t="e">
        <v>#N/A</v>
      </c>
      <c r="E466" s="1390" t="e">
        <v>#N/A</v>
      </c>
      <c r="F466" s="1390" t="e">
        <f t="shared" si="0"/>
        <v>#N/A</v>
      </c>
      <c r="K466" s="1470">
        <v>42523</v>
      </c>
      <c r="L466" s="1471" t="s">
        <v>2129</v>
      </c>
      <c r="M466" s="1472">
        <v>5.2531000000000001E-2</v>
      </c>
      <c r="N466" s="1473">
        <v>1.1755171958457489</v>
      </c>
      <c r="O466" s="1473">
        <v>1.1755171958457489</v>
      </c>
    </row>
    <row r="467" spans="2:15">
      <c r="B467" s="1389">
        <v>46631</v>
      </c>
      <c r="C467" s="1390" t="e">
        <v>#N/A</v>
      </c>
      <c r="D467" s="1390" t="e">
        <v>#N/A</v>
      </c>
      <c r="E467" s="1390" t="e">
        <v>#N/A</v>
      </c>
      <c r="F467" s="1390" t="e">
        <f t="shared" si="0"/>
        <v>#N/A</v>
      </c>
      <c r="K467" s="1470">
        <v>42524</v>
      </c>
      <c r="L467" s="1471" t="s">
        <v>2129</v>
      </c>
      <c r="M467" s="1472">
        <v>5.2531000000000001E-2</v>
      </c>
      <c r="N467" s="1473">
        <v>1.1761347067838985</v>
      </c>
      <c r="O467" s="1473">
        <v>1.1761347067838985</v>
      </c>
    </row>
    <row r="468" spans="2:15">
      <c r="B468" s="1389">
        <v>46661</v>
      </c>
      <c r="C468" s="1390" t="e">
        <v>#N/A</v>
      </c>
      <c r="D468" s="1390" t="e">
        <v>#N/A</v>
      </c>
      <c r="E468" s="1390" t="e">
        <v>#N/A</v>
      </c>
      <c r="F468" s="1390" t="e">
        <f t="shared" si="0"/>
        <v>#N/A</v>
      </c>
      <c r="K468" s="1470">
        <v>42525</v>
      </c>
      <c r="L468" s="1471"/>
      <c r="M468" s="1472">
        <v>0</v>
      </c>
      <c r="N468" s="1473">
        <v>1.1761347067838985</v>
      </c>
      <c r="O468" s="1473">
        <v>1.1761347067838985</v>
      </c>
    </row>
    <row r="469" spans="2:15">
      <c r="B469" s="1389">
        <v>46692</v>
      </c>
      <c r="C469" s="1390" t="e">
        <v>#N/A</v>
      </c>
      <c r="D469" s="1390" t="e">
        <v>#N/A</v>
      </c>
      <c r="E469" s="1390" t="e">
        <v>#N/A</v>
      </c>
      <c r="F469" s="1390" t="e">
        <f t="shared" si="0"/>
        <v>#N/A</v>
      </c>
      <c r="K469" s="1470">
        <v>42526</v>
      </c>
      <c r="L469" s="1471"/>
      <c r="M469" s="1472">
        <v>0</v>
      </c>
      <c r="N469" s="1473">
        <v>1.1761347067838985</v>
      </c>
      <c r="O469" s="1473">
        <v>1.1761347067838985</v>
      </c>
    </row>
    <row r="470" spans="2:15">
      <c r="B470" s="1389">
        <v>46722</v>
      </c>
      <c r="C470" s="1390" t="e">
        <v>#N/A</v>
      </c>
      <c r="D470" s="1390" t="e">
        <v>#N/A</v>
      </c>
      <c r="E470" s="1390" t="e">
        <v>#N/A</v>
      </c>
      <c r="F470" s="1390" t="e">
        <f t="shared" si="0"/>
        <v>#N/A</v>
      </c>
      <c r="K470" s="1470">
        <v>42527</v>
      </c>
      <c r="L470" s="1471" t="s">
        <v>2129</v>
      </c>
      <c r="M470" s="1472">
        <v>5.2531000000000001E-2</v>
      </c>
      <c r="N470" s="1473">
        <v>1.1767525421067191</v>
      </c>
      <c r="O470" s="1473">
        <v>1.1767525421067191</v>
      </c>
    </row>
    <row r="471" spans="2:15">
      <c r="B471" s="1389">
        <v>46753</v>
      </c>
      <c r="C471" s="1390" t="e">
        <v>#N/A</v>
      </c>
      <c r="D471" s="1390" t="e">
        <v>#N/A</v>
      </c>
      <c r="E471" s="1390" t="e">
        <v>#N/A</v>
      </c>
      <c r="F471" s="1390" t="e">
        <f t="shared" si="0"/>
        <v>#N/A</v>
      </c>
      <c r="K471" s="1470">
        <v>42528</v>
      </c>
      <c r="L471" s="1471" t="s">
        <v>2129</v>
      </c>
      <c r="M471" s="1472">
        <v>5.2531000000000001E-2</v>
      </c>
      <c r="N471" s="1473">
        <v>1.1773707019846131</v>
      </c>
      <c r="O471" s="1473">
        <v>1.1773707019846131</v>
      </c>
    </row>
    <row r="472" spans="2:15">
      <c r="B472" s="1389">
        <v>46784</v>
      </c>
      <c r="C472" s="1390" t="e">
        <v>#N/A</v>
      </c>
      <c r="D472" s="1390" t="e">
        <v>#N/A</v>
      </c>
      <c r="E472" s="1390" t="e">
        <v>#N/A</v>
      </c>
      <c r="F472" s="1390" t="e">
        <f t="shared" si="0"/>
        <v>#N/A</v>
      </c>
      <c r="K472" s="1470">
        <v>42529</v>
      </c>
      <c r="L472" s="1471" t="s">
        <v>2129</v>
      </c>
      <c r="M472" s="1472">
        <v>5.2531000000000001E-2</v>
      </c>
      <c r="N472" s="1473">
        <v>1.1779891865880727</v>
      </c>
      <c r="O472" s="1473">
        <v>1.1779891865880727</v>
      </c>
    </row>
    <row r="473" spans="2:15">
      <c r="B473" s="1389">
        <v>46813</v>
      </c>
      <c r="C473" s="1390" t="e">
        <v>#N/A</v>
      </c>
      <c r="D473" s="1390" t="e">
        <v>#N/A</v>
      </c>
      <c r="E473" s="1390" t="e">
        <v>#N/A</v>
      </c>
      <c r="F473" s="1390" t="e">
        <f t="shared" si="0"/>
        <v>#N/A</v>
      </c>
      <c r="K473" s="1470">
        <v>42530</v>
      </c>
      <c r="L473" s="1471" t="s">
        <v>2129</v>
      </c>
      <c r="M473" s="1472">
        <v>5.2531000000000001E-2</v>
      </c>
      <c r="N473" s="1473">
        <v>1.1786079960876794</v>
      </c>
      <c r="O473" s="1473">
        <v>1.1786079960876794</v>
      </c>
    </row>
    <row r="474" spans="2:15">
      <c r="B474" s="1389">
        <v>46844</v>
      </c>
      <c r="C474" s="1390" t="e">
        <v>#N/A</v>
      </c>
      <c r="D474" s="1390" t="e">
        <v>#N/A</v>
      </c>
      <c r="E474" s="1390" t="e">
        <v>#N/A</v>
      </c>
      <c r="F474" s="1390" t="e">
        <f t="shared" si="0"/>
        <v>#N/A</v>
      </c>
      <c r="K474" s="1470">
        <v>42531</v>
      </c>
      <c r="L474" s="1471" t="s">
        <v>2129</v>
      </c>
      <c r="M474" s="1472">
        <v>5.2531000000000001E-2</v>
      </c>
      <c r="N474" s="1473">
        <v>1.1792271306541042</v>
      </c>
      <c r="O474" s="1473">
        <v>1.1792271306541042</v>
      </c>
    </row>
    <row r="475" spans="2:15">
      <c r="B475" s="1389">
        <v>46874</v>
      </c>
      <c r="C475" s="1390" t="e">
        <v>#N/A</v>
      </c>
      <c r="D475" s="1390" t="e">
        <v>#N/A</v>
      </c>
      <c r="E475" s="1390" t="e">
        <v>#N/A</v>
      </c>
      <c r="F475" s="1390" t="e">
        <f t="shared" si="0"/>
        <v>#N/A</v>
      </c>
      <c r="K475" s="1470">
        <v>42532</v>
      </c>
      <c r="L475" s="1471"/>
      <c r="M475" s="1472">
        <v>0</v>
      </c>
      <c r="N475" s="1473">
        <v>1.1792271306541042</v>
      </c>
      <c r="O475" s="1473">
        <v>1.1792271306541042</v>
      </c>
    </row>
    <row r="476" spans="2:15">
      <c r="B476" s="1389">
        <v>46905</v>
      </c>
      <c r="C476" s="1390" t="e">
        <v>#N/A</v>
      </c>
      <c r="D476" s="1390" t="e">
        <v>#N/A</v>
      </c>
      <c r="E476" s="1390" t="e">
        <v>#N/A</v>
      </c>
      <c r="F476" s="1390" t="e">
        <f t="shared" si="0"/>
        <v>#N/A</v>
      </c>
      <c r="K476" s="1470">
        <v>42533</v>
      </c>
      <c r="L476" s="1471"/>
      <c r="M476" s="1472">
        <v>0</v>
      </c>
      <c r="N476" s="1473">
        <v>1.1792271306541042</v>
      </c>
      <c r="O476" s="1473">
        <v>1.1792271306541042</v>
      </c>
    </row>
    <row r="477" spans="2:15">
      <c r="B477" s="1389">
        <v>46935</v>
      </c>
      <c r="C477" s="1390" t="e">
        <v>#N/A</v>
      </c>
      <c r="D477" s="1390" t="e">
        <v>#N/A</v>
      </c>
      <c r="E477" s="1390" t="e">
        <v>#N/A</v>
      </c>
      <c r="F477" s="1390" t="e">
        <f t="shared" si="0"/>
        <v>#N/A</v>
      </c>
      <c r="K477" s="1470">
        <v>42534</v>
      </c>
      <c r="L477" s="1471" t="s">
        <v>2129</v>
      </c>
      <c r="M477" s="1472">
        <v>5.2531000000000001E-2</v>
      </c>
      <c r="N477" s="1473">
        <v>1.1798465904581081</v>
      </c>
      <c r="O477" s="1473">
        <v>1.1798465904581081</v>
      </c>
    </row>
    <row r="478" spans="2:15">
      <c r="B478" s="1389">
        <v>46966</v>
      </c>
      <c r="C478" s="1390" t="e">
        <v>#N/A</v>
      </c>
      <c r="D478" s="1390" t="e">
        <v>#N/A</v>
      </c>
      <c r="E478" s="1390" t="e">
        <v>#N/A</v>
      </c>
      <c r="F478" s="1390" t="e">
        <f t="shared" si="0"/>
        <v>#N/A</v>
      </c>
      <c r="K478" s="1470">
        <v>42535</v>
      </c>
      <c r="L478" s="1471" t="s">
        <v>2129</v>
      </c>
      <c r="M478" s="1472">
        <v>5.2531000000000001E-2</v>
      </c>
      <c r="N478" s="1473">
        <v>1.1804663756705416</v>
      </c>
      <c r="O478" s="1473">
        <v>1.1804663756705416</v>
      </c>
    </row>
    <row r="479" spans="2:15">
      <c r="B479" s="1389">
        <v>46997</v>
      </c>
      <c r="C479" s="1390" t="e">
        <v>#N/A</v>
      </c>
      <c r="D479" s="1390" t="e">
        <v>#N/A</v>
      </c>
      <c r="E479" s="1390" t="e">
        <v>#N/A</v>
      </c>
      <c r="F479" s="1390" t="e">
        <f t="shared" si="0"/>
        <v>#N/A</v>
      </c>
      <c r="K479" s="1470">
        <v>42536</v>
      </c>
      <c r="L479" s="1471" t="s">
        <v>2129</v>
      </c>
      <c r="M479" s="1472">
        <v>5.2531000000000001E-2</v>
      </c>
      <c r="N479" s="1473">
        <v>1.1810864864623452</v>
      </c>
      <c r="O479" s="1473">
        <v>1.1810864864623452</v>
      </c>
    </row>
    <row r="480" spans="2:15">
      <c r="B480" s="1389">
        <v>47027</v>
      </c>
      <c r="C480" s="1390" t="e">
        <v>#N/A</v>
      </c>
      <c r="D480" s="1390" t="e">
        <v>#N/A</v>
      </c>
      <c r="E480" s="1390" t="e">
        <v>#N/A</v>
      </c>
      <c r="F480" s="1390" t="e">
        <f t="shared" si="0"/>
        <v>#N/A</v>
      </c>
      <c r="K480" s="1470">
        <v>42537</v>
      </c>
      <c r="L480" s="1471" t="s">
        <v>2129</v>
      </c>
      <c r="M480" s="1472">
        <v>5.2531000000000001E-2</v>
      </c>
      <c r="N480" s="1473">
        <v>1.1817069230045487</v>
      </c>
      <c r="O480" s="1473">
        <v>1.1817069230045487</v>
      </c>
    </row>
    <row r="481" spans="2:15">
      <c r="B481" s="1389">
        <v>47058</v>
      </c>
      <c r="C481" s="1390" t="e">
        <v>#N/A</v>
      </c>
      <c r="D481" s="1390" t="e">
        <v>#N/A</v>
      </c>
      <c r="E481" s="1390" t="e">
        <v>#N/A</v>
      </c>
      <c r="F481" s="1390" t="e">
        <f t="shared" si="0"/>
        <v>#N/A</v>
      </c>
      <c r="K481" s="1470">
        <v>42538</v>
      </c>
      <c r="L481" s="1471" t="s">
        <v>2129</v>
      </c>
      <c r="M481" s="1472">
        <v>5.2531000000000001E-2</v>
      </c>
      <c r="N481" s="1473">
        <v>1.1823276854682723</v>
      </c>
      <c r="O481" s="1473">
        <v>1.1823276854682723</v>
      </c>
    </row>
    <row r="482" spans="2:15">
      <c r="B482" s="1389">
        <v>47088</v>
      </c>
      <c r="C482" s="1390" t="e">
        <v>#N/A</v>
      </c>
      <c r="D482" s="1390" t="e">
        <v>#N/A</v>
      </c>
      <c r="E482" s="1390" t="e">
        <v>#N/A</v>
      </c>
      <c r="F482" s="1390" t="e">
        <f t="shared" si="0"/>
        <v>#N/A</v>
      </c>
      <c r="K482" s="1470">
        <v>42539</v>
      </c>
      <c r="L482" s="1471"/>
      <c r="M482" s="1472">
        <v>0</v>
      </c>
      <c r="N482" s="1473">
        <v>1.1823276854682723</v>
      </c>
      <c r="O482" s="1473">
        <v>1.1823276854682723</v>
      </c>
    </row>
    <row r="483" spans="2:15">
      <c r="B483" s="1389">
        <v>47119</v>
      </c>
      <c r="C483" s="1390" t="e">
        <v>#N/A</v>
      </c>
      <c r="D483" s="1390" t="e">
        <v>#N/A</v>
      </c>
      <c r="E483" s="1390" t="e">
        <v>#N/A</v>
      </c>
      <c r="F483" s="1390" t="e">
        <f t="shared" si="0"/>
        <v>#N/A</v>
      </c>
      <c r="K483" s="1470">
        <v>42540</v>
      </c>
      <c r="L483" s="1471"/>
      <c r="M483" s="1472">
        <v>0</v>
      </c>
      <c r="N483" s="1473">
        <v>1.1823276854682723</v>
      </c>
      <c r="O483" s="1473">
        <v>1.1823276854682723</v>
      </c>
    </row>
    <row r="484" spans="2:15">
      <c r="B484" s="1389">
        <v>47150</v>
      </c>
      <c r="C484" s="1390" t="e">
        <v>#N/A</v>
      </c>
      <c r="D484" s="1390" t="e">
        <v>#N/A</v>
      </c>
      <c r="E484" s="1390" t="e">
        <v>#N/A</v>
      </c>
      <c r="F484" s="1390" t="e">
        <f t="shared" ref="F484:F500" si="1">F483*E484</f>
        <v>#N/A</v>
      </c>
      <c r="K484" s="1470">
        <v>42541</v>
      </c>
      <c r="L484" s="1471" t="s">
        <v>2129</v>
      </c>
      <c r="M484" s="1472">
        <v>5.2531000000000001E-2</v>
      </c>
      <c r="N484" s="1473">
        <v>1.1829487740247255</v>
      </c>
      <c r="O484" s="1473">
        <v>1.1829487740247255</v>
      </c>
    </row>
    <row r="485" spans="2:15">
      <c r="B485" s="1389">
        <v>47178</v>
      </c>
      <c r="C485" s="1390" t="e">
        <v>#N/A</v>
      </c>
      <c r="D485" s="1390" t="e">
        <v>#N/A</v>
      </c>
      <c r="E485" s="1390" t="e">
        <v>#N/A</v>
      </c>
      <c r="F485" s="1390" t="e">
        <f t="shared" si="1"/>
        <v>#N/A</v>
      </c>
      <c r="K485" s="1470">
        <v>42542</v>
      </c>
      <c r="L485" s="1471" t="s">
        <v>2129</v>
      </c>
      <c r="M485" s="1472">
        <v>5.2531000000000001E-2</v>
      </c>
      <c r="N485" s="1473">
        <v>1.1835701888452084</v>
      </c>
      <c r="O485" s="1473">
        <v>1.1835701888452084</v>
      </c>
    </row>
    <row r="486" spans="2:15">
      <c r="B486" s="1389">
        <v>47209</v>
      </c>
      <c r="C486" s="1390" t="e">
        <v>#N/A</v>
      </c>
      <c r="D486" s="1390" t="e">
        <v>#N/A</v>
      </c>
      <c r="E486" s="1390" t="e">
        <v>#N/A</v>
      </c>
      <c r="F486" s="1390" t="e">
        <f t="shared" si="1"/>
        <v>#N/A</v>
      </c>
      <c r="K486" s="1470">
        <v>42543</v>
      </c>
      <c r="L486" s="1471" t="s">
        <v>2129</v>
      </c>
      <c r="M486" s="1472">
        <v>5.2531000000000001E-2</v>
      </c>
      <c r="N486" s="1473">
        <v>1.1841919301011106</v>
      </c>
      <c r="O486" s="1473">
        <v>1.1841919301011106</v>
      </c>
    </row>
    <row r="487" spans="2:15">
      <c r="B487" s="1389">
        <v>47239</v>
      </c>
      <c r="C487" s="1390" t="e">
        <v>#N/A</v>
      </c>
      <c r="D487" s="1390" t="e">
        <v>#N/A</v>
      </c>
      <c r="E487" s="1390" t="e">
        <v>#N/A</v>
      </c>
      <c r="F487" s="1390" t="e">
        <f t="shared" si="1"/>
        <v>#N/A</v>
      </c>
      <c r="K487" s="1470">
        <v>42544</v>
      </c>
      <c r="L487" s="1471" t="s">
        <v>2129</v>
      </c>
      <c r="M487" s="1472">
        <v>5.2531000000000001E-2</v>
      </c>
      <c r="N487" s="1473">
        <v>1.1848139979639121</v>
      </c>
      <c r="O487" s="1473">
        <v>1.1848139979639121</v>
      </c>
    </row>
    <row r="488" spans="2:15">
      <c r="B488" s="1389">
        <v>47270</v>
      </c>
      <c r="C488" s="1390" t="e">
        <v>#N/A</v>
      </c>
      <c r="D488" s="1390" t="e">
        <v>#N/A</v>
      </c>
      <c r="E488" s="1390" t="e">
        <v>#N/A</v>
      </c>
      <c r="F488" s="1390" t="e">
        <f t="shared" si="1"/>
        <v>#N/A</v>
      </c>
      <c r="K488" s="1470">
        <v>42545</v>
      </c>
      <c r="L488" s="1471" t="s">
        <v>2129</v>
      </c>
      <c r="M488" s="1472">
        <v>5.2531000000000001E-2</v>
      </c>
      <c r="N488" s="1473">
        <v>1.1854363926051825</v>
      </c>
      <c r="O488" s="1473">
        <v>1.1854363926051825</v>
      </c>
    </row>
    <row r="489" spans="2:15">
      <c r="B489" s="1389">
        <v>47300</v>
      </c>
      <c r="C489" s="1390" t="e">
        <v>#N/A</v>
      </c>
      <c r="D489" s="1390" t="e">
        <v>#N/A</v>
      </c>
      <c r="E489" s="1390" t="e">
        <v>#N/A</v>
      </c>
      <c r="F489" s="1390" t="e">
        <f t="shared" si="1"/>
        <v>#N/A</v>
      </c>
      <c r="K489" s="1470">
        <v>42546</v>
      </c>
      <c r="L489" s="1471"/>
      <c r="M489" s="1472">
        <v>0</v>
      </c>
      <c r="N489" s="1473">
        <v>1.1854363926051825</v>
      </c>
      <c r="O489" s="1473">
        <v>1.1854363926051825</v>
      </c>
    </row>
    <row r="490" spans="2:15">
      <c r="B490" s="1389">
        <v>47331</v>
      </c>
      <c r="C490" s="1390" t="e">
        <v>#N/A</v>
      </c>
      <c r="D490" s="1390" t="e">
        <v>#N/A</v>
      </c>
      <c r="E490" s="1390" t="e">
        <v>#N/A</v>
      </c>
      <c r="F490" s="1390" t="e">
        <f t="shared" si="1"/>
        <v>#N/A</v>
      </c>
      <c r="K490" s="1470">
        <v>42547</v>
      </c>
      <c r="L490" s="1471"/>
      <c r="M490" s="1472">
        <v>0</v>
      </c>
      <c r="N490" s="1473">
        <v>1.1854363926051825</v>
      </c>
      <c r="O490" s="1473">
        <v>1.1854363926051825</v>
      </c>
    </row>
    <row r="491" spans="2:15">
      <c r="B491" s="1389">
        <v>47362</v>
      </c>
      <c r="C491" s="1390" t="e">
        <v>#N/A</v>
      </c>
      <c r="D491" s="1390" t="e">
        <v>#N/A</v>
      </c>
      <c r="E491" s="1390" t="e">
        <v>#N/A</v>
      </c>
      <c r="F491" s="1390" t="e">
        <f t="shared" si="1"/>
        <v>#N/A</v>
      </c>
      <c r="K491" s="1470">
        <v>42548</v>
      </c>
      <c r="L491" s="1471" t="s">
        <v>2129</v>
      </c>
      <c r="M491" s="1472">
        <v>5.2531000000000001E-2</v>
      </c>
      <c r="N491" s="1473">
        <v>1.1860591141965819</v>
      </c>
      <c r="O491" s="1473">
        <v>1.1860591141965819</v>
      </c>
    </row>
    <row r="492" spans="2:15">
      <c r="B492" s="1389">
        <v>47392</v>
      </c>
      <c r="C492" s="1390" t="e">
        <v>#N/A</v>
      </c>
      <c r="D492" s="1390" t="e">
        <v>#N/A</v>
      </c>
      <c r="E492" s="1390" t="e">
        <v>#N/A</v>
      </c>
      <c r="F492" s="1390" t="e">
        <f t="shared" si="1"/>
        <v>#N/A</v>
      </c>
      <c r="K492" s="1470">
        <v>42549</v>
      </c>
      <c r="L492" s="1471" t="s">
        <v>2129</v>
      </c>
      <c r="M492" s="1472">
        <v>5.2531000000000001E-2</v>
      </c>
      <c r="N492" s="1473">
        <v>1.1866821629098605</v>
      </c>
      <c r="O492" s="1473">
        <v>1.1866821629098605</v>
      </c>
    </row>
    <row r="493" spans="2:15">
      <c r="B493" s="1389">
        <v>47423</v>
      </c>
      <c r="C493" s="1390" t="e">
        <v>#N/A</v>
      </c>
      <c r="D493" s="1390" t="e">
        <v>#N/A</v>
      </c>
      <c r="E493" s="1390" t="e">
        <v>#N/A</v>
      </c>
      <c r="F493" s="1390" t="e">
        <f t="shared" si="1"/>
        <v>#N/A</v>
      </c>
      <c r="K493" s="1470">
        <v>42550</v>
      </c>
      <c r="L493" s="1471" t="s">
        <v>2129</v>
      </c>
      <c r="M493" s="1472">
        <v>5.2531000000000001E-2</v>
      </c>
      <c r="N493" s="1473">
        <v>1.1873055389168587</v>
      </c>
      <c r="O493" s="1473">
        <v>1.1873055389168587</v>
      </c>
    </row>
    <row r="494" spans="2:15">
      <c r="B494" s="1389">
        <v>47453</v>
      </c>
      <c r="C494" s="1390" t="e">
        <v>#N/A</v>
      </c>
      <c r="D494" s="1390" t="e">
        <v>#N/A</v>
      </c>
      <c r="E494" s="1390" t="e">
        <v>#N/A</v>
      </c>
      <c r="F494" s="1390" t="e">
        <f t="shared" si="1"/>
        <v>#N/A</v>
      </c>
      <c r="K494" s="1470">
        <v>42551</v>
      </c>
      <c r="L494" s="1471" t="s">
        <v>2129</v>
      </c>
      <c r="M494" s="1472">
        <v>5.2531000000000001E-2</v>
      </c>
      <c r="N494" s="1473">
        <v>1.1879292423895071</v>
      </c>
      <c r="O494" s="1473">
        <v>1.1879292423895071</v>
      </c>
    </row>
    <row r="495" spans="2:15">
      <c r="B495" s="1389">
        <v>47484</v>
      </c>
      <c r="C495" s="1390" t="e">
        <v>#N/A</v>
      </c>
      <c r="D495" s="1390" t="e">
        <v>#N/A</v>
      </c>
      <c r="E495" s="1390" t="e">
        <v>#N/A</v>
      </c>
      <c r="F495" s="1390" t="e">
        <f t="shared" si="1"/>
        <v>#N/A</v>
      </c>
      <c r="K495" s="1470">
        <v>42552</v>
      </c>
      <c r="L495" s="1471" t="s">
        <v>2129</v>
      </c>
      <c r="M495" s="1472">
        <v>5.2531000000000001E-2</v>
      </c>
      <c r="N495" s="1473">
        <v>1.1885532734998268</v>
      </c>
      <c r="O495" s="1473">
        <v>1.1885532734998268</v>
      </c>
    </row>
    <row r="496" spans="2:15">
      <c r="B496" s="1389">
        <v>47515</v>
      </c>
      <c r="C496" s="1390" t="e">
        <v>#N/A</v>
      </c>
      <c r="D496" s="1390" t="e">
        <v>#N/A</v>
      </c>
      <c r="E496" s="1390" t="e">
        <v>#N/A</v>
      </c>
      <c r="F496" s="1390" t="e">
        <f t="shared" si="1"/>
        <v>#N/A</v>
      </c>
      <c r="K496" s="1470">
        <v>42553</v>
      </c>
      <c r="L496" s="1471"/>
      <c r="M496" s="1472">
        <v>0</v>
      </c>
      <c r="N496" s="1473">
        <v>1.1885532734998268</v>
      </c>
      <c r="O496" s="1473">
        <v>1.1885532734998268</v>
      </c>
    </row>
    <row r="497" spans="2:15">
      <c r="B497" s="1389">
        <v>47543</v>
      </c>
      <c r="C497" s="1390" t="e">
        <v>#N/A</v>
      </c>
      <c r="D497" s="1390" t="e">
        <v>#N/A</v>
      </c>
      <c r="E497" s="1390" t="e">
        <v>#N/A</v>
      </c>
      <c r="F497" s="1390" t="e">
        <f t="shared" si="1"/>
        <v>#N/A</v>
      </c>
      <c r="K497" s="1470">
        <v>42554</v>
      </c>
      <c r="L497" s="1471"/>
      <c r="M497" s="1472">
        <v>0</v>
      </c>
      <c r="N497" s="1473">
        <v>1.1885532734998268</v>
      </c>
      <c r="O497" s="1473">
        <v>1.1885532734998268</v>
      </c>
    </row>
    <row r="498" spans="2:15">
      <c r="B498" s="1389">
        <v>47574</v>
      </c>
      <c r="C498" s="1390" t="e">
        <v>#N/A</v>
      </c>
      <c r="D498" s="1390" t="e">
        <v>#N/A</v>
      </c>
      <c r="E498" s="1390" t="e">
        <v>#N/A</v>
      </c>
      <c r="F498" s="1390" t="e">
        <f t="shared" si="1"/>
        <v>#N/A</v>
      </c>
      <c r="K498" s="1470">
        <v>42555</v>
      </c>
      <c r="L498" s="1471" t="s">
        <v>2129</v>
      </c>
      <c r="M498" s="1472">
        <v>5.2531000000000001E-2</v>
      </c>
      <c r="N498" s="1473">
        <v>1.189177632419929</v>
      </c>
      <c r="O498" s="1473">
        <v>1.189177632419929</v>
      </c>
    </row>
    <row r="499" spans="2:15">
      <c r="B499" s="1389">
        <v>47604</v>
      </c>
      <c r="C499" s="1390" t="e">
        <v>#N/A</v>
      </c>
      <c r="D499" s="1390" t="e">
        <v>#N/A</v>
      </c>
      <c r="E499" s="1390" t="e">
        <v>#N/A</v>
      </c>
      <c r="F499" s="1390" t="e">
        <f t="shared" si="1"/>
        <v>#N/A</v>
      </c>
      <c r="K499" s="1470">
        <v>42556</v>
      </c>
      <c r="L499" s="1471" t="s">
        <v>2129</v>
      </c>
      <c r="M499" s="1472">
        <v>5.2531000000000001E-2</v>
      </c>
      <c r="N499" s="1473">
        <v>1.1898023193220155</v>
      </c>
      <c r="O499" s="1473">
        <v>1.1898023193220155</v>
      </c>
    </row>
    <row r="500" spans="2:15">
      <c r="B500" s="1389">
        <v>47635</v>
      </c>
      <c r="C500" s="1390" t="e">
        <v>#N/A</v>
      </c>
      <c r="D500" s="1390" t="e">
        <v>#N/A</v>
      </c>
      <c r="E500" s="1390" t="e">
        <v>#N/A</v>
      </c>
      <c r="F500" s="1390" t="e">
        <f t="shared" si="1"/>
        <v>#N/A</v>
      </c>
      <c r="K500" s="1470">
        <v>42557</v>
      </c>
      <c r="L500" s="1471" t="s">
        <v>2129</v>
      </c>
      <c r="M500" s="1472">
        <v>5.2531000000000001E-2</v>
      </c>
      <c r="N500" s="1473">
        <v>1.1904273343783787</v>
      </c>
      <c r="O500" s="1473">
        <v>1.1904273343783787</v>
      </c>
    </row>
    <row r="501" spans="2:15">
      <c r="K501" s="1470">
        <v>42558</v>
      </c>
      <c r="L501" s="1471" t="s">
        <v>2129</v>
      </c>
      <c r="M501" s="1472">
        <v>5.2531000000000001E-2</v>
      </c>
      <c r="N501" s="1473">
        <v>1.191052677761401</v>
      </c>
      <c r="O501" s="1473">
        <v>1.191052677761401</v>
      </c>
    </row>
    <row r="502" spans="2:15">
      <c r="K502" s="1470">
        <v>42559</v>
      </c>
      <c r="L502" s="1471" t="s">
        <v>2129</v>
      </c>
      <c r="M502" s="1472">
        <v>5.2531000000000001E-2</v>
      </c>
      <c r="N502" s="1473">
        <v>1.1916783496435559</v>
      </c>
      <c r="O502" s="1473">
        <v>1.1916783496435559</v>
      </c>
    </row>
    <row r="503" spans="2:15">
      <c r="K503" s="1470">
        <v>42560</v>
      </c>
      <c r="L503" s="1471"/>
      <c r="M503" s="1472">
        <v>0</v>
      </c>
      <c r="N503" s="1473">
        <v>1.1916783496435559</v>
      </c>
      <c r="O503" s="1473">
        <v>1.1916783496435559</v>
      </c>
    </row>
    <row r="504" spans="2:15">
      <c r="K504" s="1470">
        <v>42561</v>
      </c>
      <c r="L504" s="1471"/>
      <c r="M504" s="1472">
        <v>0</v>
      </c>
      <c r="N504" s="1473">
        <v>1.1916783496435559</v>
      </c>
      <c r="O504" s="1473">
        <v>1.1916783496435559</v>
      </c>
    </row>
    <row r="505" spans="2:15">
      <c r="K505" s="1470">
        <v>42562</v>
      </c>
      <c r="L505" s="1471" t="s">
        <v>2129</v>
      </c>
      <c r="M505" s="1472">
        <v>5.2531000000000001E-2</v>
      </c>
      <c r="N505" s="1473">
        <v>1.1923043501974071</v>
      </c>
      <c r="O505" s="1473">
        <v>1.1923043501974071</v>
      </c>
    </row>
    <row r="506" spans="2:15">
      <c r="K506" s="1470">
        <v>42563</v>
      </c>
      <c r="L506" s="1471" t="s">
        <v>2129</v>
      </c>
      <c r="M506" s="1472">
        <v>5.2531000000000001E-2</v>
      </c>
      <c r="N506" s="1473">
        <v>1.1929306795956094</v>
      </c>
      <c r="O506" s="1473">
        <v>1.1929306795956094</v>
      </c>
    </row>
    <row r="507" spans="2:15">
      <c r="K507" s="1470">
        <v>42564</v>
      </c>
      <c r="L507" s="1471" t="s">
        <v>2129</v>
      </c>
      <c r="M507" s="1472">
        <v>5.2531000000000001E-2</v>
      </c>
      <c r="N507" s="1473">
        <v>1.1935573380109077</v>
      </c>
      <c r="O507" s="1473">
        <v>1.1935573380109077</v>
      </c>
    </row>
    <row r="508" spans="2:15">
      <c r="K508" s="1470">
        <v>42565</v>
      </c>
      <c r="L508" s="1471" t="s">
        <v>2129</v>
      </c>
      <c r="M508" s="1472">
        <v>5.2531000000000001E-2</v>
      </c>
      <c r="N508" s="1473">
        <v>1.1941843256161382</v>
      </c>
      <c r="O508" s="1473">
        <v>1.1941843256161382</v>
      </c>
    </row>
    <row r="509" spans="2:15">
      <c r="K509" s="1470">
        <v>42566</v>
      </c>
      <c r="L509" s="1471" t="s">
        <v>2129</v>
      </c>
      <c r="M509" s="1472">
        <v>5.2531000000000001E-2</v>
      </c>
      <c r="N509" s="1473">
        <v>1.1948116425842277</v>
      </c>
      <c r="O509" s="1473">
        <v>1.1948116425842277</v>
      </c>
    </row>
    <row r="510" spans="2:15">
      <c r="K510" s="1470">
        <v>42567</v>
      </c>
      <c r="L510" s="1471"/>
      <c r="M510" s="1472">
        <v>0</v>
      </c>
      <c r="N510" s="1473">
        <v>1.1948116425842277</v>
      </c>
      <c r="O510" s="1473">
        <v>1.1948116425842277</v>
      </c>
    </row>
    <row r="511" spans="2:15">
      <c r="K511" s="1470">
        <v>42568</v>
      </c>
      <c r="L511" s="1471"/>
      <c r="M511" s="1472">
        <v>0</v>
      </c>
      <c r="N511" s="1473">
        <v>1.1948116425842277</v>
      </c>
      <c r="O511" s="1473">
        <v>1.1948116425842277</v>
      </c>
    </row>
    <row r="512" spans="2:15">
      <c r="K512" s="1470">
        <v>42569</v>
      </c>
      <c r="L512" s="1471" t="s">
        <v>2129</v>
      </c>
      <c r="M512" s="1472">
        <v>5.2531000000000001E-2</v>
      </c>
      <c r="N512" s="1473">
        <v>1.1954392890881935</v>
      </c>
      <c r="O512" s="1473">
        <v>1.1954392890881935</v>
      </c>
    </row>
    <row r="513" spans="11:15">
      <c r="K513" s="1470">
        <v>42570</v>
      </c>
      <c r="L513" s="1471" t="s">
        <v>2129</v>
      </c>
      <c r="M513" s="1472">
        <v>5.2531000000000001E-2</v>
      </c>
      <c r="N513" s="1473">
        <v>1.1960672653011444</v>
      </c>
      <c r="O513" s="1473">
        <v>1.1960672653011444</v>
      </c>
    </row>
    <row r="514" spans="11:15">
      <c r="K514" s="1470">
        <v>42571</v>
      </c>
      <c r="L514" s="1471" t="s">
        <v>2129</v>
      </c>
      <c r="M514" s="1472">
        <v>5.2531000000000001E-2</v>
      </c>
      <c r="N514" s="1473">
        <v>1.1966955713962797</v>
      </c>
      <c r="O514" s="1473">
        <v>1.1966955713962797</v>
      </c>
    </row>
    <row r="515" spans="11:15">
      <c r="K515" s="1470">
        <v>42572</v>
      </c>
      <c r="L515" s="1471" t="s">
        <v>2129</v>
      </c>
      <c r="M515" s="1472">
        <v>5.2531000000000001E-2</v>
      </c>
      <c r="N515" s="1473">
        <v>1.19732420754689</v>
      </c>
      <c r="O515" s="1473">
        <v>1.19732420754689</v>
      </c>
    </row>
    <row r="516" spans="11:15">
      <c r="K516" s="1470">
        <v>42573</v>
      </c>
      <c r="L516" s="1471" t="s">
        <v>2129</v>
      </c>
      <c r="M516" s="1472">
        <v>5.2531000000000001E-2</v>
      </c>
      <c r="N516" s="1473">
        <v>1.1979531739263565</v>
      </c>
      <c r="O516" s="1473">
        <v>1.1979531739263565</v>
      </c>
    </row>
    <row r="517" spans="11:15">
      <c r="K517" s="1470">
        <v>42574</v>
      </c>
      <c r="L517" s="1471"/>
      <c r="M517" s="1472">
        <v>0</v>
      </c>
      <c r="N517" s="1473">
        <v>1.1979531739263565</v>
      </c>
      <c r="O517" s="1473">
        <v>1.1979531739263565</v>
      </c>
    </row>
    <row r="518" spans="11:15">
      <c r="K518" s="1470">
        <v>42575</v>
      </c>
      <c r="L518" s="1471"/>
      <c r="M518" s="1472">
        <v>0</v>
      </c>
      <c r="N518" s="1473">
        <v>1.1979531739263565</v>
      </c>
      <c r="O518" s="1473">
        <v>1.1979531739263565</v>
      </c>
    </row>
    <row r="519" spans="11:15">
      <c r="K519" s="1470">
        <v>42576</v>
      </c>
      <c r="L519" s="1471" t="s">
        <v>2129</v>
      </c>
      <c r="M519" s="1472">
        <v>5.2531000000000001E-2</v>
      </c>
      <c r="N519" s="1473">
        <v>1.1985824707081518</v>
      </c>
      <c r="O519" s="1473">
        <v>1.1985824707081518</v>
      </c>
    </row>
    <row r="520" spans="11:15">
      <c r="K520" s="1470">
        <v>42577</v>
      </c>
      <c r="L520" s="1471" t="s">
        <v>2129</v>
      </c>
      <c r="M520" s="1472">
        <v>5.2531000000000001E-2</v>
      </c>
      <c r="N520" s="1473">
        <v>1.1992120980658396</v>
      </c>
      <c r="O520" s="1473">
        <v>1.1992120980658396</v>
      </c>
    </row>
    <row r="521" spans="11:15">
      <c r="K521" s="1470">
        <v>42578</v>
      </c>
      <c r="L521" s="1471" t="s">
        <v>2129</v>
      </c>
      <c r="M521" s="1472">
        <v>5.2531000000000001E-2</v>
      </c>
      <c r="N521" s="1473">
        <v>1.1998420561730745</v>
      </c>
      <c r="O521" s="1473">
        <v>1.1998420561730745</v>
      </c>
    </row>
    <row r="522" spans="11:15">
      <c r="K522" s="1470">
        <v>42579</v>
      </c>
      <c r="L522" s="1471" t="s">
        <v>2129</v>
      </c>
      <c r="M522" s="1472">
        <v>5.2531000000000001E-2</v>
      </c>
      <c r="N522" s="1473">
        <v>1.2004723452036028</v>
      </c>
      <c r="O522" s="1473">
        <v>1.2004723452036028</v>
      </c>
    </row>
    <row r="523" spans="11:15">
      <c r="K523" s="1470">
        <v>42580</v>
      </c>
      <c r="L523" s="1471" t="s">
        <v>2129</v>
      </c>
      <c r="M523" s="1472">
        <v>5.2531000000000001E-2</v>
      </c>
      <c r="N523" s="1473">
        <v>1.2011029653312617</v>
      </c>
      <c r="O523" s="1473">
        <v>1.2011029653312617</v>
      </c>
    </row>
    <row r="524" spans="11:15">
      <c r="K524" s="1470">
        <v>42581</v>
      </c>
      <c r="L524" s="1471"/>
      <c r="M524" s="1472">
        <v>0</v>
      </c>
      <c r="N524" s="1473">
        <v>1.2011029653312617</v>
      </c>
      <c r="O524" s="1473">
        <v>1.2011029653312617</v>
      </c>
    </row>
    <row r="525" spans="11:15">
      <c r="K525" s="1470">
        <v>42582</v>
      </c>
      <c r="L525" s="1471"/>
      <c r="M525" s="1472">
        <v>0</v>
      </c>
      <c r="N525" s="1473">
        <v>1.2011029653312617</v>
      </c>
      <c r="O525" s="1473">
        <v>1.2011029653312617</v>
      </c>
    </row>
    <row r="526" spans="11:15">
      <c r="K526" s="1470">
        <v>42583</v>
      </c>
      <c r="L526" s="1471" t="s">
        <v>2129</v>
      </c>
      <c r="M526" s="1472">
        <v>5.2531000000000001E-2</v>
      </c>
      <c r="N526" s="1473">
        <v>1.2017339167299799</v>
      </c>
      <c r="O526" s="1473">
        <v>1.2017339167299799</v>
      </c>
    </row>
    <row r="527" spans="11:15">
      <c r="K527" s="1470">
        <v>42584</v>
      </c>
      <c r="L527" s="1471" t="s">
        <v>2129</v>
      </c>
      <c r="M527" s="1472">
        <v>5.2531000000000001E-2</v>
      </c>
      <c r="N527" s="1473">
        <v>1.2023651995737772</v>
      </c>
      <c r="O527" s="1473">
        <v>1.2023651995737772</v>
      </c>
    </row>
    <row r="528" spans="11:15">
      <c r="K528" s="1470">
        <v>42585</v>
      </c>
      <c r="L528" s="1471" t="s">
        <v>2129</v>
      </c>
      <c r="M528" s="1472">
        <v>5.2531000000000001E-2</v>
      </c>
      <c r="N528" s="1473">
        <v>1.2029968140367653</v>
      </c>
      <c r="O528" s="1473">
        <v>1.2029968140367653</v>
      </c>
    </row>
    <row r="529" spans="11:15">
      <c r="K529" s="1470">
        <v>42586</v>
      </c>
      <c r="L529" s="1471" t="s">
        <v>2129</v>
      </c>
      <c r="M529" s="1472">
        <v>5.2531000000000001E-2</v>
      </c>
      <c r="N529" s="1473">
        <v>1.203628760293147</v>
      </c>
      <c r="O529" s="1473">
        <v>1.203628760293147</v>
      </c>
    </row>
    <row r="530" spans="11:15">
      <c r="K530" s="1470">
        <v>42587</v>
      </c>
      <c r="L530" s="1471" t="s">
        <v>2129</v>
      </c>
      <c r="M530" s="1472">
        <v>5.2531000000000001E-2</v>
      </c>
      <c r="N530" s="1473">
        <v>1.2042610385172166</v>
      </c>
      <c r="O530" s="1473">
        <v>1.2042610385172166</v>
      </c>
    </row>
    <row r="531" spans="11:15">
      <c r="K531" s="1470">
        <v>42588</v>
      </c>
      <c r="L531" s="1471"/>
      <c r="M531" s="1472">
        <v>0</v>
      </c>
      <c r="N531" s="1473">
        <v>1.2042610385172166</v>
      </c>
      <c r="O531" s="1473">
        <v>1.2042610385172166</v>
      </c>
    </row>
    <row r="532" spans="11:15">
      <c r="K532" s="1470">
        <v>42589</v>
      </c>
      <c r="L532" s="1471"/>
      <c r="M532" s="1472">
        <v>0</v>
      </c>
      <c r="N532" s="1473">
        <v>1.2042610385172166</v>
      </c>
      <c r="O532" s="1473">
        <v>1.2042610385172166</v>
      </c>
    </row>
    <row r="533" spans="11:15">
      <c r="K533" s="1470">
        <v>42590</v>
      </c>
      <c r="L533" s="1471" t="s">
        <v>2129</v>
      </c>
      <c r="M533" s="1472">
        <v>5.2531000000000001E-2</v>
      </c>
      <c r="N533" s="1473">
        <v>1.2048936488833599</v>
      </c>
      <c r="O533" s="1473">
        <v>1.2048936488833599</v>
      </c>
    </row>
    <row r="534" spans="11:15">
      <c r="K534" s="1470">
        <v>42591</v>
      </c>
      <c r="L534" s="1471" t="s">
        <v>2129</v>
      </c>
      <c r="M534" s="1472">
        <v>5.2531000000000001E-2</v>
      </c>
      <c r="N534" s="1473">
        <v>1.2055265915660549</v>
      </c>
      <c r="O534" s="1473">
        <v>1.2055265915660549</v>
      </c>
    </row>
    <row r="535" spans="11:15">
      <c r="K535" s="1470">
        <v>42592</v>
      </c>
      <c r="L535" s="1471" t="s">
        <v>2129</v>
      </c>
      <c r="M535" s="1472">
        <v>5.2531000000000001E-2</v>
      </c>
      <c r="N535" s="1473">
        <v>1.2061598667398705</v>
      </c>
      <c r="O535" s="1473">
        <v>1.2061598667398705</v>
      </c>
    </row>
    <row r="536" spans="11:15">
      <c r="K536" s="1470">
        <v>42593</v>
      </c>
      <c r="L536" s="1471" t="s">
        <v>2129</v>
      </c>
      <c r="M536" s="1472">
        <v>5.2531000000000001E-2</v>
      </c>
      <c r="N536" s="1473">
        <v>1.2067934745794677</v>
      </c>
      <c r="O536" s="1473">
        <v>1.2067934745794677</v>
      </c>
    </row>
    <row r="537" spans="11:15">
      <c r="K537" s="1470">
        <v>42594</v>
      </c>
      <c r="L537" s="1471" t="s">
        <v>2129</v>
      </c>
      <c r="M537" s="1472">
        <v>5.2531000000000001E-2</v>
      </c>
      <c r="N537" s="1473">
        <v>1.2074274152595992</v>
      </c>
      <c r="O537" s="1473">
        <v>1.2074274152595992</v>
      </c>
    </row>
    <row r="538" spans="11:15">
      <c r="K538" s="1470">
        <v>42595</v>
      </c>
      <c r="L538" s="1471"/>
      <c r="M538" s="1472">
        <v>0</v>
      </c>
      <c r="N538" s="1473">
        <v>1.2074274152595992</v>
      </c>
      <c r="O538" s="1473">
        <v>1.2074274152595992</v>
      </c>
    </row>
    <row r="539" spans="11:15">
      <c r="K539" s="1470">
        <v>42596</v>
      </c>
      <c r="L539" s="1471"/>
      <c r="M539" s="1472">
        <v>0</v>
      </c>
      <c r="N539" s="1473">
        <v>1.2074274152595992</v>
      </c>
      <c r="O539" s="1473">
        <v>1.2074274152595992</v>
      </c>
    </row>
    <row r="540" spans="11:15">
      <c r="K540" s="1470">
        <v>42597</v>
      </c>
      <c r="L540" s="1471" t="s">
        <v>2129</v>
      </c>
      <c r="M540" s="1472">
        <v>5.2531000000000001E-2</v>
      </c>
      <c r="N540" s="1473">
        <v>1.2080616889551092</v>
      </c>
      <c r="O540" s="1473">
        <v>1.2080616889551092</v>
      </c>
    </row>
    <row r="541" spans="11:15">
      <c r="K541" s="1470">
        <v>42598</v>
      </c>
      <c r="L541" s="1471" t="s">
        <v>2129</v>
      </c>
      <c r="M541" s="1472">
        <v>5.2531000000000001E-2</v>
      </c>
      <c r="N541" s="1473">
        <v>1.2086962958409342</v>
      </c>
      <c r="O541" s="1473">
        <v>1.2086962958409342</v>
      </c>
    </row>
    <row r="542" spans="11:15">
      <c r="K542" s="1470">
        <v>42599</v>
      </c>
      <c r="L542" s="1471" t="s">
        <v>2129</v>
      </c>
      <c r="M542" s="1472">
        <v>5.2531000000000001E-2</v>
      </c>
      <c r="N542" s="1473">
        <v>1.2093312360921025</v>
      </c>
      <c r="O542" s="1473">
        <v>1.2093312360921025</v>
      </c>
    </row>
    <row r="543" spans="11:15">
      <c r="K543" s="1470">
        <v>42600</v>
      </c>
      <c r="L543" s="1471" t="s">
        <v>2129</v>
      </c>
      <c r="M543" s="1472">
        <v>5.2531000000000001E-2</v>
      </c>
      <c r="N543" s="1473">
        <v>1.209966509883734</v>
      </c>
      <c r="O543" s="1473">
        <v>1.209966509883734</v>
      </c>
    </row>
    <row r="544" spans="11:15">
      <c r="K544" s="1470">
        <v>42601</v>
      </c>
      <c r="L544" s="1471" t="s">
        <v>2129</v>
      </c>
      <c r="M544" s="1472">
        <v>5.2531000000000001E-2</v>
      </c>
      <c r="N544" s="1473">
        <v>1.2106021173910411</v>
      </c>
      <c r="O544" s="1473">
        <v>1.2106021173910411</v>
      </c>
    </row>
    <row r="545" spans="11:15">
      <c r="K545" s="1470">
        <v>42602</v>
      </c>
      <c r="L545" s="1471"/>
      <c r="M545" s="1472">
        <v>0</v>
      </c>
      <c r="N545" s="1473">
        <v>1.2106021173910411</v>
      </c>
      <c r="O545" s="1473">
        <v>1.2106021173910411</v>
      </c>
    </row>
    <row r="546" spans="11:15">
      <c r="K546" s="1470">
        <v>42603</v>
      </c>
      <c r="L546" s="1471"/>
      <c r="M546" s="1472">
        <v>0</v>
      </c>
      <c r="N546" s="1473">
        <v>1.2106021173910411</v>
      </c>
      <c r="O546" s="1473">
        <v>1.2106021173910411</v>
      </c>
    </row>
    <row r="547" spans="11:15">
      <c r="K547" s="1470">
        <v>42604</v>
      </c>
      <c r="L547" s="1471" t="s">
        <v>2129</v>
      </c>
      <c r="M547" s="1472">
        <v>5.2531000000000001E-2</v>
      </c>
      <c r="N547" s="1473">
        <v>1.2112380587893277</v>
      </c>
      <c r="O547" s="1473">
        <v>1.2112380587893277</v>
      </c>
    </row>
    <row r="548" spans="11:15">
      <c r="K548" s="1470">
        <v>42605</v>
      </c>
      <c r="L548" s="1471" t="s">
        <v>2129</v>
      </c>
      <c r="M548" s="1472">
        <v>5.2531000000000001E-2</v>
      </c>
      <c r="N548" s="1473">
        <v>1.2118743342539904</v>
      </c>
      <c r="O548" s="1473">
        <v>1.2118743342539904</v>
      </c>
    </row>
    <row r="549" spans="11:15">
      <c r="K549" s="1470">
        <v>42606</v>
      </c>
      <c r="L549" s="1471" t="s">
        <v>2129</v>
      </c>
      <c r="M549" s="1472">
        <v>5.2531000000000001E-2</v>
      </c>
      <c r="N549" s="1473">
        <v>1.2125109439605173</v>
      </c>
      <c r="O549" s="1473">
        <v>1.2125109439605173</v>
      </c>
    </row>
    <row r="550" spans="11:15">
      <c r="K550" s="1470">
        <v>42607</v>
      </c>
      <c r="L550" s="1471" t="s">
        <v>2129</v>
      </c>
      <c r="M550" s="1472">
        <v>5.2531000000000001E-2</v>
      </c>
      <c r="N550" s="1473">
        <v>1.2131478880844893</v>
      </c>
      <c r="O550" s="1473">
        <v>1.2131478880844893</v>
      </c>
    </row>
    <row r="551" spans="11:15">
      <c r="K551" s="1470">
        <v>42608</v>
      </c>
      <c r="L551" s="1471" t="s">
        <v>2129</v>
      </c>
      <c r="M551" s="1472">
        <v>5.2531000000000001E-2</v>
      </c>
      <c r="N551" s="1473">
        <v>1.2137851668015789</v>
      </c>
      <c r="O551" s="1473">
        <v>1.2137851668015789</v>
      </c>
    </row>
    <row r="552" spans="11:15">
      <c r="K552" s="1470">
        <v>42609</v>
      </c>
      <c r="L552" s="1471"/>
      <c r="M552" s="1472">
        <v>0</v>
      </c>
      <c r="N552" s="1473">
        <v>1.2137851668015789</v>
      </c>
      <c r="O552" s="1473">
        <v>1.2137851668015789</v>
      </c>
    </row>
    <row r="553" spans="11:15">
      <c r="K553" s="1470">
        <v>42610</v>
      </c>
      <c r="L553" s="1471"/>
      <c r="M553" s="1472">
        <v>0</v>
      </c>
      <c r="N553" s="1473">
        <v>1.2137851668015789</v>
      </c>
      <c r="O553" s="1473">
        <v>1.2137851668015789</v>
      </c>
    </row>
    <row r="554" spans="11:15">
      <c r="K554" s="1470">
        <v>42611</v>
      </c>
      <c r="L554" s="1471" t="s">
        <v>2129</v>
      </c>
      <c r="M554" s="1472">
        <v>5.2531000000000001E-2</v>
      </c>
      <c r="N554" s="1473">
        <v>1.2144227802875514</v>
      </c>
      <c r="O554" s="1473">
        <v>1.2144227802875514</v>
      </c>
    </row>
    <row r="555" spans="11:15">
      <c r="K555" s="1470">
        <v>42612</v>
      </c>
      <c r="L555" s="1471" t="s">
        <v>2129</v>
      </c>
      <c r="M555" s="1472">
        <v>5.2531000000000001E-2</v>
      </c>
      <c r="N555" s="1473">
        <v>1.2150607287182642</v>
      </c>
      <c r="O555" s="1473">
        <v>1.2150607287182642</v>
      </c>
    </row>
    <row r="556" spans="11:15">
      <c r="K556" s="1470">
        <v>42613</v>
      </c>
      <c r="L556" s="1471" t="s">
        <v>2129</v>
      </c>
      <c r="M556" s="1472">
        <v>5.2531000000000001E-2</v>
      </c>
      <c r="N556" s="1473">
        <v>1.2156990122696671</v>
      </c>
      <c r="O556" s="1473">
        <v>1.2156990122696671</v>
      </c>
    </row>
    <row r="557" spans="11:15">
      <c r="K557" s="1470">
        <v>42614</v>
      </c>
      <c r="L557" s="1471" t="s">
        <v>2129</v>
      </c>
      <c r="M557" s="1472">
        <v>5.2531000000000001E-2</v>
      </c>
      <c r="N557" s="1473">
        <v>1.2163376311178025</v>
      </c>
      <c r="O557" s="1473">
        <v>1.2163376311178025</v>
      </c>
    </row>
    <row r="558" spans="11:15">
      <c r="K558" s="1470">
        <v>42615</v>
      </c>
      <c r="L558" s="1471" t="s">
        <v>2129</v>
      </c>
      <c r="M558" s="1472">
        <v>5.2531000000000001E-2</v>
      </c>
      <c r="N558" s="1473">
        <v>1.216976585438805</v>
      </c>
      <c r="O558" s="1473">
        <v>1.216976585438805</v>
      </c>
    </row>
    <row r="559" spans="11:15">
      <c r="K559" s="1470">
        <v>42616</v>
      </c>
      <c r="L559" s="1471"/>
      <c r="M559" s="1472">
        <v>0</v>
      </c>
      <c r="N559" s="1473">
        <v>1.216976585438805</v>
      </c>
      <c r="O559" s="1473">
        <v>1.216976585438805</v>
      </c>
    </row>
    <row r="560" spans="11:15">
      <c r="K560" s="1470">
        <v>42617</v>
      </c>
      <c r="L560" s="1471"/>
      <c r="M560" s="1472">
        <v>0</v>
      </c>
      <c r="N560" s="1473">
        <v>1.216976585438805</v>
      </c>
      <c r="O560" s="1473">
        <v>1.216976585438805</v>
      </c>
    </row>
    <row r="561" spans="11:15">
      <c r="K561" s="1470">
        <v>42618</v>
      </c>
      <c r="L561" s="1471" t="s">
        <v>2129</v>
      </c>
      <c r="M561" s="1472">
        <v>5.2531000000000001E-2</v>
      </c>
      <c r="N561" s="1473">
        <v>1.2176158754089019</v>
      </c>
      <c r="O561" s="1473">
        <v>1.2176158754089019</v>
      </c>
    </row>
    <row r="562" spans="11:15">
      <c r="K562" s="1470">
        <v>42619</v>
      </c>
      <c r="L562" s="1471" t="s">
        <v>2129</v>
      </c>
      <c r="M562" s="1472">
        <v>5.2531000000000001E-2</v>
      </c>
      <c r="N562" s="1473">
        <v>1.2182555012044129</v>
      </c>
      <c r="O562" s="1473">
        <v>1.2182555012044129</v>
      </c>
    </row>
    <row r="563" spans="11:15">
      <c r="K563" s="1470">
        <v>42620</v>
      </c>
      <c r="L563" s="1471"/>
      <c r="M563" s="1472">
        <v>0</v>
      </c>
      <c r="N563" s="1473">
        <v>1.2182555012044129</v>
      </c>
      <c r="O563" s="1473">
        <v>1.2182555012044129</v>
      </c>
    </row>
    <row r="564" spans="11:15">
      <c r="K564" s="1470">
        <v>42621</v>
      </c>
      <c r="L564" s="1471" t="s">
        <v>2129</v>
      </c>
      <c r="M564" s="1472">
        <v>5.2531000000000001E-2</v>
      </c>
      <c r="N564" s="1473">
        <v>1.2188954630017506</v>
      </c>
      <c r="O564" s="1473">
        <v>1.2188954630017506</v>
      </c>
    </row>
    <row r="565" spans="11:15">
      <c r="K565" s="1470">
        <v>42622</v>
      </c>
      <c r="L565" s="1471" t="s">
        <v>2129</v>
      </c>
      <c r="M565" s="1472">
        <v>5.2531000000000001E-2</v>
      </c>
      <c r="N565" s="1473">
        <v>1.21953576097742</v>
      </c>
      <c r="O565" s="1473">
        <v>1.21953576097742</v>
      </c>
    </row>
    <row r="566" spans="11:15">
      <c r="K566" s="1470">
        <v>42623</v>
      </c>
      <c r="L566" s="1471"/>
      <c r="M566" s="1472">
        <v>0</v>
      </c>
      <c r="N566" s="1473">
        <v>1.21953576097742</v>
      </c>
      <c r="O566" s="1473">
        <v>1.21953576097742</v>
      </c>
    </row>
    <row r="567" spans="11:15">
      <c r="K567" s="1470">
        <v>42624</v>
      </c>
      <c r="L567" s="1471"/>
      <c r="M567" s="1472">
        <v>0</v>
      </c>
      <c r="N567" s="1473">
        <v>1.21953576097742</v>
      </c>
      <c r="O567" s="1473">
        <v>1.21953576097742</v>
      </c>
    </row>
    <row r="568" spans="11:15">
      <c r="K568" s="1470">
        <v>42625</v>
      </c>
      <c r="L568" s="1471" t="s">
        <v>2129</v>
      </c>
      <c r="M568" s="1472">
        <v>5.2531000000000001E-2</v>
      </c>
      <c r="N568" s="1473">
        <v>1.2201763953080191</v>
      </c>
      <c r="O568" s="1473">
        <v>1.2201763953080191</v>
      </c>
    </row>
    <row r="569" spans="11:15">
      <c r="K569" s="1470">
        <v>42626</v>
      </c>
      <c r="L569" s="1471" t="s">
        <v>2129</v>
      </c>
      <c r="M569" s="1472">
        <v>5.2531000000000001E-2</v>
      </c>
      <c r="N569" s="1473">
        <v>1.2208173661702384</v>
      </c>
      <c r="O569" s="1473">
        <v>1.2208173661702384</v>
      </c>
    </row>
    <row r="570" spans="11:15">
      <c r="K570" s="1470">
        <v>42627</v>
      </c>
      <c r="L570" s="1471" t="s">
        <v>2129</v>
      </c>
      <c r="M570" s="1472">
        <v>5.2531000000000001E-2</v>
      </c>
      <c r="N570" s="1473">
        <v>1.2214586737408613</v>
      </c>
      <c r="O570" s="1473">
        <v>1.2214586737408613</v>
      </c>
    </row>
    <row r="571" spans="11:15">
      <c r="K571" s="1470">
        <v>42628</v>
      </c>
      <c r="L571" s="1471" t="s">
        <v>2129</v>
      </c>
      <c r="M571" s="1472">
        <v>5.2531000000000001E-2</v>
      </c>
      <c r="N571" s="1473">
        <v>1.222100318196764</v>
      </c>
      <c r="O571" s="1473">
        <v>1.222100318196764</v>
      </c>
    </row>
    <row r="572" spans="11:15">
      <c r="K572" s="1470">
        <v>42629</v>
      </c>
      <c r="L572" s="1471" t="s">
        <v>2129</v>
      </c>
      <c r="M572" s="1472">
        <v>5.2531000000000001E-2</v>
      </c>
      <c r="N572" s="1473">
        <v>1.222742299714916</v>
      </c>
      <c r="O572" s="1473">
        <v>1.222742299714916</v>
      </c>
    </row>
    <row r="573" spans="11:15">
      <c r="K573" s="1470">
        <v>42630</v>
      </c>
      <c r="L573" s="1471"/>
      <c r="M573" s="1472">
        <v>0</v>
      </c>
      <c r="N573" s="1473">
        <v>1.222742299714916</v>
      </c>
      <c r="O573" s="1473">
        <v>1.222742299714916</v>
      </c>
    </row>
    <row r="574" spans="11:15">
      <c r="K574" s="1470">
        <v>42631</v>
      </c>
      <c r="L574" s="1471"/>
      <c r="M574" s="1472">
        <v>0</v>
      </c>
      <c r="N574" s="1473">
        <v>1.222742299714916</v>
      </c>
      <c r="O574" s="1473">
        <v>1.222742299714916</v>
      </c>
    </row>
    <row r="575" spans="11:15">
      <c r="K575" s="1470">
        <v>42632</v>
      </c>
      <c r="L575" s="1471" t="s">
        <v>2129</v>
      </c>
      <c r="M575" s="1472">
        <v>5.2531000000000001E-2</v>
      </c>
      <c r="N575" s="1473">
        <v>1.2233846184723793</v>
      </c>
      <c r="O575" s="1473">
        <v>1.2233846184723793</v>
      </c>
    </row>
    <row r="576" spans="11:15">
      <c r="K576" s="1470">
        <v>42633</v>
      </c>
      <c r="L576" s="1471" t="s">
        <v>2129</v>
      </c>
      <c r="M576" s="1472">
        <v>5.2531000000000001E-2</v>
      </c>
      <c r="N576" s="1473">
        <v>1.224027274646309</v>
      </c>
      <c r="O576" s="1473">
        <v>1.224027274646309</v>
      </c>
    </row>
    <row r="577" spans="11:15">
      <c r="K577" s="1470">
        <v>42634</v>
      </c>
      <c r="L577" s="1471" t="s">
        <v>2129</v>
      </c>
      <c r="M577" s="1472">
        <v>5.2531000000000001E-2</v>
      </c>
      <c r="N577" s="1473">
        <v>1.2246702684139534</v>
      </c>
      <c r="O577" s="1473">
        <v>1.2246702684139534</v>
      </c>
    </row>
    <row r="578" spans="11:15">
      <c r="K578" s="1470">
        <v>42635</v>
      </c>
      <c r="L578" s="1471" t="s">
        <v>2129</v>
      </c>
      <c r="M578" s="1472">
        <v>5.2531000000000001E-2</v>
      </c>
      <c r="N578" s="1473">
        <v>1.2253135999526539</v>
      </c>
      <c r="O578" s="1473">
        <v>1.2253135999526539</v>
      </c>
    </row>
    <row r="579" spans="11:15">
      <c r="K579" s="1470">
        <v>42636</v>
      </c>
      <c r="L579" s="1471" t="s">
        <v>2129</v>
      </c>
      <c r="M579" s="1472">
        <v>5.2531000000000001E-2</v>
      </c>
      <c r="N579" s="1473">
        <v>1.2259572694398451</v>
      </c>
      <c r="O579" s="1473">
        <v>1.2259572694398451</v>
      </c>
    </row>
    <row r="580" spans="11:15">
      <c r="K580" s="1470">
        <v>42637</v>
      </c>
      <c r="L580" s="1471"/>
      <c r="M580" s="1472">
        <v>0</v>
      </c>
      <c r="N580" s="1473">
        <v>1.2259572694398451</v>
      </c>
      <c r="O580" s="1473">
        <v>1.2259572694398451</v>
      </c>
    </row>
    <row r="581" spans="11:15">
      <c r="K581" s="1470">
        <v>42638</v>
      </c>
      <c r="L581" s="1471"/>
      <c r="M581" s="1472">
        <v>0</v>
      </c>
      <c r="N581" s="1473">
        <v>1.2259572694398451</v>
      </c>
      <c r="O581" s="1473">
        <v>1.2259572694398451</v>
      </c>
    </row>
    <row r="582" spans="11:15">
      <c r="K582" s="1470">
        <v>42639</v>
      </c>
      <c r="L582" s="1471" t="s">
        <v>2129</v>
      </c>
      <c r="M582" s="1472">
        <v>5.2531000000000001E-2</v>
      </c>
      <c r="N582" s="1473">
        <v>1.2266012770530546</v>
      </c>
      <c r="O582" s="1473">
        <v>1.2266012770530546</v>
      </c>
    </row>
    <row r="583" spans="11:15">
      <c r="K583" s="1470">
        <v>42640</v>
      </c>
      <c r="L583" s="1471" t="s">
        <v>2129</v>
      </c>
      <c r="M583" s="1472">
        <v>5.2531000000000001E-2</v>
      </c>
      <c r="N583" s="1473">
        <v>1.2272456229699034</v>
      </c>
      <c r="O583" s="1473">
        <v>1.2272456229699034</v>
      </c>
    </row>
    <row r="584" spans="11:15">
      <c r="K584" s="1470">
        <v>42641</v>
      </c>
      <c r="L584" s="1471" t="s">
        <v>2129</v>
      </c>
      <c r="M584" s="1472">
        <v>5.2531000000000001E-2</v>
      </c>
      <c r="N584" s="1473">
        <v>1.2278903073681058</v>
      </c>
      <c r="O584" s="1473">
        <v>1.2278903073681058</v>
      </c>
    </row>
    <row r="585" spans="11:15">
      <c r="K585" s="1470">
        <v>42642</v>
      </c>
      <c r="L585" s="1471" t="s">
        <v>2129</v>
      </c>
      <c r="M585" s="1472">
        <v>5.2531000000000001E-2</v>
      </c>
      <c r="N585" s="1473">
        <v>1.2285353304254694</v>
      </c>
      <c r="O585" s="1473">
        <v>1.2285353304254694</v>
      </c>
    </row>
    <row r="586" spans="11:15">
      <c r="K586" s="1470">
        <v>42643</v>
      </c>
      <c r="L586" s="1471" t="s">
        <v>2129</v>
      </c>
      <c r="M586" s="1472">
        <v>5.2531000000000001E-2</v>
      </c>
      <c r="N586" s="1473">
        <v>1.2291806923198951</v>
      </c>
      <c r="O586" s="1473">
        <v>1.2291806923198951</v>
      </c>
    </row>
    <row r="587" spans="11:15">
      <c r="K587" s="1470">
        <v>42644</v>
      </c>
      <c r="L587" s="1471"/>
      <c r="M587" s="1472">
        <v>0</v>
      </c>
      <c r="N587" s="1473">
        <v>1.2291806923198951</v>
      </c>
      <c r="O587" s="1473">
        <v>1.2291806923198951</v>
      </c>
    </row>
    <row r="588" spans="11:15">
      <c r="K588" s="1470">
        <v>42645</v>
      </c>
      <c r="L588" s="1471"/>
      <c r="M588" s="1472">
        <v>0</v>
      </c>
      <c r="N588" s="1473">
        <v>1.2291806923198951</v>
      </c>
      <c r="O588" s="1473">
        <v>1.2291806923198951</v>
      </c>
    </row>
    <row r="589" spans="11:15">
      <c r="K589" s="1470">
        <v>42646</v>
      </c>
      <c r="L589" s="1471" t="s">
        <v>2129</v>
      </c>
      <c r="M589" s="1472">
        <v>5.2531000000000001E-2</v>
      </c>
      <c r="N589" s="1473">
        <v>1.2298263932293776</v>
      </c>
      <c r="O589" s="1473">
        <v>1.2298263932293776</v>
      </c>
    </row>
    <row r="590" spans="11:15">
      <c r="K590" s="1470">
        <v>42647</v>
      </c>
      <c r="L590" s="1471" t="s">
        <v>2129</v>
      </c>
      <c r="M590" s="1472">
        <v>5.2531000000000001E-2</v>
      </c>
      <c r="N590" s="1473">
        <v>1.230472433332005</v>
      </c>
      <c r="O590" s="1473">
        <v>1.230472433332005</v>
      </c>
    </row>
    <row r="591" spans="11:15">
      <c r="K591" s="1470">
        <v>42648</v>
      </c>
      <c r="L591" s="1471" t="s">
        <v>2129</v>
      </c>
      <c r="M591" s="1472">
        <v>5.2531000000000001E-2</v>
      </c>
      <c r="N591" s="1473">
        <v>1.2311188128059587</v>
      </c>
      <c r="O591" s="1473">
        <v>1.2311188128059587</v>
      </c>
    </row>
    <row r="592" spans="11:15">
      <c r="K592" s="1470">
        <v>42649</v>
      </c>
      <c r="L592" s="1471" t="s">
        <v>2129</v>
      </c>
      <c r="M592" s="1472">
        <v>5.2531000000000001E-2</v>
      </c>
      <c r="N592" s="1473">
        <v>1.2317655318295138</v>
      </c>
      <c r="O592" s="1473">
        <v>1.2317655318295138</v>
      </c>
    </row>
    <row r="593" spans="11:15">
      <c r="K593" s="1470">
        <v>42650</v>
      </c>
      <c r="L593" s="1471" t="s">
        <v>2129</v>
      </c>
      <c r="M593" s="1472">
        <v>5.2531000000000001E-2</v>
      </c>
      <c r="N593" s="1473">
        <v>1.232412590581039</v>
      </c>
      <c r="O593" s="1473">
        <v>1.232412590581039</v>
      </c>
    </row>
    <row r="594" spans="11:15">
      <c r="K594" s="1470">
        <v>42651</v>
      </c>
      <c r="L594" s="1471"/>
      <c r="M594" s="1472">
        <v>0</v>
      </c>
      <c r="N594" s="1473">
        <v>1.232412590581039</v>
      </c>
      <c r="O594" s="1473">
        <v>1.232412590581039</v>
      </c>
    </row>
    <row r="595" spans="11:15">
      <c r="K595" s="1470">
        <v>42652</v>
      </c>
      <c r="L595" s="1471"/>
      <c r="M595" s="1472">
        <v>0</v>
      </c>
      <c r="N595" s="1473">
        <v>1.232412590581039</v>
      </c>
      <c r="O595" s="1473">
        <v>1.232412590581039</v>
      </c>
    </row>
    <row r="596" spans="11:15">
      <c r="K596" s="1470">
        <v>42653</v>
      </c>
      <c r="L596" s="1471" t="s">
        <v>2129</v>
      </c>
      <c r="M596" s="1472">
        <v>5.2531000000000001E-2</v>
      </c>
      <c r="N596" s="1473">
        <v>1.2330599892389971</v>
      </c>
      <c r="O596" s="1473">
        <v>1.2330599892389971</v>
      </c>
    </row>
    <row r="597" spans="11:15">
      <c r="K597" s="1470">
        <v>42654</v>
      </c>
      <c r="L597" s="1471" t="s">
        <v>2129</v>
      </c>
      <c r="M597" s="1472">
        <v>5.2531000000000001E-2</v>
      </c>
      <c r="N597" s="1473">
        <v>1.2337077279819442</v>
      </c>
      <c r="O597" s="1473">
        <v>1.2337077279819442</v>
      </c>
    </row>
    <row r="598" spans="11:15">
      <c r="K598" s="1470">
        <v>42655</v>
      </c>
      <c r="L598" s="1471"/>
      <c r="M598" s="1472">
        <v>0</v>
      </c>
      <c r="N598" s="1473">
        <v>1.2337077279819442</v>
      </c>
      <c r="O598" s="1473">
        <v>1.2337077279819442</v>
      </c>
    </row>
    <row r="599" spans="11:15">
      <c r="K599" s="1470">
        <v>42656</v>
      </c>
      <c r="L599" s="1471" t="s">
        <v>2129</v>
      </c>
      <c r="M599" s="1472">
        <v>5.2531000000000001E-2</v>
      </c>
      <c r="N599" s="1473">
        <v>1.2343558069885303</v>
      </c>
      <c r="O599" s="1473">
        <v>1.2343558069885303</v>
      </c>
    </row>
    <row r="600" spans="11:15">
      <c r="K600" s="1470">
        <v>42657</v>
      </c>
      <c r="L600" s="1471" t="s">
        <v>2129</v>
      </c>
      <c r="M600" s="1472">
        <v>5.2531000000000001E-2</v>
      </c>
      <c r="N600" s="1473">
        <v>1.2350042264374994</v>
      </c>
      <c r="O600" s="1473">
        <v>1.2350042264374994</v>
      </c>
    </row>
    <row r="601" spans="11:15">
      <c r="K601" s="1470">
        <v>42658</v>
      </c>
      <c r="L601" s="1471"/>
      <c r="M601" s="1472">
        <v>0</v>
      </c>
      <c r="N601" s="1473">
        <v>1.2350042264374994</v>
      </c>
      <c r="O601" s="1473">
        <v>1.2350042264374994</v>
      </c>
    </row>
    <row r="602" spans="11:15">
      <c r="K602" s="1470">
        <v>42659</v>
      </c>
      <c r="L602" s="1471"/>
      <c r="M602" s="1472">
        <v>0</v>
      </c>
      <c r="N602" s="1473">
        <v>1.2350042264374994</v>
      </c>
      <c r="O602" s="1473">
        <v>1.2350042264374994</v>
      </c>
    </row>
    <row r="603" spans="11:15">
      <c r="K603" s="1470">
        <v>42660</v>
      </c>
      <c r="L603" s="1471" t="s">
        <v>2129</v>
      </c>
      <c r="M603" s="1472">
        <v>5.2531000000000001E-2</v>
      </c>
      <c r="N603" s="1473">
        <v>1.2356529865076893</v>
      </c>
      <c r="O603" s="1473">
        <v>1.2356529865076893</v>
      </c>
    </row>
    <row r="604" spans="11:15">
      <c r="K604" s="1470">
        <v>42661</v>
      </c>
      <c r="L604" s="1471" t="s">
        <v>2129</v>
      </c>
      <c r="M604" s="1472">
        <v>5.2531000000000001E-2</v>
      </c>
      <c r="N604" s="1473">
        <v>1.2363020873780317</v>
      </c>
      <c r="O604" s="1473">
        <v>1.2363020873780317</v>
      </c>
    </row>
    <row r="605" spans="11:15">
      <c r="K605" s="1470">
        <v>42662</v>
      </c>
      <c r="L605" s="1471" t="s">
        <v>2129</v>
      </c>
      <c r="M605" s="1472">
        <v>5.2531000000000001E-2</v>
      </c>
      <c r="N605" s="1473">
        <v>1.2369515292275524</v>
      </c>
      <c r="O605" s="1473">
        <v>1.2369515292275524</v>
      </c>
    </row>
    <row r="606" spans="11:15">
      <c r="K606" s="1470">
        <v>42663</v>
      </c>
      <c r="L606" s="1471" t="s">
        <v>2129</v>
      </c>
      <c r="M606" s="1472">
        <v>5.1659999999999998E-2</v>
      </c>
      <c r="N606" s="1473">
        <v>1.2375905383875514</v>
      </c>
      <c r="O606" s="1473">
        <v>1.2376013122353708</v>
      </c>
    </row>
    <row r="607" spans="11:15">
      <c r="K607" s="1470">
        <v>42664</v>
      </c>
      <c r="L607" s="1471" t="s">
        <v>2129</v>
      </c>
      <c r="M607" s="1472">
        <v>5.1659999999999998E-2</v>
      </c>
      <c r="N607" s="1473">
        <v>1.2382298776596825</v>
      </c>
      <c r="O607" s="1473">
        <v>1.2382514365807011</v>
      </c>
    </row>
    <row r="608" spans="11:15">
      <c r="K608" s="1470">
        <v>42665</v>
      </c>
      <c r="L608" s="1471"/>
      <c r="M608" s="1472">
        <v>0</v>
      </c>
      <c r="N608" s="1473">
        <v>1.2382298776596825</v>
      </c>
      <c r="O608" s="1473">
        <v>1.2382514365807011</v>
      </c>
    </row>
    <row r="609" spans="11:15">
      <c r="K609" s="1470">
        <v>42666</v>
      </c>
      <c r="L609" s="1471"/>
      <c r="M609" s="1472">
        <v>0</v>
      </c>
      <c r="N609" s="1473">
        <v>1.2382298776596825</v>
      </c>
      <c r="O609" s="1473">
        <v>1.2382514365807011</v>
      </c>
    </row>
    <row r="610" spans="11:15">
      <c r="K610" s="1470">
        <v>42667</v>
      </c>
      <c r="L610" s="1471" t="s">
        <v>2129</v>
      </c>
      <c r="M610" s="1472">
        <v>5.1659999999999998E-2</v>
      </c>
      <c r="N610" s="1473">
        <v>1.2388695472144815</v>
      </c>
      <c r="O610" s="1473">
        <v>1.2389019024428514</v>
      </c>
    </row>
    <row r="611" spans="11:15">
      <c r="K611" s="1470">
        <v>42668</v>
      </c>
      <c r="L611" s="1471" t="s">
        <v>2129</v>
      </c>
      <c r="M611" s="1472">
        <v>5.1659999999999998E-2</v>
      </c>
      <c r="N611" s="1473">
        <v>1.2395095472225726</v>
      </c>
      <c r="O611" s="1473">
        <v>1.2395527100012236</v>
      </c>
    </row>
    <row r="612" spans="11:15">
      <c r="K612" s="1470">
        <v>42669</v>
      </c>
      <c r="L612" s="1471" t="s">
        <v>2129</v>
      </c>
      <c r="M612" s="1472">
        <v>5.1659999999999998E-2</v>
      </c>
      <c r="N612" s="1473">
        <v>1.2401498778546678</v>
      </c>
      <c r="O612" s="1473">
        <v>1.2402038594353144</v>
      </c>
    </row>
    <row r="613" spans="11:15">
      <c r="K613" s="1470">
        <v>42670</v>
      </c>
      <c r="L613" s="1471" t="s">
        <v>2129</v>
      </c>
      <c r="M613" s="1472">
        <v>5.1659999999999998E-2</v>
      </c>
      <c r="N613" s="1473">
        <v>1.2407905392815677</v>
      </c>
      <c r="O613" s="1473">
        <v>1.2408553509247144</v>
      </c>
    </row>
    <row r="614" spans="11:15">
      <c r="K614" s="1470">
        <v>42671</v>
      </c>
      <c r="L614" s="1471" t="s">
        <v>2129</v>
      </c>
      <c r="M614" s="1472">
        <v>5.1659999999999998E-2</v>
      </c>
      <c r="N614" s="1473">
        <v>1.2414315316741606</v>
      </c>
      <c r="O614" s="1473">
        <v>1.2415071846491088</v>
      </c>
    </row>
    <row r="615" spans="11:15">
      <c r="K615" s="1470">
        <v>42672</v>
      </c>
      <c r="L615" s="1471"/>
      <c r="M615" s="1472">
        <v>0</v>
      </c>
      <c r="N615" s="1473">
        <v>1.2414315316741606</v>
      </c>
      <c r="O615" s="1473">
        <v>1.2415071846491088</v>
      </c>
    </row>
    <row r="616" spans="11:15">
      <c r="K616" s="1470">
        <v>42673</v>
      </c>
      <c r="L616" s="1471"/>
      <c r="M616" s="1472">
        <v>0</v>
      </c>
      <c r="N616" s="1473">
        <v>1.2414315316741606</v>
      </c>
      <c r="O616" s="1473">
        <v>1.2415071846491088</v>
      </c>
    </row>
    <row r="617" spans="11:15">
      <c r="K617" s="1470">
        <v>42674</v>
      </c>
      <c r="L617" s="1471" t="s">
        <v>2129</v>
      </c>
      <c r="M617" s="1472">
        <v>5.1659999999999998E-2</v>
      </c>
      <c r="N617" s="1473">
        <v>1.2420728552034237</v>
      </c>
      <c r="O617" s="1473">
        <v>1.2421593607882768</v>
      </c>
    </row>
    <row r="618" spans="11:15">
      <c r="K618" s="1470">
        <v>42675</v>
      </c>
      <c r="L618" s="1471" t="s">
        <v>2129</v>
      </c>
      <c r="M618" s="1472">
        <v>5.1659999999999998E-2</v>
      </c>
      <c r="N618" s="1473">
        <v>1.242714510040422</v>
      </c>
      <c r="O618" s="1473">
        <v>1.2428118795220926</v>
      </c>
    </row>
    <row r="619" spans="11:15">
      <c r="K619" s="1470">
        <v>42676</v>
      </c>
      <c r="L619" s="1471"/>
      <c r="M619" s="1472">
        <v>0</v>
      </c>
      <c r="N619" s="1473">
        <v>1.242714510040422</v>
      </c>
      <c r="O619" s="1473">
        <v>1.2428118795220926</v>
      </c>
    </row>
    <row r="620" spans="11:15">
      <c r="K620" s="1470">
        <v>42677</v>
      </c>
      <c r="L620" s="1471" t="s">
        <v>2129</v>
      </c>
      <c r="M620" s="1472">
        <v>5.1659999999999998E-2</v>
      </c>
      <c r="N620" s="1473">
        <v>1.2433564963563091</v>
      </c>
      <c r="O620" s="1473">
        <v>1.2434647410305244</v>
      </c>
    </row>
    <row r="621" spans="11:15">
      <c r="K621" s="1470">
        <v>42678</v>
      </c>
      <c r="L621" s="1471" t="s">
        <v>2129</v>
      </c>
      <c r="M621" s="1472">
        <v>5.1659999999999998E-2</v>
      </c>
      <c r="N621" s="1473">
        <v>1.2439988143223268</v>
      </c>
      <c r="O621" s="1473">
        <v>1.2441179454936351</v>
      </c>
    </row>
    <row r="622" spans="11:15">
      <c r="K622" s="1470">
        <v>42679</v>
      </c>
      <c r="L622" s="1471"/>
      <c r="M622" s="1472">
        <v>0</v>
      </c>
      <c r="N622" s="1473">
        <v>1.2439988143223268</v>
      </c>
      <c r="O622" s="1473">
        <v>1.2441179454936351</v>
      </c>
    </row>
    <row r="623" spans="11:15">
      <c r="K623" s="1470">
        <v>42680</v>
      </c>
      <c r="L623" s="1471"/>
      <c r="M623" s="1472">
        <v>0</v>
      </c>
      <c r="N623" s="1473">
        <v>1.2439988143223268</v>
      </c>
      <c r="O623" s="1473">
        <v>1.2441179454936351</v>
      </c>
    </row>
    <row r="624" spans="11:15">
      <c r="K624" s="1470">
        <v>42681</v>
      </c>
      <c r="L624" s="1471" t="s">
        <v>2129</v>
      </c>
      <c r="M624" s="1472">
        <v>5.1659999999999998E-2</v>
      </c>
      <c r="N624" s="1473">
        <v>1.2446414641098058</v>
      </c>
      <c r="O624" s="1473">
        <v>1.2447714930915823</v>
      </c>
    </row>
    <row r="625" spans="11:15">
      <c r="K625" s="1470">
        <v>42682</v>
      </c>
      <c r="L625" s="1471" t="s">
        <v>2129</v>
      </c>
      <c r="M625" s="1472">
        <v>5.1659999999999998E-2</v>
      </c>
      <c r="N625" s="1473">
        <v>1.2452844458901651</v>
      </c>
      <c r="O625" s="1473">
        <v>1.2454253840046183</v>
      </c>
    </row>
    <row r="626" spans="11:15">
      <c r="K626" s="1470">
        <v>42683</v>
      </c>
      <c r="L626" s="1471" t="s">
        <v>2129</v>
      </c>
      <c r="M626" s="1472">
        <v>5.1659999999999998E-2</v>
      </c>
      <c r="N626" s="1473">
        <v>1.2459277598349121</v>
      </c>
      <c r="O626" s="1473">
        <v>1.2460796184130898</v>
      </c>
    </row>
    <row r="627" spans="11:15">
      <c r="K627" s="1470">
        <v>42684</v>
      </c>
      <c r="L627" s="1471" t="s">
        <v>2129</v>
      </c>
      <c r="M627" s="1472">
        <v>5.1659999999999998E-2</v>
      </c>
      <c r="N627" s="1473">
        <v>1.246571406115643</v>
      </c>
      <c r="O627" s="1473">
        <v>1.2467341964974383</v>
      </c>
    </row>
    <row r="628" spans="11:15">
      <c r="K628" s="1470">
        <v>42685</v>
      </c>
      <c r="L628" s="1471" t="s">
        <v>2129</v>
      </c>
      <c r="M628" s="1472">
        <v>5.1659999999999998E-2</v>
      </c>
      <c r="N628" s="1473">
        <v>1.2472153849040424</v>
      </c>
      <c r="O628" s="1473">
        <v>1.2473891184382004</v>
      </c>
    </row>
    <row r="629" spans="11:15">
      <c r="K629" s="1470">
        <v>42686</v>
      </c>
      <c r="L629" s="1471"/>
      <c r="M629" s="1472">
        <v>0</v>
      </c>
      <c r="N629" s="1473">
        <v>1.2472153849040424</v>
      </c>
      <c r="O629" s="1473">
        <v>1.2473891184382004</v>
      </c>
    </row>
    <row r="630" spans="11:15">
      <c r="K630" s="1470">
        <v>42687</v>
      </c>
      <c r="L630" s="1471"/>
      <c r="M630" s="1472">
        <v>0</v>
      </c>
      <c r="N630" s="1473">
        <v>1.2472153849040424</v>
      </c>
      <c r="O630" s="1473">
        <v>1.2473891184382004</v>
      </c>
    </row>
    <row r="631" spans="11:15">
      <c r="K631" s="1470">
        <v>42688</v>
      </c>
      <c r="L631" s="1471" t="s">
        <v>2129</v>
      </c>
      <c r="M631" s="1472">
        <v>5.1659999999999998E-2</v>
      </c>
      <c r="N631" s="1473">
        <v>1.247859696371884</v>
      </c>
      <c r="O631" s="1473">
        <v>1.2480443844160072</v>
      </c>
    </row>
    <row r="632" spans="11:15">
      <c r="K632" s="1470">
        <v>42689</v>
      </c>
      <c r="L632" s="1471"/>
      <c r="M632" s="1472">
        <v>0</v>
      </c>
      <c r="N632" s="1473">
        <v>1.247859696371884</v>
      </c>
      <c r="O632" s="1473">
        <v>1.2480443844160072</v>
      </c>
    </row>
    <row r="633" spans="11:15">
      <c r="K633" s="1470">
        <v>42690</v>
      </c>
      <c r="L633" s="1471" t="s">
        <v>2129</v>
      </c>
      <c r="M633" s="1472">
        <v>5.1659999999999998E-2</v>
      </c>
      <c r="N633" s="1473">
        <v>1.2485043406910299</v>
      </c>
      <c r="O633" s="1473">
        <v>1.2486999946115847</v>
      </c>
    </row>
    <row r="634" spans="11:15">
      <c r="K634" s="1470">
        <v>42691</v>
      </c>
      <c r="L634" s="1471" t="s">
        <v>2129</v>
      </c>
      <c r="M634" s="1472">
        <v>5.1659999999999998E-2</v>
      </c>
      <c r="N634" s="1473">
        <v>1.249149318033431</v>
      </c>
      <c r="O634" s="1473">
        <v>1.249355949205754</v>
      </c>
    </row>
    <row r="635" spans="11:15">
      <c r="K635" s="1470">
        <v>42692</v>
      </c>
      <c r="L635" s="1471" t="s">
        <v>2129</v>
      </c>
      <c r="M635" s="1472">
        <v>5.1659999999999998E-2</v>
      </c>
      <c r="N635" s="1473">
        <v>1.2497946285711272</v>
      </c>
      <c r="O635" s="1473">
        <v>1.2500122483794314</v>
      </c>
    </row>
    <row r="636" spans="11:15">
      <c r="K636" s="1470">
        <v>42693</v>
      </c>
      <c r="L636" s="1471"/>
      <c r="M636" s="1472">
        <v>0</v>
      </c>
      <c r="N636" s="1473">
        <v>1.2497946285711272</v>
      </c>
      <c r="O636" s="1473">
        <v>1.2500122483794314</v>
      </c>
    </row>
    <row r="637" spans="11:15">
      <c r="K637" s="1470">
        <v>42694</v>
      </c>
      <c r="L637" s="1471"/>
      <c r="M637" s="1472">
        <v>0</v>
      </c>
      <c r="N637" s="1473">
        <v>1.2497946285711272</v>
      </c>
      <c r="O637" s="1473">
        <v>1.2500122483794314</v>
      </c>
    </row>
    <row r="638" spans="11:15">
      <c r="K638" s="1470">
        <v>42695</v>
      </c>
      <c r="L638" s="1471" t="s">
        <v>2129</v>
      </c>
      <c r="M638" s="1472">
        <v>5.1659999999999998E-2</v>
      </c>
      <c r="N638" s="1473">
        <v>1.2504402724762471</v>
      </c>
      <c r="O638" s="1473">
        <v>1.2506688923136275</v>
      </c>
    </row>
    <row r="639" spans="11:15">
      <c r="K639" s="1470">
        <v>42696</v>
      </c>
      <c r="L639" s="1471" t="s">
        <v>2129</v>
      </c>
      <c r="M639" s="1472">
        <v>5.1659999999999998E-2</v>
      </c>
      <c r="N639" s="1473">
        <v>1.2510862499210085</v>
      </c>
      <c r="O639" s="1473">
        <v>1.2513258811894488</v>
      </c>
    </row>
    <row r="640" spans="11:15">
      <c r="K640" s="1470">
        <v>42697</v>
      </c>
      <c r="L640" s="1471" t="s">
        <v>2129</v>
      </c>
      <c r="M640" s="1472">
        <v>5.1659999999999998E-2</v>
      </c>
      <c r="N640" s="1473">
        <v>1.2517325610777177</v>
      </c>
      <c r="O640" s="1473">
        <v>1.2519832151880963</v>
      </c>
    </row>
    <row r="641" spans="11:15">
      <c r="K641" s="1470">
        <v>42698</v>
      </c>
      <c r="L641" s="1471" t="s">
        <v>2129</v>
      </c>
      <c r="M641" s="1472">
        <v>5.1659999999999998E-2</v>
      </c>
      <c r="N641" s="1473">
        <v>1.2523792061187706</v>
      </c>
      <c r="O641" s="1473">
        <v>1.2526408944908667</v>
      </c>
    </row>
    <row r="642" spans="11:15">
      <c r="K642" s="1470">
        <v>42699</v>
      </c>
      <c r="L642" s="1471" t="s">
        <v>2129</v>
      </c>
      <c r="M642" s="1472">
        <v>5.1659999999999998E-2</v>
      </c>
      <c r="N642" s="1473">
        <v>1.2530261852166518</v>
      </c>
      <c r="O642" s="1473">
        <v>1.2532989192791517</v>
      </c>
    </row>
    <row r="643" spans="11:15">
      <c r="K643" s="1470">
        <v>42700</v>
      </c>
      <c r="L643" s="1471"/>
      <c r="M643" s="1472">
        <v>0</v>
      </c>
      <c r="N643" s="1473">
        <v>1.2530261852166518</v>
      </c>
      <c r="O643" s="1473">
        <v>1.2532989192791517</v>
      </c>
    </row>
    <row r="644" spans="11:15">
      <c r="K644" s="1470">
        <v>42701</v>
      </c>
      <c r="L644" s="1471"/>
      <c r="M644" s="1472">
        <v>0</v>
      </c>
      <c r="N644" s="1473">
        <v>1.2530261852166518</v>
      </c>
      <c r="O644" s="1473">
        <v>1.2532989192791517</v>
      </c>
    </row>
    <row r="645" spans="11:15">
      <c r="K645" s="1470">
        <v>42702</v>
      </c>
      <c r="L645" s="1471" t="s">
        <v>2129</v>
      </c>
      <c r="M645" s="1472">
        <v>5.1659999999999998E-2</v>
      </c>
      <c r="N645" s="1473">
        <v>1.2536734985439348</v>
      </c>
      <c r="O645" s="1473">
        <v>1.2539572897344382</v>
      </c>
    </row>
    <row r="646" spans="11:15">
      <c r="K646" s="1470">
        <v>42703</v>
      </c>
      <c r="L646" s="1471" t="s">
        <v>2129</v>
      </c>
      <c r="M646" s="1472">
        <v>5.1659999999999998E-2</v>
      </c>
      <c r="N646" s="1473">
        <v>1.2543211462732828</v>
      </c>
      <c r="O646" s="1473">
        <v>1.2546160060383087</v>
      </c>
    </row>
    <row r="647" spans="11:15">
      <c r="K647" s="1470">
        <v>42704</v>
      </c>
      <c r="L647" s="1471" t="s">
        <v>2129</v>
      </c>
      <c r="M647" s="1472">
        <v>5.1659999999999998E-2</v>
      </c>
      <c r="N647" s="1473">
        <v>1.2549691285774478</v>
      </c>
      <c r="O647" s="1473">
        <v>1.2552750683724407</v>
      </c>
    </row>
    <row r="648" spans="11:15">
      <c r="K648" s="1470">
        <v>42705</v>
      </c>
      <c r="L648" s="1471" t="s">
        <v>2129</v>
      </c>
      <c r="M648" s="1472">
        <v>5.0788E-2</v>
      </c>
      <c r="N648" s="1473">
        <v>1.2556065022984697</v>
      </c>
      <c r="O648" s="1473">
        <v>1.2559344769186074</v>
      </c>
    </row>
    <row r="649" spans="11:15">
      <c r="K649" s="1470">
        <v>42706</v>
      </c>
      <c r="L649" s="1471" t="s">
        <v>2129</v>
      </c>
      <c r="M649" s="1472">
        <v>5.0788E-2</v>
      </c>
      <c r="N649" s="1473">
        <v>1.2562441997288571</v>
      </c>
      <c r="O649" s="1473">
        <v>1.2565942318586776</v>
      </c>
    </row>
    <row r="650" spans="11:15">
      <c r="K650" s="1470">
        <v>42707</v>
      </c>
      <c r="L650" s="1471"/>
      <c r="M650" s="1472">
        <v>0</v>
      </c>
      <c r="N650" s="1473">
        <v>1.2562441997288571</v>
      </c>
      <c r="O650" s="1473">
        <v>1.2565942318586776</v>
      </c>
    </row>
    <row r="651" spans="11:15">
      <c r="K651" s="1470">
        <v>42708</v>
      </c>
      <c r="L651" s="1471"/>
      <c r="M651" s="1472">
        <v>0</v>
      </c>
      <c r="N651" s="1473">
        <v>1.2562441997288571</v>
      </c>
      <c r="O651" s="1473">
        <v>1.2565942318586776</v>
      </c>
    </row>
    <row r="652" spans="11:15">
      <c r="K652" s="1470">
        <v>42709</v>
      </c>
      <c r="L652" s="1471" t="s">
        <v>2129</v>
      </c>
      <c r="M652" s="1472">
        <v>5.0788E-2</v>
      </c>
      <c r="N652" s="1473">
        <v>1.2568822210330155</v>
      </c>
      <c r="O652" s="1473">
        <v>1.2572543333746153</v>
      </c>
    </row>
    <row r="653" spans="11:15">
      <c r="K653" s="1470">
        <v>42710</v>
      </c>
      <c r="L653" s="1471" t="s">
        <v>2129</v>
      </c>
      <c r="M653" s="1472">
        <v>5.0788E-2</v>
      </c>
      <c r="N653" s="1473">
        <v>1.2575205663754339</v>
      </c>
      <c r="O653" s="1473">
        <v>1.2579147816484804</v>
      </c>
    </row>
    <row r="654" spans="11:15">
      <c r="K654" s="1470">
        <v>42711</v>
      </c>
      <c r="L654" s="1471" t="s">
        <v>2129</v>
      </c>
      <c r="M654" s="1472">
        <v>5.0788E-2</v>
      </c>
      <c r="N654" s="1473">
        <v>1.2581592359206846</v>
      </c>
      <c r="O654" s="1473">
        <v>1.258575576862428</v>
      </c>
    </row>
    <row r="655" spans="11:15">
      <c r="K655" s="1470">
        <v>42712</v>
      </c>
      <c r="L655" s="1471" t="s">
        <v>2129</v>
      </c>
      <c r="M655" s="1472">
        <v>5.0788E-2</v>
      </c>
      <c r="N655" s="1473">
        <v>1.2587982298334239</v>
      </c>
      <c r="O655" s="1473">
        <v>1.2592367191987097</v>
      </c>
    </row>
    <row r="656" spans="11:15">
      <c r="K656" s="1470">
        <v>42713</v>
      </c>
      <c r="L656" s="1471" t="s">
        <v>2129</v>
      </c>
      <c r="M656" s="1472">
        <v>5.0788E-2</v>
      </c>
      <c r="N656" s="1473">
        <v>1.2594375482783917</v>
      </c>
      <c r="O656" s="1473">
        <v>1.259898208839672</v>
      </c>
    </row>
    <row r="657" spans="11:15">
      <c r="K657" s="1470">
        <v>42714</v>
      </c>
      <c r="L657" s="1471"/>
      <c r="M657" s="1472">
        <v>0</v>
      </c>
      <c r="N657" s="1473">
        <v>1.2594375482783917</v>
      </c>
      <c r="O657" s="1473">
        <v>1.259898208839672</v>
      </c>
    </row>
    <row r="658" spans="11:15">
      <c r="K658" s="1470">
        <v>42715</v>
      </c>
      <c r="L658" s="1471"/>
      <c r="M658" s="1472">
        <v>0</v>
      </c>
      <c r="N658" s="1473">
        <v>1.2594375482783917</v>
      </c>
      <c r="O658" s="1473">
        <v>1.259898208839672</v>
      </c>
    </row>
    <row r="659" spans="11:15">
      <c r="K659" s="1470">
        <v>42716</v>
      </c>
      <c r="L659" s="1471" t="s">
        <v>2129</v>
      </c>
      <c r="M659" s="1472">
        <v>5.0788E-2</v>
      </c>
      <c r="N659" s="1473">
        <v>1.2600771914204114</v>
      </c>
      <c r="O659" s="1473">
        <v>1.2605600459677575</v>
      </c>
    </row>
    <row r="660" spans="11:15">
      <c r="K660" s="1470">
        <v>42717</v>
      </c>
      <c r="L660" s="1471" t="s">
        <v>2129</v>
      </c>
      <c r="M660" s="1472">
        <v>5.0788E-2</v>
      </c>
      <c r="N660" s="1473">
        <v>1.26071715942439</v>
      </c>
      <c r="O660" s="1473">
        <v>1.2612222307655048</v>
      </c>
    </row>
    <row r="661" spans="11:15">
      <c r="K661" s="1470">
        <v>42718</v>
      </c>
      <c r="L661" s="1471" t="s">
        <v>2129</v>
      </c>
      <c r="M661" s="1472">
        <v>5.0788E-2</v>
      </c>
      <c r="N661" s="1473">
        <v>1.2613574524553184</v>
      </c>
      <c r="O661" s="1473">
        <v>1.2618847634155481</v>
      </c>
    </row>
    <row r="662" spans="11:15">
      <c r="K662" s="1470">
        <v>42719</v>
      </c>
      <c r="L662" s="1471" t="s">
        <v>2129</v>
      </c>
      <c r="M662" s="1472">
        <v>5.0788E-2</v>
      </c>
      <c r="N662" s="1473">
        <v>1.2619980706782714</v>
      </c>
      <c r="O662" s="1473">
        <v>1.262547644100618</v>
      </c>
    </row>
    <row r="663" spans="11:15">
      <c r="K663" s="1470">
        <v>42720</v>
      </c>
      <c r="L663" s="1471" t="s">
        <v>2129</v>
      </c>
      <c r="M663" s="1472">
        <v>5.0788E-2</v>
      </c>
      <c r="N663" s="1473">
        <v>1.2626390142584074</v>
      </c>
      <c r="O663" s="1473">
        <v>1.2632108730035405</v>
      </c>
    </row>
    <row r="664" spans="11:15">
      <c r="K664" s="1470">
        <v>42721</v>
      </c>
      <c r="L664" s="1471"/>
      <c r="M664" s="1472">
        <v>0</v>
      </c>
      <c r="N664" s="1473">
        <v>1.2626390142584074</v>
      </c>
      <c r="O664" s="1473">
        <v>1.2632108730035405</v>
      </c>
    </row>
    <row r="665" spans="11:15">
      <c r="K665" s="1470">
        <v>42722</v>
      </c>
      <c r="L665" s="1471"/>
      <c r="M665" s="1472">
        <v>0</v>
      </c>
      <c r="N665" s="1473">
        <v>1.2626390142584074</v>
      </c>
      <c r="O665" s="1473">
        <v>1.2632108730035405</v>
      </c>
    </row>
    <row r="666" spans="11:15">
      <c r="K666" s="1470">
        <v>42723</v>
      </c>
      <c r="L666" s="1471" t="s">
        <v>2129</v>
      </c>
      <c r="M666" s="1472">
        <v>5.0788E-2</v>
      </c>
      <c r="N666" s="1473">
        <v>1.2632802833609691</v>
      </c>
      <c r="O666" s="1473">
        <v>1.2638744503072381</v>
      </c>
    </row>
    <row r="667" spans="11:15">
      <c r="K667" s="1470">
        <v>42724</v>
      </c>
      <c r="L667" s="1471" t="s">
        <v>2129</v>
      </c>
      <c r="M667" s="1472">
        <v>5.0788E-2</v>
      </c>
      <c r="N667" s="1473">
        <v>1.2639218781512824</v>
      </c>
      <c r="O667" s="1473">
        <v>1.2645383761947291</v>
      </c>
    </row>
    <row r="668" spans="11:15">
      <c r="K668" s="1470">
        <v>42725</v>
      </c>
      <c r="L668" s="1471" t="s">
        <v>2129</v>
      </c>
      <c r="M668" s="1472">
        <v>5.0788E-2</v>
      </c>
      <c r="N668" s="1473">
        <v>1.264563798794758</v>
      </c>
      <c r="O668" s="1473">
        <v>1.2652026508491279</v>
      </c>
    </row>
    <row r="669" spans="11:15">
      <c r="K669" s="1470">
        <v>42726</v>
      </c>
      <c r="L669" s="1471" t="s">
        <v>2129</v>
      </c>
      <c r="M669" s="1472">
        <v>5.0788E-2</v>
      </c>
      <c r="N669" s="1473">
        <v>1.2652060454568899</v>
      </c>
      <c r="O669" s="1473">
        <v>1.2658672744536454</v>
      </c>
    </row>
    <row r="670" spans="11:15">
      <c r="K670" s="1470">
        <v>42727</v>
      </c>
      <c r="L670" s="1471" t="s">
        <v>2129</v>
      </c>
      <c r="M670" s="1472">
        <v>5.0788E-2</v>
      </c>
      <c r="N670" s="1473">
        <v>1.2658486183032565</v>
      </c>
      <c r="O670" s="1473">
        <v>1.2665322471915887</v>
      </c>
    </row>
    <row r="671" spans="11:15">
      <c r="K671" s="1470">
        <v>42728</v>
      </c>
      <c r="L671" s="1471"/>
      <c r="M671" s="1472">
        <v>0</v>
      </c>
      <c r="N671" s="1473">
        <v>1.2658486183032565</v>
      </c>
      <c r="O671" s="1473">
        <v>1.2665322471915887</v>
      </c>
    </row>
    <row r="672" spans="11:15">
      <c r="K672" s="1470">
        <v>42729</v>
      </c>
      <c r="L672" s="1471"/>
      <c r="M672" s="1472">
        <v>0</v>
      </c>
      <c r="N672" s="1473">
        <v>1.2658486183032565</v>
      </c>
      <c r="O672" s="1473">
        <v>1.2665322471915887</v>
      </c>
    </row>
    <row r="673" spans="11:15">
      <c r="K673" s="1470">
        <v>42730</v>
      </c>
      <c r="L673" s="1471" t="s">
        <v>2129</v>
      </c>
      <c r="M673" s="1472">
        <v>5.0788E-2</v>
      </c>
      <c r="N673" s="1473">
        <v>1.2664915174995204</v>
      </c>
      <c r="O673" s="1473">
        <v>1.2671975692463611</v>
      </c>
    </row>
    <row r="674" spans="11:15">
      <c r="K674" s="1470">
        <v>42731</v>
      </c>
      <c r="L674" s="1471" t="s">
        <v>2129</v>
      </c>
      <c r="M674" s="1472">
        <v>5.0788E-2</v>
      </c>
      <c r="N674" s="1473">
        <v>1.2671347432114282</v>
      </c>
      <c r="O674" s="1473">
        <v>1.2678632408014618</v>
      </c>
    </row>
    <row r="675" spans="11:15">
      <c r="K675" s="1470">
        <v>42732</v>
      </c>
      <c r="L675" s="1471" t="s">
        <v>2129</v>
      </c>
      <c r="M675" s="1472">
        <v>5.0788E-2</v>
      </c>
      <c r="N675" s="1473">
        <v>1.2677782956048105</v>
      </c>
      <c r="O675" s="1473">
        <v>1.2685292620404873</v>
      </c>
    </row>
    <row r="676" spans="11:15">
      <c r="K676" s="1470">
        <v>42733</v>
      </c>
      <c r="L676" s="1471" t="s">
        <v>2129</v>
      </c>
      <c r="M676" s="1472">
        <v>5.0788E-2</v>
      </c>
      <c r="N676" s="1473">
        <v>1.2684221748455822</v>
      </c>
      <c r="O676" s="1473">
        <v>1.2691956331471299</v>
      </c>
    </row>
    <row r="677" spans="11:15">
      <c r="K677" s="1470">
        <v>42734</v>
      </c>
      <c r="L677" s="1471" t="s">
        <v>2129</v>
      </c>
      <c r="M677" s="1472">
        <v>5.0788E-2</v>
      </c>
      <c r="N677" s="1473">
        <v>1.2690663810997427</v>
      </c>
      <c r="O677" s="1473">
        <v>1.2698623543051784</v>
      </c>
    </row>
    <row r="678" spans="11:15">
      <c r="K678" s="1470">
        <v>42735</v>
      </c>
      <c r="L678" s="1471"/>
      <c r="M678" s="1472">
        <v>0</v>
      </c>
      <c r="N678" s="1473">
        <v>1.2690663810997427</v>
      </c>
      <c r="O678" s="1473">
        <v>1.2698623543051784</v>
      </c>
    </row>
    <row r="679" spans="11:15">
      <c r="K679" s="1470">
        <v>42736</v>
      </c>
      <c r="L679" s="1471"/>
      <c r="M679" s="1472">
        <v>0</v>
      </c>
      <c r="N679" s="1473">
        <v>1.2690663810997427</v>
      </c>
      <c r="O679" s="1473">
        <v>1.2698623543051784</v>
      </c>
    </row>
    <row r="680" spans="11:15">
      <c r="K680" s="1470">
        <v>42737</v>
      </c>
      <c r="L680" s="1471" t="s">
        <v>2129</v>
      </c>
      <c r="M680" s="1472">
        <v>5.0788E-2</v>
      </c>
      <c r="N680" s="1473">
        <v>1.2697109145333756</v>
      </c>
      <c r="O680" s="1473">
        <v>1.2705294256985185</v>
      </c>
    </row>
    <row r="681" spans="11:15">
      <c r="K681" s="1470">
        <v>42738</v>
      </c>
      <c r="L681" s="1471" t="s">
        <v>2129</v>
      </c>
      <c r="M681" s="1472">
        <v>5.0788E-2</v>
      </c>
      <c r="N681" s="1473">
        <v>1.2703557753126489</v>
      </c>
      <c r="O681" s="1473">
        <v>1.2711968475111322</v>
      </c>
    </row>
    <row r="682" spans="11:15">
      <c r="K682" s="1470">
        <v>42739</v>
      </c>
      <c r="L682" s="1471" t="s">
        <v>2129</v>
      </c>
      <c r="M682" s="1472">
        <v>5.0788E-2</v>
      </c>
      <c r="N682" s="1473">
        <v>1.2710009636038146</v>
      </c>
      <c r="O682" s="1473">
        <v>1.2718646199270982</v>
      </c>
    </row>
    <row r="683" spans="11:15">
      <c r="K683" s="1470">
        <v>42740</v>
      </c>
      <c r="L683" s="1471" t="s">
        <v>2129</v>
      </c>
      <c r="M683" s="1472">
        <v>5.0788E-2</v>
      </c>
      <c r="N683" s="1473">
        <v>1.2716464795732099</v>
      </c>
      <c r="O683" s="1473">
        <v>1.2725327431305922</v>
      </c>
    </row>
    <row r="684" spans="11:15">
      <c r="K684" s="1470">
        <v>42741</v>
      </c>
      <c r="L684" s="1471" t="s">
        <v>2129</v>
      </c>
      <c r="M684" s="1472">
        <v>5.0788E-2</v>
      </c>
      <c r="N684" s="1473">
        <v>1.2722923233872556</v>
      </c>
      <c r="O684" s="1473">
        <v>1.2732012173058862</v>
      </c>
    </row>
    <row r="685" spans="11:15">
      <c r="K685" s="1470">
        <v>42742</v>
      </c>
      <c r="L685" s="1471"/>
      <c r="M685" s="1472">
        <v>0</v>
      </c>
      <c r="N685" s="1473">
        <v>1.2722923233872556</v>
      </c>
      <c r="O685" s="1473">
        <v>1.2732012173058862</v>
      </c>
    </row>
    <row r="686" spans="11:15">
      <c r="K686" s="1470">
        <v>42743</v>
      </c>
      <c r="L686" s="1471"/>
      <c r="M686" s="1472">
        <v>0</v>
      </c>
      <c r="N686" s="1473">
        <v>1.2722923233872556</v>
      </c>
      <c r="O686" s="1473">
        <v>1.2732012173058862</v>
      </c>
    </row>
    <row r="687" spans="11:15">
      <c r="K687" s="1470">
        <v>42744</v>
      </c>
      <c r="L687" s="1471" t="s">
        <v>2129</v>
      </c>
      <c r="M687" s="1472">
        <v>5.0788E-2</v>
      </c>
      <c r="N687" s="1473">
        <v>1.2729384952124576</v>
      </c>
      <c r="O687" s="1473">
        <v>1.2738700426373493</v>
      </c>
    </row>
    <row r="688" spans="11:15">
      <c r="K688" s="1470">
        <v>42745</v>
      </c>
      <c r="L688" s="1471" t="s">
        <v>2129</v>
      </c>
      <c r="M688" s="1472">
        <v>5.0788E-2</v>
      </c>
      <c r="N688" s="1473">
        <v>1.2735849952154061</v>
      </c>
      <c r="O688" s="1473">
        <v>1.2745392193094471</v>
      </c>
    </row>
    <row r="689" spans="11:15">
      <c r="K689" s="1470">
        <v>42746</v>
      </c>
      <c r="L689" s="1471" t="s">
        <v>2129</v>
      </c>
      <c r="M689" s="1472">
        <v>5.0788E-2</v>
      </c>
      <c r="N689" s="1473">
        <v>1.2742318235627761</v>
      </c>
      <c r="O689" s="1473">
        <v>1.2752087475067426</v>
      </c>
    </row>
    <row r="690" spans="11:15">
      <c r="K690" s="1470">
        <v>42747</v>
      </c>
      <c r="L690" s="1471" t="s">
        <v>2129</v>
      </c>
      <c r="M690" s="1472">
        <v>4.8159E-2</v>
      </c>
      <c r="N690" s="1473">
        <v>1.2748454808666856</v>
      </c>
      <c r="O690" s="1473">
        <v>1.2758786274138953</v>
      </c>
    </row>
    <row r="691" spans="11:15">
      <c r="K691" s="1470">
        <v>42748</v>
      </c>
      <c r="L691" s="1471" t="s">
        <v>2129</v>
      </c>
      <c r="M691" s="1472">
        <v>4.8159E-2</v>
      </c>
      <c r="N691" s="1473">
        <v>1.2754594337018161</v>
      </c>
      <c r="O691" s="1473">
        <v>1.2765488592156622</v>
      </c>
    </row>
    <row r="692" spans="11:15">
      <c r="K692" s="1470">
        <v>42749</v>
      </c>
      <c r="L692" s="1471"/>
      <c r="M692" s="1472">
        <v>0</v>
      </c>
      <c r="N692" s="1473">
        <v>1.2754594337018161</v>
      </c>
      <c r="O692" s="1473">
        <v>1.2765488592156622</v>
      </c>
    </row>
    <row r="693" spans="11:15">
      <c r="K693" s="1470">
        <v>42750</v>
      </c>
      <c r="L693" s="1471"/>
      <c r="M693" s="1472">
        <v>0</v>
      </c>
      <c r="N693" s="1473">
        <v>1.2754594337018161</v>
      </c>
      <c r="O693" s="1473">
        <v>1.2765488592156622</v>
      </c>
    </row>
    <row r="694" spans="11:15">
      <c r="K694" s="1470">
        <v>42751</v>
      </c>
      <c r="L694" s="1471" t="s">
        <v>2129</v>
      </c>
      <c r="M694" s="1472">
        <v>4.8159E-2</v>
      </c>
      <c r="N694" s="1473">
        <v>1.2760736822104926</v>
      </c>
      <c r="O694" s="1473">
        <v>1.2772194430968968</v>
      </c>
    </row>
    <row r="695" spans="11:15">
      <c r="K695" s="1470">
        <v>42752</v>
      </c>
      <c r="L695" s="1471" t="s">
        <v>2129</v>
      </c>
      <c r="M695" s="1472">
        <v>4.8159E-2</v>
      </c>
      <c r="N695" s="1473">
        <v>1.2766882265351083</v>
      </c>
      <c r="O695" s="1473">
        <v>1.27789037924255</v>
      </c>
    </row>
    <row r="696" spans="11:15">
      <c r="K696" s="1470">
        <v>42753</v>
      </c>
      <c r="L696" s="1471" t="s">
        <v>2129</v>
      </c>
      <c r="M696" s="1472">
        <v>4.8159E-2</v>
      </c>
      <c r="N696" s="1473">
        <v>1.2773030668181251</v>
      </c>
      <c r="O696" s="1473">
        <v>1.2785616678376699</v>
      </c>
    </row>
    <row r="697" spans="11:15">
      <c r="K697" s="1470">
        <v>42754</v>
      </c>
      <c r="L697" s="1471" t="s">
        <v>2129</v>
      </c>
      <c r="M697" s="1472">
        <v>4.8159E-2</v>
      </c>
      <c r="N697" s="1473">
        <v>1.2779182032020739</v>
      </c>
      <c r="O697" s="1473">
        <v>1.2792333090674017</v>
      </c>
    </row>
    <row r="698" spans="11:15">
      <c r="K698" s="1470">
        <v>42755</v>
      </c>
      <c r="L698" s="1471" t="s">
        <v>2129</v>
      </c>
      <c r="M698" s="1472">
        <v>4.8159E-2</v>
      </c>
      <c r="N698" s="1473">
        <v>1.278533635829554</v>
      </c>
      <c r="O698" s="1473">
        <v>1.279905303116988</v>
      </c>
    </row>
    <row r="699" spans="11:15">
      <c r="K699" s="1470">
        <v>42756</v>
      </c>
      <c r="L699" s="1471"/>
      <c r="M699" s="1472">
        <v>0</v>
      </c>
      <c r="N699" s="1473">
        <v>1.278533635829554</v>
      </c>
      <c r="O699" s="1473">
        <v>1.279905303116988</v>
      </c>
    </row>
    <row r="700" spans="11:15">
      <c r="K700" s="1470">
        <v>42757</v>
      </c>
      <c r="L700" s="1471"/>
      <c r="M700" s="1472">
        <v>0</v>
      </c>
      <c r="N700" s="1473">
        <v>1.278533635829554</v>
      </c>
      <c r="O700" s="1473">
        <v>1.279905303116988</v>
      </c>
    </row>
    <row r="701" spans="11:15">
      <c r="K701" s="1470">
        <v>42758</v>
      </c>
      <c r="L701" s="1471" t="s">
        <v>2129</v>
      </c>
      <c r="M701" s="1472">
        <v>4.8159E-2</v>
      </c>
      <c r="N701" s="1473">
        <v>1.279149364843233</v>
      </c>
      <c r="O701" s="1473">
        <v>1.2805776501717685</v>
      </c>
    </row>
    <row r="702" spans="11:15">
      <c r="K702" s="1470">
        <v>42759</v>
      </c>
      <c r="L702" s="1471" t="s">
        <v>2129</v>
      </c>
      <c r="M702" s="1472">
        <v>4.8159E-2</v>
      </c>
      <c r="N702" s="1473">
        <v>1.2797653903858479</v>
      </c>
      <c r="O702" s="1473">
        <v>1.2812503504171802</v>
      </c>
    </row>
    <row r="703" spans="11:15">
      <c r="K703" s="1470">
        <v>42760</v>
      </c>
      <c r="L703" s="1471" t="s">
        <v>2129</v>
      </c>
      <c r="M703" s="1472">
        <v>4.8159E-2</v>
      </c>
      <c r="N703" s="1473">
        <v>1.2803817126002037</v>
      </c>
      <c r="O703" s="1473">
        <v>1.2819234040387577</v>
      </c>
    </row>
    <row r="704" spans="11:15">
      <c r="K704" s="1470">
        <v>42761</v>
      </c>
      <c r="L704" s="1471" t="s">
        <v>2129</v>
      </c>
      <c r="M704" s="1472">
        <v>4.8159E-2</v>
      </c>
      <c r="N704" s="1473">
        <v>1.2809983316291746</v>
      </c>
      <c r="O704" s="1473">
        <v>1.2825968112221333</v>
      </c>
    </row>
    <row r="705" spans="11:15">
      <c r="K705" s="1470">
        <v>42762</v>
      </c>
      <c r="L705" s="1471" t="s">
        <v>2129</v>
      </c>
      <c r="M705" s="1472">
        <v>4.8159E-2</v>
      </c>
      <c r="N705" s="1473">
        <v>1.2816152476157039</v>
      </c>
      <c r="O705" s="1473">
        <v>1.2832705721530364</v>
      </c>
    </row>
    <row r="706" spans="11:15">
      <c r="K706" s="1470">
        <v>42763</v>
      </c>
      <c r="L706" s="1471"/>
      <c r="M706" s="1472">
        <v>0</v>
      </c>
      <c r="N706" s="1473">
        <v>1.2816152476157039</v>
      </c>
      <c r="O706" s="1473">
        <v>1.2832705721530364</v>
      </c>
    </row>
    <row r="707" spans="11:15">
      <c r="K707" s="1470">
        <v>42764</v>
      </c>
      <c r="L707" s="1471"/>
      <c r="M707" s="1472">
        <v>0</v>
      </c>
      <c r="N707" s="1473">
        <v>1.2816152476157039</v>
      </c>
      <c r="O707" s="1473">
        <v>1.2832705721530364</v>
      </c>
    </row>
    <row r="708" spans="11:15">
      <c r="K708" s="1470">
        <v>42765</v>
      </c>
      <c r="L708" s="1471" t="s">
        <v>2129</v>
      </c>
      <c r="M708" s="1472">
        <v>4.8159E-2</v>
      </c>
      <c r="N708" s="1473">
        <v>1.2822324607028031</v>
      </c>
      <c r="O708" s="1473">
        <v>1.2839446870172941</v>
      </c>
    </row>
    <row r="709" spans="11:15">
      <c r="K709" s="1470">
        <v>42766</v>
      </c>
      <c r="L709" s="1471" t="s">
        <v>2129</v>
      </c>
      <c r="M709" s="1472">
        <v>4.8159E-2</v>
      </c>
      <c r="N709" s="1473">
        <v>1.2828499710335528</v>
      </c>
      <c r="O709" s="1473">
        <v>1.2846191560008311</v>
      </c>
    </row>
    <row r="710" spans="11:15">
      <c r="K710" s="1470">
        <v>42767</v>
      </c>
      <c r="L710" s="1471" t="s">
        <v>2129</v>
      </c>
      <c r="M710" s="1472">
        <v>4.8159E-2</v>
      </c>
      <c r="N710" s="1473">
        <v>1.2834677787511029</v>
      </c>
      <c r="O710" s="1473">
        <v>1.2852939792896698</v>
      </c>
    </row>
    <row r="711" spans="11:15">
      <c r="K711" s="1470">
        <v>42768</v>
      </c>
      <c r="L711" s="1471" t="s">
        <v>2129</v>
      </c>
      <c r="M711" s="1472">
        <v>4.8159E-2</v>
      </c>
      <c r="N711" s="1473">
        <v>1.2840858839986715</v>
      </c>
      <c r="O711" s="1473">
        <v>1.2859691570699305</v>
      </c>
    </row>
    <row r="712" spans="11:15">
      <c r="K712" s="1470">
        <v>42769</v>
      </c>
      <c r="L712" s="1471" t="s">
        <v>2129</v>
      </c>
      <c r="M712" s="1472">
        <v>4.8159E-2</v>
      </c>
      <c r="N712" s="1473">
        <v>1.2847042869195464</v>
      </c>
      <c r="O712" s="1473">
        <v>1.286644689527831</v>
      </c>
    </row>
    <row r="713" spans="11:15">
      <c r="K713" s="1470">
        <v>42770</v>
      </c>
      <c r="L713" s="1471"/>
      <c r="M713" s="1472">
        <v>0</v>
      </c>
      <c r="N713" s="1473">
        <v>1.2847042869195464</v>
      </c>
      <c r="O713" s="1473">
        <v>1.286644689527831</v>
      </c>
    </row>
    <row r="714" spans="11:15">
      <c r="K714" s="1470">
        <v>42771</v>
      </c>
      <c r="L714" s="1471"/>
      <c r="M714" s="1472">
        <v>0</v>
      </c>
      <c r="N714" s="1473">
        <v>1.2847042869195464</v>
      </c>
      <c r="O714" s="1473">
        <v>1.286644689527831</v>
      </c>
    </row>
    <row r="715" spans="11:15">
      <c r="K715" s="1470">
        <v>42772</v>
      </c>
      <c r="L715" s="1471" t="s">
        <v>2129</v>
      </c>
      <c r="M715" s="1472">
        <v>4.8159E-2</v>
      </c>
      <c r="N715" s="1473">
        <v>1.285322987657084</v>
      </c>
      <c r="O715" s="1473">
        <v>1.2873205768496869</v>
      </c>
    </row>
    <row r="716" spans="11:15">
      <c r="K716" s="1470">
        <v>42773</v>
      </c>
      <c r="L716" s="1471" t="s">
        <v>2129</v>
      </c>
      <c r="M716" s="1472">
        <v>4.8159E-2</v>
      </c>
      <c r="N716" s="1473">
        <v>1.2859419863547097</v>
      </c>
      <c r="O716" s="1473">
        <v>1.2879968192219118</v>
      </c>
    </row>
    <row r="717" spans="11:15">
      <c r="K717" s="1470">
        <v>42774</v>
      </c>
      <c r="L717" s="1471" t="s">
        <v>2129</v>
      </c>
      <c r="M717" s="1472">
        <v>4.8159E-2</v>
      </c>
      <c r="N717" s="1473">
        <v>1.2865612831559181</v>
      </c>
      <c r="O717" s="1473">
        <v>1.2886734168310172</v>
      </c>
    </row>
    <row r="718" spans="11:15">
      <c r="K718" s="1470">
        <v>42775</v>
      </c>
      <c r="L718" s="1471" t="s">
        <v>2129</v>
      </c>
      <c r="M718" s="1472">
        <v>4.8159E-2</v>
      </c>
      <c r="N718" s="1473">
        <v>1.2871808782042731</v>
      </c>
      <c r="O718" s="1473">
        <v>1.2893503698636126</v>
      </c>
    </row>
    <row r="719" spans="11:15">
      <c r="K719" s="1470">
        <v>42776</v>
      </c>
      <c r="L719" s="1471" t="s">
        <v>2129</v>
      </c>
      <c r="M719" s="1472">
        <v>4.8159E-2</v>
      </c>
      <c r="N719" s="1473">
        <v>1.2878007716434074</v>
      </c>
      <c r="O719" s="1473">
        <v>1.2900276785064058</v>
      </c>
    </row>
    <row r="720" spans="11:15">
      <c r="K720" s="1470">
        <v>42777</v>
      </c>
      <c r="L720" s="1471"/>
      <c r="M720" s="1472">
        <v>0</v>
      </c>
      <c r="N720" s="1473">
        <v>1.2878007716434074</v>
      </c>
      <c r="O720" s="1473">
        <v>1.2900276785064058</v>
      </c>
    </row>
    <row r="721" spans="11:15">
      <c r="K721" s="1470">
        <v>42778</v>
      </c>
      <c r="L721" s="1471"/>
      <c r="M721" s="1472">
        <v>0</v>
      </c>
      <c r="N721" s="1473">
        <v>1.2878007716434074</v>
      </c>
      <c r="O721" s="1473">
        <v>1.2900276785064058</v>
      </c>
    </row>
    <row r="722" spans="11:15">
      <c r="K722" s="1470">
        <v>42779</v>
      </c>
      <c r="L722" s="1471" t="s">
        <v>2129</v>
      </c>
      <c r="M722" s="1472">
        <v>4.8159E-2</v>
      </c>
      <c r="N722" s="1473">
        <v>1.2884209636170232</v>
      </c>
      <c r="O722" s="1473">
        <v>1.2907053429462019</v>
      </c>
    </row>
    <row r="723" spans="11:15">
      <c r="K723" s="1470">
        <v>42780</v>
      </c>
      <c r="L723" s="1471" t="s">
        <v>2129</v>
      </c>
      <c r="M723" s="1472">
        <v>4.8159E-2</v>
      </c>
      <c r="N723" s="1473">
        <v>1.2890414542688915</v>
      </c>
      <c r="O723" s="1473">
        <v>1.291383363369905</v>
      </c>
    </row>
    <row r="724" spans="11:15">
      <c r="K724" s="1470">
        <v>42781</v>
      </c>
      <c r="L724" s="1471" t="s">
        <v>2129</v>
      </c>
      <c r="M724" s="1472">
        <v>4.8159E-2</v>
      </c>
      <c r="N724" s="1473">
        <v>1.2896622437428527</v>
      </c>
      <c r="O724" s="1473">
        <v>1.2920617399645169</v>
      </c>
    </row>
    <row r="725" spans="11:15">
      <c r="K725" s="1470">
        <v>42782</v>
      </c>
      <c r="L725" s="1471" t="s">
        <v>2129</v>
      </c>
      <c r="M725" s="1472">
        <v>4.8159E-2</v>
      </c>
      <c r="N725" s="1473">
        <v>1.2902833321828167</v>
      </c>
      <c r="O725" s="1473">
        <v>1.2927404729171377</v>
      </c>
    </row>
    <row r="726" spans="11:15">
      <c r="K726" s="1470">
        <v>42783</v>
      </c>
      <c r="L726" s="1471" t="s">
        <v>2129</v>
      </c>
      <c r="M726" s="1472">
        <v>4.8159E-2</v>
      </c>
      <c r="N726" s="1473">
        <v>1.2909047197327626</v>
      </c>
      <c r="O726" s="1473">
        <v>1.2934195624149658</v>
      </c>
    </row>
    <row r="727" spans="11:15">
      <c r="K727" s="1470">
        <v>42784</v>
      </c>
      <c r="L727" s="1471"/>
      <c r="M727" s="1472">
        <v>0</v>
      </c>
      <c r="N727" s="1473">
        <v>1.2909047197327626</v>
      </c>
      <c r="O727" s="1473">
        <v>1.2934195624149658</v>
      </c>
    </row>
    <row r="728" spans="11:15">
      <c r="K728" s="1470">
        <v>42785</v>
      </c>
      <c r="L728" s="1471"/>
      <c r="M728" s="1472">
        <v>0</v>
      </c>
      <c r="N728" s="1473">
        <v>1.2909047197327626</v>
      </c>
      <c r="O728" s="1473">
        <v>1.2934195624149658</v>
      </c>
    </row>
    <row r="729" spans="11:15">
      <c r="K729" s="1470">
        <v>42786</v>
      </c>
      <c r="L729" s="1471" t="s">
        <v>2129</v>
      </c>
      <c r="M729" s="1472">
        <v>4.8159E-2</v>
      </c>
      <c r="N729" s="1473">
        <v>1.2915264065367384</v>
      </c>
      <c r="O729" s="1473">
        <v>1.2940990086452979</v>
      </c>
    </row>
    <row r="730" spans="11:15">
      <c r="K730" s="1470">
        <v>42787</v>
      </c>
      <c r="L730" s="1471" t="s">
        <v>2129</v>
      </c>
      <c r="M730" s="1472">
        <v>4.8159E-2</v>
      </c>
      <c r="N730" s="1473">
        <v>1.2921483927388624</v>
      </c>
      <c r="O730" s="1473">
        <v>1.2947788117955294</v>
      </c>
    </row>
    <row r="731" spans="11:15">
      <c r="K731" s="1470">
        <v>42788</v>
      </c>
      <c r="L731" s="1471" t="s">
        <v>2129</v>
      </c>
      <c r="M731" s="1472">
        <v>4.8159E-2</v>
      </c>
      <c r="N731" s="1473">
        <v>1.2927706784833215</v>
      </c>
      <c r="O731" s="1473">
        <v>1.2954589720531537</v>
      </c>
    </row>
    <row r="732" spans="11:15">
      <c r="K732" s="1470">
        <v>42789</v>
      </c>
      <c r="L732" s="1471" t="s">
        <v>2129</v>
      </c>
      <c r="M732" s="1472">
        <v>4.5512999999999998E-2</v>
      </c>
      <c r="N732" s="1473">
        <v>1.2933590572022196</v>
      </c>
      <c r="O732" s="1473">
        <v>1.296139489605763</v>
      </c>
    </row>
    <row r="733" spans="11:15">
      <c r="K733" s="1470">
        <v>42790</v>
      </c>
      <c r="L733" s="1471" t="s">
        <v>2129</v>
      </c>
      <c r="M733" s="1472">
        <v>4.5512999999999998E-2</v>
      </c>
      <c r="N733" s="1473">
        <v>1.2939477037099241</v>
      </c>
      <c r="O733" s="1473">
        <v>1.2968203646410479</v>
      </c>
    </row>
    <row r="734" spans="11:15">
      <c r="K734" s="1470">
        <v>42791</v>
      </c>
      <c r="L734" s="1471"/>
      <c r="M734" s="1472">
        <v>0</v>
      </c>
      <c r="N734" s="1473">
        <v>1.2939477037099241</v>
      </c>
      <c r="O734" s="1473">
        <v>1.2968203646410479</v>
      </c>
    </row>
    <row r="735" spans="11:15">
      <c r="K735" s="1470">
        <v>42792</v>
      </c>
      <c r="L735" s="1471"/>
      <c r="M735" s="1472">
        <v>0</v>
      </c>
      <c r="N735" s="1473">
        <v>1.2939477037099241</v>
      </c>
      <c r="O735" s="1473">
        <v>1.2968203646410479</v>
      </c>
    </row>
    <row r="736" spans="11:15">
      <c r="K736" s="1470">
        <v>42793</v>
      </c>
      <c r="L736" s="1471"/>
      <c r="M736" s="1472">
        <v>0</v>
      </c>
      <c r="N736" s="1473">
        <v>1.2939477037099241</v>
      </c>
      <c r="O736" s="1473">
        <v>1.2968203646410479</v>
      </c>
    </row>
    <row r="737" spans="11:15">
      <c r="K737" s="1470">
        <v>42794</v>
      </c>
      <c r="L737" s="1471"/>
      <c r="M737" s="1472">
        <v>0</v>
      </c>
      <c r="N737" s="1473">
        <v>1.2939477037099241</v>
      </c>
      <c r="O737" s="1473">
        <v>1.2968203646410479</v>
      </c>
    </row>
    <row r="738" spans="11:15">
      <c r="K738" s="1470">
        <v>42795</v>
      </c>
      <c r="L738" s="1471" t="s">
        <v>2129</v>
      </c>
      <c r="M738" s="1472">
        <v>4.5512999999999998E-2</v>
      </c>
      <c r="N738" s="1473">
        <v>1.2945366181283136</v>
      </c>
      <c r="O738" s="1473">
        <v>1.2975015973467974</v>
      </c>
    </row>
    <row r="739" spans="11:15">
      <c r="K739" s="1470">
        <v>42796</v>
      </c>
      <c r="L739" s="1471" t="s">
        <v>2129</v>
      </c>
      <c r="M739" s="1472">
        <v>4.5512999999999998E-2</v>
      </c>
      <c r="N739" s="1473">
        <v>1.2951258005793223</v>
      </c>
      <c r="O739" s="1473">
        <v>1.2981831879108996</v>
      </c>
    </row>
    <row r="740" spans="11:15">
      <c r="K740" s="1470">
        <v>42797</v>
      </c>
      <c r="L740" s="1471" t="s">
        <v>2129</v>
      </c>
      <c r="M740" s="1472">
        <v>4.5512999999999998E-2</v>
      </c>
      <c r="N740" s="1473">
        <v>1.2957152511849399</v>
      </c>
      <c r="O740" s="1473">
        <v>1.2988651365213411</v>
      </c>
    </row>
    <row r="741" spans="11:15">
      <c r="K741" s="1470">
        <v>42798</v>
      </c>
      <c r="L741" s="1471"/>
      <c r="M741" s="1472">
        <v>0</v>
      </c>
      <c r="N741" s="1473">
        <v>1.2957152511849399</v>
      </c>
      <c r="O741" s="1473">
        <v>1.2988651365213411</v>
      </c>
    </row>
    <row r="742" spans="11:15">
      <c r="K742" s="1470">
        <v>42799</v>
      </c>
      <c r="L742" s="1471"/>
      <c r="M742" s="1472">
        <v>0</v>
      </c>
      <c r="N742" s="1473">
        <v>1.2957152511849399</v>
      </c>
      <c r="O742" s="1473">
        <v>1.2988651365213411</v>
      </c>
    </row>
    <row r="743" spans="11:15">
      <c r="K743" s="1470">
        <v>42800</v>
      </c>
      <c r="L743" s="1471" t="s">
        <v>2129</v>
      </c>
      <c r="M743" s="1472">
        <v>4.5512999999999998E-2</v>
      </c>
      <c r="N743" s="1473">
        <v>1.2963049700672116</v>
      </c>
      <c r="O743" s="1473">
        <v>1.2995474433662071</v>
      </c>
    </row>
    <row r="744" spans="11:15">
      <c r="K744" s="1470">
        <v>42801</v>
      </c>
      <c r="L744" s="1471" t="s">
        <v>2129</v>
      </c>
      <c r="M744" s="1472">
        <v>4.5512999999999998E-2</v>
      </c>
      <c r="N744" s="1473">
        <v>1.2968949573482382</v>
      </c>
      <c r="O744" s="1473">
        <v>1.3002301086336818</v>
      </c>
    </row>
    <row r="745" spans="11:15">
      <c r="K745" s="1470">
        <v>42802</v>
      </c>
      <c r="L745" s="1471" t="s">
        <v>2129</v>
      </c>
      <c r="M745" s="1472">
        <v>4.5512999999999998E-2</v>
      </c>
      <c r="N745" s="1473">
        <v>1.2974852131501762</v>
      </c>
      <c r="O745" s="1473">
        <v>1.3009131325120482</v>
      </c>
    </row>
    <row r="746" spans="11:15">
      <c r="K746" s="1470">
        <v>42803</v>
      </c>
      <c r="L746" s="1471" t="s">
        <v>2129</v>
      </c>
      <c r="M746" s="1472">
        <v>4.5512999999999998E-2</v>
      </c>
      <c r="N746" s="1473">
        <v>1.2980757375952372</v>
      </c>
      <c r="O746" s="1473">
        <v>1.3015965151896882</v>
      </c>
    </row>
    <row r="747" spans="11:15">
      <c r="K747" s="1470">
        <v>42804</v>
      </c>
      <c r="L747" s="1471" t="s">
        <v>2129</v>
      </c>
      <c r="M747" s="1472">
        <v>4.5512999999999998E-2</v>
      </c>
      <c r="N747" s="1473">
        <v>1.2986665308056888</v>
      </c>
      <c r="O747" s="1473">
        <v>1.3022802568550824</v>
      </c>
    </row>
    <row r="748" spans="11:15">
      <c r="K748" s="1470">
        <v>42805</v>
      </c>
      <c r="L748" s="1471"/>
      <c r="M748" s="1472">
        <v>0</v>
      </c>
      <c r="N748" s="1473">
        <v>1.2986665308056888</v>
      </c>
      <c r="O748" s="1473">
        <v>1.3022802568550824</v>
      </c>
    </row>
    <row r="749" spans="11:15">
      <c r="K749" s="1470">
        <v>42806</v>
      </c>
      <c r="L749" s="1471"/>
      <c r="M749" s="1472">
        <v>0</v>
      </c>
      <c r="N749" s="1473">
        <v>1.2986665308056888</v>
      </c>
      <c r="O749" s="1473">
        <v>1.3022802568550824</v>
      </c>
    </row>
    <row r="750" spans="11:15">
      <c r="K750" s="1470">
        <v>42807</v>
      </c>
      <c r="L750" s="1471" t="s">
        <v>2129</v>
      </c>
      <c r="M750" s="1472">
        <v>4.5512999999999998E-2</v>
      </c>
      <c r="N750" s="1473">
        <v>1.2992575929038543</v>
      </c>
      <c r="O750" s="1473">
        <v>1.3029643576968111</v>
      </c>
    </row>
    <row r="751" spans="11:15">
      <c r="K751" s="1470">
        <v>42808</v>
      </c>
      <c r="L751" s="1471" t="s">
        <v>2129</v>
      </c>
      <c r="M751" s="1472">
        <v>4.5512999999999998E-2</v>
      </c>
      <c r="N751" s="1473">
        <v>1.2998489240121127</v>
      </c>
      <c r="O751" s="1473">
        <v>1.3036488179035528</v>
      </c>
    </row>
    <row r="752" spans="11:15">
      <c r="K752" s="1470">
        <v>42809</v>
      </c>
      <c r="L752" s="1471" t="s">
        <v>2129</v>
      </c>
      <c r="M752" s="1472">
        <v>4.5512999999999998E-2</v>
      </c>
      <c r="N752" s="1473">
        <v>1.3004405242528982</v>
      </c>
      <c r="O752" s="1473">
        <v>1.3043336376640857</v>
      </c>
    </row>
    <row r="753" spans="11:15">
      <c r="K753" s="1470">
        <v>42810</v>
      </c>
      <c r="L753" s="1471" t="s">
        <v>2129</v>
      </c>
      <c r="M753" s="1472">
        <v>4.5512999999999998E-2</v>
      </c>
      <c r="N753" s="1473">
        <v>1.3010323937487014</v>
      </c>
      <c r="O753" s="1473">
        <v>1.305018817167287</v>
      </c>
    </row>
    <row r="754" spans="11:15">
      <c r="K754" s="1470">
        <v>42811</v>
      </c>
      <c r="L754" s="1471" t="s">
        <v>2129</v>
      </c>
      <c r="M754" s="1472">
        <v>4.5512999999999998E-2</v>
      </c>
      <c r="N754" s="1473">
        <v>1.3016245326220681</v>
      </c>
      <c r="O754" s="1473">
        <v>1.3057043566021331</v>
      </c>
    </row>
    <row r="755" spans="11:15">
      <c r="K755" s="1470">
        <v>42812</v>
      </c>
      <c r="L755" s="1471"/>
      <c r="M755" s="1472">
        <v>0</v>
      </c>
      <c r="N755" s="1473">
        <v>1.3016245326220681</v>
      </c>
      <c r="O755" s="1473">
        <v>1.3057043566021331</v>
      </c>
    </row>
    <row r="756" spans="11:15">
      <c r="K756" s="1470">
        <v>42813</v>
      </c>
      <c r="L756" s="1471"/>
      <c r="M756" s="1472">
        <v>0</v>
      </c>
      <c r="N756" s="1473">
        <v>1.3016245326220681</v>
      </c>
      <c r="O756" s="1473">
        <v>1.3057043566021331</v>
      </c>
    </row>
    <row r="757" spans="11:15">
      <c r="K757" s="1470">
        <v>42814</v>
      </c>
      <c r="L757" s="1471" t="s">
        <v>2129</v>
      </c>
      <c r="M757" s="1472">
        <v>4.5512999999999998E-2</v>
      </c>
      <c r="N757" s="1473">
        <v>1.3022169409956004</v>
      </c>
      <c r="O757" s="1473">
        <v>1.3063902561576999</v>
      </c>
    </row>
    <row r="758" spans="11:15">
      <c r="K758" s="1470">
        <v>42815</v>
      </c>
      <c r="L758" s="1471" t="s">
        <v>2129</v>
      </c>
      <c r="M758" s="1472">
        <v>4.5512999999999998E-2</v>
      </c>
      <c r="N758" s="1473">
        <v>1.3028096189919556</v>
      </c>
      <c r="O758" s="1473">
        <v>1.3070765160231621</v>
      </c>
    </row>
    <row r="759" spans="11:15">
      <c r="K759" s="1470">
        <v>42816</v>
      </c>
      <c r="L759" s="1471" t="s">
        <v>2129</v>
      </c>
      <c r="M759" s="1472">
        <v>4.5512999999999998E-2</v>
      </c>
      <c r="N759" s="1473">
        <v>1.3034025667338474</v>
      </c>
      <c r="O759" s="1473">
        <v>1.3077631363877942</v>
      </c>
    </row>
    <row r="760" spans="11:15">
      <c r="K760" s="1470">
        <v>42817</v>
      </c>
      <c r="L760" s="1471" t="s">
        <v>2129</v>
      </c>
      <c r="M760" s="1472">
        <v>4.5512999999999998E-2</v>
      </c>
      <c r="N760" s="1473">
        <v>1.3039957843440448</v>
      </c>
      <c r="O760" s="1473">
        <v>1.30845011744097</v>
      </c>
    </row>
    <row r="761" spans="11:15">
      <c r="K761" s="1470">
        <v>42818</v>
      </c>
      <c r="L761" s="1471" t="s">
        <v>2129</v>
      </c>
      <c r="M761" s="1472">
        <v>4.5512999999999998E-2</v>
      </c>
      <c r="N761" s="1473">
        <v>1.3045892719453733</v>
      </c>
      <c r="O761" s="1473">
        <v>1.309137459372163</v>
      </c>
    </row>
    <row r="762" spans="11:15">
      <c r="K762" s="1470">
        <v>42819</v>
      </c>
      <c r="L762" s="1471"/>
      <c r="M762" s="1472">
        <v>0</v>
      </c>
      <c r="N762" s="1473">
        <v>1.3045892719453733</v>
      </c>
      <c r="O762" s="1473">
        <v>1.309137459372163</v>
      </c>
    </row>
    <row r="763" spans="11:15">
      <c r="K763" s="1470">
        <v>42820</v>
      </c>
      <c r="L763" s="1471"/>
      <c r="M763" s="1472">
        <v>0</v>
      </c>
      <c r="N763" s="1473">
        <v>1.3045892719453733</v>
      </c>
      <c r="O763" s="1473">
        <v>1.309137459372163</v>
      </c>
    </row>
    <row r="764" spans="11:15">
      <c r="K764" s="1470">
        <v>42821</v>
      </c>
      <c r="L764" s="1471" t="s">
        <v>2129</v>
      </c>
      <c r="M764" s="1472">
        <v>4.5512999999999998E-2</v>
      </c>
      <c r="N764" s="1473">
        <v>1.3051830296607139</v>
      </c>
      <c r="O764" s="1473">
        <v>1.3098251623709458</v>
      </c>
    </row>
    <row r="765" spans="11:15">
      <c r="K765" s="1470">
        <v>42822</v>
      </c>
      <c r="L765" s="1471" t="s">
        <v>2129</v>
      </c>
      <c r="M765" s="1472">
        <v>4.5512999999999998E-2</v>
      </c>
      <c r="N765" s="1473">
        <v>1.3057770576130032</v>
      </c>
      <c r="O765" s="1473">
        <v>1.310513226626991</v>
      </c>
    </row>
    <row r="766" spans="11:15">
      <c r="K766" s="1470">
        <v>42823</v>
      </c>
      <c r="L766" s="1471" t="s">
        <v>2129</v>
      </c>
      <c r="M766" s="1472">
        <v>4.5512999999999998E-2</v>
      </c>
      <c r="N766" s="1473">
        <v>1.3063713559252346</v>
      </c>
      <c r="O766" s="1473">
        <v>1.3112016523300705</v>
      </c>
    </row>
    <row r="767" spans="11:15">
      <c r="K767" s="1470">
        <v>42824</v>
      </c>
      <c r="L767" s="1471" t="s">
        <v>2129</v>
      </c>
      <c r="M767" s="1472">
        <v>4.5512999999999998E-2</v>
      </c>
      <c r="N767" s="1473">
        <v>1.3069659247204568</v>
      </c>
      <c r="O767" s="1473">
        <v>1.3118904396700559</v>
      </c>
    </row>
    <row r="768" spans="11:15">
      <c r="K768" s="1470">
        <v>42825</v>
      </c>
      <c r="L768" s="1471" t="s">
        <v>2129</v>
      </c>
      <c r="M768" s="1472">
        <v>4.5512999999999998E-2</v>
      </c>
      <c r="N768" s="1473">
        <v>1.3075607641217748</v>
      </c>
      <c r="O768" s="1473">
        <v>1.3125795888369189</v>
      </c>
    </row>
    <row r="769" spans="11:15">
      <c r="K769" s="1470">
        <v>42826</v>
      </c>
      <c r="L769" s="1471"/>
      <c r="M769" s="1472">
        <v>0</v>
      </c>
      <c r="N769" s="1473">
        <v>1.3075607641217748</v>
      </c>
      <c r="O769" s="1473">
        <v>1.3125795888369189</v>
      </c>
    </row>
    <row r="770" spans="11:15">
      <c r="K770" s="1470">
        <v>42827</v>
      </c>
      <c r="L770" s="1471"/>
      <c r="M770" s="1472">
        <v>0</v>
      </c>
      <c r="N770" s="1473">
        <v>1.3075607641217748</v>
      </c>
      <c r="O770" s="1473">
        <v>1.3125795888369189</v>
      </c>
    </row>
    <row r="771" spans="11:15">
      <c r="K771" s="1470">
        <v>42828</v>
      </c>
      <c r="L771" s="1471" t="s">
        <v>2129</v>
      </c>
      <c r="M771" s="1472">
        <v>4.5512999999999998E-2</v>
      </c>
      <c r="N771" s="1473">
        <v>1.3081558742523496</v>
      </c>
      <c r="O771" s="1473">
        <v>1.3132691000207308</v>
      </c>
    </row>
    <row r="772" spans="11:15">
      <c r="K772" s="1470">
        <v>42829</v>
      </c>
      <c r="L772" s="1471" t="s">
        <v>2129</v>
      </c>
      <c r="M772" s="1472">
        <v>4.5512999999999998E-2</v>
      </c>
      <c r="N772" s="1473">
        <v>1.3087512552353979</v>
      </c>
      <c r="O772" s="1473">
        <v>1.3139589734116628</v>
      </c>
    </row>
    <row r="773" spans="11:15">
      <c r="K773" s="1470">
        <v>42830</v>
      </c>
      <c r="L773" s="1471" t="s">
        <v>2129</v>
      </c>
      <c r="M773" s="1472">
        <v>4.5512999999999998E-2</v>
      </c>
      <c r="N773" s="1473">
        <v>1.3093469071941932</v>
      </c>
      <c r="O773" s="1473">
        <v>1.3146492091999857</v>
      </c>
    </row>
    <row r="774" spans="11:15">
      <c r="K774" s="1470">
        <v>42831</v>
      </c>
      <c r="L774" s="1471" t="s">
        <v>2129</v>
      </c>
      <c r="M774" s="1472">
        <v>4.5512999999999998E-2</v>
      </c>
      <c r="N774" s="1473">
        <v>1.3099428302520644</v>
      </c>
      <c r="O774" s="1473">
        <v>1.3153398075760705</v>
      </c>
    </row>
    <row r="775" spans="11:15">
      <c r="K775" s="1470">
        <v>42832</v>
      </c>
      <c r="L775" s="1471" t="s">
        <v>2129</v>
      </c>
      <c r="M775" s="1472">
        <v>4.5512999999999998E-2</v>
      </c>
      <c r="N775" s="1473">
        <v>1.3105390245323969</v>
      </c>
      <c r="O775" s="1473">
        <v>1.3160307687303883</v>
      </c>
    </row>
    <row r="776" spans="11:15">
      <c r="K776" s="1470">
        <v>42833</v>
      </c>
      <c r="L776" s="1471"/>
      <c r="M776" s="1472">
        <v>0</v>
      </c>
      <c r="N776" s="1473">
        <v>1.3105390245323969</v>
      </c>
      <c r="O776" s="1473">
        <v>1.3160307687303883</v>
      </c>
    </row>
    <row r="777" spans="11:15">
      <c r="K777" s="1470">
        <v>42834</v>
      </c>
      <c r="L777" s="1471"/>
      <c r="M777" s="1472">
        <v>0</v>
      </c>
      <c r="N777" s="1473">
        <v>1.3105390245323969</v>
      </c>
      <c r="O777" s="1473">
        <v>1.3160307687303883</v>
      </c>
    </row>
    <row r="778" spans="11:15">
      <c r="K778" s="1470">
        <v>42835</v>
      </c>
      <c r="L778" s="1471" t="s">
        <v>2129</v>
      </c>
      <c r="M778" s="1472">
        <v>4.5512999999999998E-2</v>
      </c>
      <c r="N778" s="1473">
        <v>1.3111354901586323</v>
      </c>
      <c r="O778" s="1473">
        <v>1.3167220928535099</v>
      </c>
    </row>
    <row r="779" spans="11:15">
      <c r="K779" s="1470">
        <v>42836</v>
      </c>
      <c r="L779" s="1471" t="s">
        <v>2129</v>
      </c>
      <c r="M779" s="1472">
        <v>4.5512999999999998E-2</v>
      </c>
      <c r="N779" s="1473">
        <v>1.3117322272542682</v>
      </c>
      <c r="O779" s="1473">
        <v>1.3174137801361068</v>
      </c>
    </row>
    <row r="780" spans="11:15">
      <c r="K780" s="1470">
        <v>42837</v>
      </c>
      <c r="L780" s="1471" t="s">
        <v>2129</v>
      </c>
      <c r="M780" s="1472">
        <v>4.5512999999999998E-2</v>
      </c>
      <c r="N780" s="1473">
        <v>1.3123292359428584</v>
      </c>
      <c r="O780" s="1473">
        <v>1.3181058307689502</v>
      </c>
    </row>
    <row r="781" spans="11:15">
      <c r="K781" s="1470">
        <v>42838</v>
      </c>
      <c r="L781" s="1471" t="s">
        <v>2129</v>
      </c>
      <c r="M781" s="1472">
        <v>4.1957000000000001E-2</v>
      </c>
      <c r="N781" s="1473">
        <v>1.3128798499203831</v>
      </c>
      <c r="O781" s="1473">
        <v>1.3187982449429114</v>
      </c>
    </row>
    <row r="782" spans="11:15">
      <c r="K782" s="1470">
        <v>42839</v>
      </c>
      <c r="L782" s="1471"/>
      <c r="M782" s="1472">
        <v>0</v>
      </c>
      <c r="N782" s="1473">
        <v>1.3128798499203831</v>
      </c>
      <c r="O782" s="1473">
        <v>1.3187982449429114</v>
      </c>
    </row>
    <row r="783" spans="11:15">
      <c r="K783" s="1470">
        <v>42840</v>
      </c>
      <c r="L783" s="1471"/>
      <c r="M783" s="1472">
        <v>0</v>
      </c>
      <c r="N783" s="1473">
        <v>1.3128798499203831</v>
      </c>
      <c r="O783" s="1473">
        <v>1.3187982449429114</v>
      </c>
    </row>
    <row r="784" spans="11:15">
      <c r="K784" s="1470">
        <v>42841</v>
      </c>
      <c r="L784" s="1471"/>
      <c r="M784" s="1472">
        <v>0</v>
      </c>
      <c r="N784" s="1473">
        <v>1.3128798499203831</v>
      </c>
      <c r="O784" s="1473">
        <v>1.3187982449429114</v>
      </c>
    </row>
    <row r="785" spans="11:15">
      <c r="K785" s="1470">
        <v>42842</v>
      </c>
      <c r="L785" s="1471" t="s">
        <v>2129</v>
      </c>
      <c r="M785" s="1472">
        <v>4.1957000000000001E-2</v>
      </c>
      <c r="N785" s="1473">
        <v>1.3134306949190142</v>
      </c>
      <c r="O785" s="1473">
        <v>1.3194910228489625</v>
      </c>
    </row>
    <row r="786" spans="11:15">
      <c r="K786" s="1470">
        <v>42843</v>
      </c>
      <c r="L786" s="1471" t="s">
        <v>2129</v>
      </c>
      <c r="M786" s="1472">
        <v>4.1957000000000001E-2</v>
      </c>
      <c r="N786" s="1473">
        <v>1.3139817710356814</v>
      </c>
      <c r="O786" s="1473">
        <v>1.3201841646781753</v>
      </c>
    </row>
    <row r="787" spans="11:15">
      <c r="K787" s="1470">
        <v>42844</v>
      </c>
      <c r="L787" s="1471" t="s">
        <v>2129</v>
      </c>
      <c r="M787" s="1472">
        <v>4.1957000000000001E-2</v>
      </c>
      <c r="N787" s="1473">
        <v>1.3145330783673548</v>
      </c>
      <c r="O787" s="1473">
        <v>1.3208776706217225</v>
      </c>
    </row>
    <row r="788" spans="11:15">
      <c r="K788" s="1470">
        <v>42845</v>
      </c>
      <c r="L788" s="1471" t="s">
        <v>2129</v>
      </c>
      <c r="M788" s="1472">
        <v>4.1957000000000001E-2</v>
      </c>
      <c r="N788" s="1473">
        <v>1.3150846170110455</v>
      </c>
      <c r="O788" s="1473">
        <v>1.3215715408708768</v>
      </c>
    </row>
    <row r="789" spans="11:15">
      <c r="K789" s="1470">
        <v>42846</v>
      </c>
      <c r="L789" s="1471"/>
      <c r="M789" s="1472">
        <v>0</v>
      </c>
      <c r="N789" s="1473">
        <v>1.3150846170110455</v>
      </c>
      <c r="O789" s="1473">
        <v>1.3215715408708768</v>
      </c>
    </row>
    <row r="790" spans="11:15">
      <c r="K790" s="1470">
        <v>42847</v>
      </c>
      <c r="L790" s="1471"/>
      <c r="M790" s="1472">
        <v>0</v>
      </c>
      <c r="N790" s="1473">
        <v>1.3150846170110455</v>
      </c>
      <c r="O790" s="1473">
        <v>1.3215715408708768</v>
      </c>
    </row>
    <row r="791" spans="11:15">
      <c r="K791" s="1470">
        <v>42848</v>
      </c>
      <c r="L791" s="1471"/>
      <c r="M791" s="1472">
        <v>0</v>
      </c>
      <c r="N791" s="1473">
        <v>1.3150846170110455</v>
      </c>
      <c r="O791" s="1473">
        <v>1.3215715408708768</v>
      </c>
    </row>
    <row r="792" spans="11:15">
      <c r="K792" s="1470">
        <v>42849</v>
      </c>
      <c r="L792" s="1471" t="s">
        <v>2129</v>
      </c>
      <c r="M792" s="1472">
        <v>4.1957000000000001E-2</v>
      </c>
      <c r="N792" s="1473">
        <v>1.3156363870638048</v>
      </c>
      <c r="O792" s="1473">
        <v>1.3222657756170118</v>
      </c>
    </row>
    <row r="793" spans="11:15">
      <c r="K793" s="1470">
        <v>42850</v>
      </c>
      <c r="L793" s="1471" t="s">
        <v>2129</v>
      </c>
      <c r="M793" s="1472">
        <v>4.1957000000000001E-2</v>
      </c>
      <c r="N793" s="1473">
        <v>1.3161883886227252</v>
      </c>
      <c r="O793" s="1473">
        <v>1.322960375051601</v>
      </c>
    </row>
    <row r="794" spans="11:15">
      <c r="K794" s="1470">
        <v>42851</v>
      </c>
      <c r="L794" s="1471" t="s">
        <v>2129</v>
      </c>
      <c r="M794" s="1472">
        <v>4.1957000000000001E-2</v>
      </c>
      <c r="N794" s="1473">
        <v>1.3167406217849398</v>
      </c>
      <c r="O794" s="1473">
        <v>1.3236553393662194</v>
      </c>
    </row>
    <row r="795" spans="11:15">
      <c r="K795" s="1470">
        <v>42852</v>
      </c>
      <c r="L795" s="1471" t="s">
        <v>2129</v>
      </c>
      <c r="M795" s="1472">
        <v>4.1957000000000001E-2</v>
      </c>
      <c r="N795" s="1473">
        <v>1.3172930866476222</v>
      </c>
      <c r="O795" s="1473">
        <v>1.3243506687525419</v>
      </c>
    </row>
    <row r="796" spans="11:15">
      <c r="K796" s="1470">
        <v>42853</v>
      </c>
      <c r="L796" s="1471" t="s">
        <v>2129</v>
      </c>
      <c r="M796" s="1472">
        <v>4.1957000000000001E-2</v>
      </c>
      <c r="N796" s="1473">
        <v>1.3178457833079871</v>
      </c>
      <c r="O796" s="1473">
        <v>1.3250463634023444</v>
      </c>
    </row>
    <row r="797" spans="11:15">
      <c r="K797" s="1470">
        <v>42854</v>
      </c>
      <c r="L797" s="1471"/>
      <c r="M797" s="1472">
        <v>0</v>
      </c>
      <c r="N797" s="1473">
        <v>1.3178457833079871</v>
      </c>
      <c r="O797" s="1473">
        <v>1.3250463634023444</v>
      </c>
    </row>
    <row r="798" spans="11:15">
      <c r="K798" s="1470">
        <v>42855</v>
      </c>
      <c r="L798" s="1471"/>
      <c r="M798" s="1472">
        <v>0</v>
      </c>
      <c r="N798" s="1473">
        <v>1.3178457833079871</v>
      </c>
      <c r="O798" s="1473">
        <v>1.3250463634023444</v>
      </c>
    </row>
    <row r="799" spans="11:15">
      <c r="K799" s="1470">
        <v>42856</v>
      </c>
      <c r="L799" s="1471"/>
      <c r="M799" s="1472">
        <v>0</v>
      </c>
      <c r="N799" s="1473">
        <v>1.3178457833079871</v>
      </c>
      <c r="O799" s="1473">
        <v>1.3250463634023444</v>
      </c>
    </row>
    <row r="800" spans="11:15">
      <c r="K800" s="1470">
        <v>42857</v>
      </c>
      <c r="L800" s="1471" t="s">
        <v>2129</v>
      </c>
      <c r="M800" s="1472">
        <v>4.1957000000000001E-2</v>
      </c>
      <c r="N800" s="1473">
        <v>1.3183987118632896</v>
      </c>
      <c r="O800" s="1473">
        <v>1.3257424235075033</v>
      </c>
    </row>
    <row r="801" spans="11:15">
      <c r="K801" s="1470">
        <v>42858</v>
      </c>
      <c r="L801" s="1471" t="s">
        <v>2129</v>
      </c>
      <c r="M801" s="1472">
        <v>4.1957000000000001E-2</v>
      </c>
      <c r="N801" s="1473">
        <v>1.3189518724108262</v>
      </c>
      <c r="O801" s="1473">
        <v>1.3264388492599959</v>
      </c>
    </row>
    <row r="802" spans="11:15">
      <c r="K802" s="1470">
        <v>42859</v>
      </c>
      <c r="L802" s="1471" t="s">
        <v>2129</v>
      </c>
      <c r="M802" s="1472">
        <v>4.1957000000000001E-2</v>
      </c>
      <c r="N802" s="1473">
        <v>1.3195052650479338</v>
      </c>
      <c r="O802" s="1473">
        <v>1.3271356408519006</v>
      </c>
    </row>
    <row r="803" spans="11:15">
      <c r="K803" s="1470">
        <v>42860</v>
      </c>
      <c r="L803" s="1471" t="s">
        <v>2129</v>
      </c>
      <c r="M803" s="1472">
        <v>4.1957000000000001E-2</v>
      </c>
      <c r="N803" s="1473">
        <v>1.32005888987199</v>
      </c>
      <c r="O803" s="1473">
        <v>1.3278327984753966</v>
      </c>
    </row>
    <row r="804" spans="11:15">
      <c r="K804" s="1470">
        <v>42861</v>
      </c>
      <c r="L804" s="1471"/>
      <c r="M804" s="1472">
        <v>0</v>
      </c>
      <c r="N804" s="1473">
        <v>1.32005888987199</v>
      </c>
      <c r="O804" s="1473">
        <v>1.3278327984753966</v>
      </c>
    </row>
    <row r="805" spans="11:15">
      <c r="K805" s="1470">
        <v>42862</v>
      </c>
      <c r="L805" s="1471"/>
      <c r="M805" s="1472">
        <v>0</v>
      </c>
      <c r="N805" s="1473">
        <v>1.32005888987199</v>
      </c>
      <c r="O805" s="1473">
        <v>1.3278327984753966</v>
      </c>
    </row>
    <row r="806" spans="11:15">
      <c r="K806" s="1470">
        <v>42863</v>
      </c>
      <c r="L806" s="1471" t="s">
        <v>2129</v>
      </c>
      <c r="M806" s="1472">
        <v>4.1957000000000001E-2</v>
      </c>
      <c r="N806" s="1473">
        <v>1.3206127469804136</v>
      </c>
      <c r="O806" s="1473">
        <v>1.3285303223227638</v>
      </c>
    </row>
    <row r="807" spans="11:15">
      <c r="K807" s="1470">
        <v>42864</v>
      </c>
      <c r="L807" s="1471" t="s">
        <v>2129</v>
      </c>
      <c r="M807" s="1472">
        <v>4.1957000000000001E-2</v>
      </c>
      <c r="N807" s="1473">
        <v>1.3211668364706644</v>
      </c>
      <c r="O807" s="1473">
        <v>1.3292282125863832</v>
      </c>
    </row>
    <row r="808" spans="11:15">
      <c r="K808" s="1470">
        <v>42865</v>
      </c>
      <c r="L808" s="1471" t="s">
        <v>2129</v>
      </c>
      <c r="M808" s="1472">
        <v>4.1957000000000001E-2</v>
      </c>
      <c r="N808" s="1473">
        <v>1.3217211584402424</v>
      </c>
      <c r="O808" s="1473">
        <v>1.3299264694587369</v>
      </c>
    </row>
    <row r="809" spans="11:15">
      <c r="K809" s="1470">
        <v>42866</v>
      </c>
      <c r="L809" s="1471" t="s">
        <v>2129</v>
      </c>
      <c r="M809" s="1472">
        <v>4.1957000000000001E-2</v>
      </c>
      <c r="N809" s="1473">
        <v>1.3222757129866893</v>
      </c>
      <c r="O809" s="1473">
        <v>1.3306250931324084</v>
      </c>
    </row>
    <row r="810" spans="11:15">
      <c r="K810" s="1470">
        <v>42867</v>
      </c>
      <c r="L810" s="1471" t="s">
        <v>2129</v>
      </c>
      <c r="M810" s="1472">
        <v>4.1957000000000001E-2</v>
      </c>
      <c r="N810" s="1473">
        <v>1.3228305002075873</v>
      </c>
      <c r="O810" s="1473">
        <v>1.3313240838000817</v>
      </c>
    </row>
    <row r="811" spans="11:15">
      <c r="K811" s="1470">
        <v>42868</v>
      </c>
      <c r="L811" s="1471"/>
      <c r="M811" s="1472">
        <v>0</v>
      </c>
      <c r="N811" s="1473">
        <v>1.3228305002075873</v>
      </c>
      <c r="O811" s="1473">
        <v>1.3313240838000817</v>
      </c>
    </row>
    <row r="812" spans="11:15">
      <c r="K812" s="1470">
        <v>42869</v>
      </c>
      <c r="L812" s="1471"/>
      <c r="M812" s="1472">
        <v>0</v>
      </c>
      <c r="N812" s="1473">
        <v>1.3228305002075873</v>
      </c>
      <c r="O812" s="1473">
        <v>1.3313240838000817</v>
      </c>
    </row>
    <row r="813" spans="11:15">
      <c r="K813" s="1470">
        <v>42870</v>
      </c>
      <c r="L813" s="1471" t="s">
        <v>2129</v>
      </c>
      <c r="M813" s="1472">
        <v>4.1957000000000001E-2</v>
      </c>
      <c r="N813" s="1473">
        <v>1.3233855202005596</v>
      </c>
      <c r="O813" s="1473">
        <v>1.3320234416545427</v>
      </c>
    </row>
    <row r="814" spans="11:15">
      <c r="K814" s="1470">
        <v>42871</v>
      </c>
      <c r="L814" s="1471" t="s">
        <v>2129</v>
      </c>
      <c r="M814" s="1472">
        <v>4.1957000000000001E-2</v>
      </c>
      <c r="N814" s="1473">
        <v>1.3239407730632702</v>
      </c>
      <c r="O814" s="1473">
        <v>1.3327231668886783</v>
      </c>
    </row>
    <row r="815" spans="11:15">
      <c r="K815" s="1470">
        <v>42872</v>
      </c>
      <c r="L815" s="1471" t="s">
        <v>2129</v>
      </c>
      <c r="M815" s="1472">
        <v>4.1957000000000001E-2</v>
      </c>
      <c r="N815" s="1473">
        <v>1.3244962588934244</v>
      </c>
      <c r="O815" s="1473">
        <v>1.3334232596954767</v>
      </c>
    </row>
    <row r="816" spans="11:15">
      <c r="K816" s="1470">
        <v>42873</v>
      </c>
      <c r="L816" s="1471" t="s">
        <v>2129</v>
      </c>
      <c r="M816" s="1472">
        <v>4.1957000000000001E-2</v>
      </c>
      <c r="N816" s="1473">
        <v>1.3250519777887684</v>
      </c>
      <c r="O816" s="1473">
        <v>1.3341237202680274</v>
      </c>
    </row>
    <row r="817" spans="11:15">
      <c r="K817" s="1470">
        <v>42874</v>
      </c>
      <c r="L817" s="1471" t="s">
        <v>2129</v>
      </c>
      <c r="M817" s="1472">
        <v>4.1957000000000001E-2</v>
      </c>
      <c r="N817" s="1473">
        <v>1.3256079298470893</v>
      </c>
      <c r="O817" s="1473">
        <v>1.3348245487995214</v>
      </c>
    </row>
    <row r="818" spans="11:15">
      <c r="K818" s="1470">
        <v>42875</v>
      </c>
      <c r="L818" s="1471"/>
      <c r="M818" s="1472">
        <v>0</v>
      </c>
      <c r="N818" s="1473">
        <v>1.3256079298470893</v>
      </c>
      <c r="O818" s="1473">
        <v>1.3348245487995214</v>
      </c>
    </row>
    <row r="819" spans="11:15">
      <c r="K819" s="1470">
        <v>42876</v>
      </c>
      <c r="L819" s="1471"/>
      <c r="M819" s="1472">
        <v>0</v>
      </c>
      <c r="N819" s="1473">
        <v>1.3256079298470893</v>
      </c>
      <c r="O819" s="1473">
        <v>1.3348245487995214</v>
      </c>
    </row>
    <row r="820" spans="11:15">
      <c r="K820" s="1470">
        <v>42877</v>
      </c>
      <c r="L820" s="1471" t="s">
        <v>2129</v>
      </c>
      <c r="M820" s="1472">
        <v>4.1957000000000001E-2</v>
      </c>
      <c r="N820" s="1473">
        <v>1.3261641151662154</v>
      </c>
      <c r="O820" s="1473">
        <v>1.3355257454832512</v>
      </c>
    </row>
    <row r="821" spans="11:15">
      <c r="K821" s="1470">
        <v>42878</v>
      </c>
      <c r="L821" s="1471" t="s">
        <v>2129</v>
      </c>
      <c r="M821" s="1472">
        <v>4.1957000000000001E-2</v>
      </c>
      <c r="N821" s="1473">
        <v>1.3267205338440158</v>
      </c>
      <c r="O821" s="1473">
        <v>1.336227310512611</v>
      </c>
    </row>
    <row r="822" spans="11:15">
      <c r="K822" s="1470">
        <v>42879</v>
      </c>
      <c r="L822" s="1471" t="s">
        <v>2129</v>
      </c>
      <c r="M822" s="1472">
        <v>4.1957000000000001E-2</v>
      </c>
      <c r="N822" s="1473">
        <v>1.3272771859784007</v>
      </c>
      <c r="O822" s="1473">
        <v>1.3369292440810965</v>
      </c>
    </row>
    <row r="823" spans="11:15">
      <c r="K823" s="1470">
        <v>42880</v>
      </c>
      <c r="L823" s="1471" t="s">
        <v>2129</v>
      </c>
      <c r="M823" s="1472">
        <v>4.1957000000000001E-2</v>
      </c>
      <c r="N823" s="1473">
        <v>1.3278340716673218</v>
      </c>
      <c r="O823" s="1473">
        <v>1.3376315463823047</v>
      </c>
    </row>
    <row r="824" spans="11:15">
      <c r="K824" s="1470">
        <v>42881</v>
      </c>
      <c r="L824" s="1471" t="s">
        <v>2129</v>
      </c>
      <c r="M824" s="1472">
        <v>4.1957000000000001E-2</v>
      </c>
      <c r="N824" s="1473">
        <v>1.3283911910087713</v>
      </c>
      <c r="O824" s="1473">
        <v>1.3383342176099349</v>
      </c>
    </row>
    <row r="825" spans="11:15">
      <c r="K825" s="1470">
        <v>42882</v>
      </c>
      <c r="L825" s="1471"/>
      <c r="M825" s="1472">
        <v>0</v>
      </c>
      <c r="N825" s="1473">
        <v>1.3283911910087713</v>
      </c>
      <c r="O825" s="1473">
        <v>1.3383342176099349</v>
      </c>
    </row>
    <row r="826" spans="11:15">
      <c r="K826" s="1470">
        <v>42883</v>
      </c>
      <c r="L826" s="1471"/>
      <c r="M826" s="1472">
        <v>0</v>
      </c>
      <c r="N826" s="1473">
        <v>1.3283911910087713</v>
      </c>
      <c r="O826" s="1473">
        <v>1.3383342176099349</v>
      </c>
    </row>
    <row r="827" spans="11:15">
      <c r="K827" s="1470">
        <v>42884</v>
      </c>
      <c r="L827" s="1471" t="s">
        <v>2129</v>
      </c>
      <c r="M827" s="1472">
        <v>4.1957000000000001E-2</v>
      </c>
      <c r="N827" s="1473">
        <v>1.3289485441007829</v>
      </c>
      <c r="O827" s="1473">
        <v>1.3390372579577876</v>
      </c>
    </row>
    <row r="828" spans="11:15">
      <c r="K828" s="1470">
        <v>42885</v>
      </c>
      <c r="L828" s="1471" t="s">
        <v>2129</v>
      </c>
      <c r="M828" s="1472">
        <v>4.1957000000000001E-2</v>
      </c>
      <c r="N828" s="1473">
        <v>1.3295061310414313</v>
      </c>
      <c r="O828" s="1473">
        <v>1.3397406676197654</v>
      </c>
    </row>
    <row r="829" spans="11:15">
      <c r="K829" s="1470">
        <v>42886</v>
      </c>
      <c r="L829" s="1471" t="s">
        <v>2129</v>
      </c>
      <c r="M829" s="1472">
        <v>4.1957000000000001E-2</v>
      </c>
      <c r="N829" s="1473">
        <v>1.3300639519288324</v>
      </c>
      <c r="O829" s="1473">
        <v>1.3404444467898728</v>
      </c>
    </row>
    <row r="830" spans="11:15">
      <c r="K830" s="1470">
        <v>42887</v>
      </c>
      <c r="L830" s="1471" t="s">
        <v>2129</v>
      </c>
      <c r="M830" s="1472">
        <v>3.8370000000000001E-2</v>
      </c>
      <c r="N830" s="1473">
        <v>1.3305742974671875</v>
      </c>
      <c r="O830" s="1473">
        <v>1.341148595662216</v>
      </c>
    </row>
    <row r="831" spans="11:15">
      <c r="K831" s="1470">
        <v>42888</v>
      </c>
      <c r="L831" s="1471" t="s">
        <v>2129</v>
      </c>
      <c r="M831" s="1472">
        <v>3.8370000000000001E-2</v>
      </c>
      <c r="N831" s="1473">
        <v>1.3310848388251255</v>
      </c>
      <c r="O831" s="1473">
        <v>1.3418531144310033</v>
      </c>
    </row>
    <row r="832" spans="11:15">
      <c r="K832" s="1470">
        <v>42889</v>
      </c>
      <c r="L832" s="1471"/>
      <c r="M832" s="1472">
        <v>0</v>
      </c>
      <c r="N832" s="1473">
        <v>1.3310848388251255</v>
      </c>
      <c r="O832" s="1473">
        <v>1.3418531144310033</v>
      </c>
    </row>
    <row r="833" spans="11:15">
      <c r="K833" s="1470">
        <v>42890</v>
      </c>
      <c r="L833" s="1471"/>
      <c r="M833" s="1472">
        <v>0</v>
      </c>
      <c r="N833" s="1473">
        <v>1.3310848388251255</v>
      </c>
      <c r="O833" s="1473">
        <v>1.3418531144310033</v>
      </c>
    </row>
    <row r="834" spans="11:15">
      <c r="K834" s="1470">
        <v>42891</v>
      </c>
      <c r="L834" s="1471" t="s">
        <v>2129</v>
      </c>
      <c r="M834" s="1472">
        <v>3.8370000000000001E-2</v>
      </c>
      <c r="N834" s="1473">
        <v>1.3315955760777827</v>
      </c>
      <c r="O834" s="1473">
        <v>1.3425580032905451</v>
      </c>
    </row>
    <row r="835" spans="11:15">
      <c r="K835" s="1470">
        <v>42892</v>
      </c>
      <c r="L835" s="1471" t="s">
        <v>2129</v>
      </c>
      <c r="M835" s="1472">
        <v>3.8370000000000001E-2</v>
      </c>
      <c r="N835" s="1473">
        <v>1.3321065093003237</v>
      </c>
      <c r="O835" s="1473">
        <v>1.3432632624352536</v>
      </c>
    </row>
    <row r="836" spans="11:15">
      <c r="K836" s="1470">
        <v>42893</v>
      </c>
      <c r="L836" s="1471" t="s">
        <v>2129</v>
      </c>
      <c r="M836" s="1472">
        <v>3.8370000000000001E-2</v>
      </c>
      <c r="N836" s="1473">
        <v>1.3326176385679422</v>
      </c>
      <c r="O836" s="1473">
        <v>1.3439688920596435</v>
      </c>
    </row>
    <row r="837" spans="11:15">
      <c r="K837" s="1470">
        <v>42894</v>
      </c>
      <c r="L837" s="1471" t="s">
        <v>2129</v>
      </c>
      <c r="M837" s="1472">
        <v>3.8370000000000001E-2</v>
      </c>
      <c r="N837" s="1473">
        <v>1.3331289639558608</v>
      </c>
      <c r="O837" s="1473">
        <v>1.3446748923583314</v>
      </c>
    </row>
    <row r="838" spans="11:15">
      <c r="K838" s="1470">
        <v>42895</v>
      </c>
      <c r="L838" s="1471" t="s">
        <v>2129</v>
      </c>
      <c r="M838" s="1472">
        <v>3.8370000000000001E-2</v>
      </c>
      <c r="N838" s="1473">
        <v>1.3336404855393307</v>
      </c>
      <c r="O838" s="1473">
        <v>1.345381263526036</v>
      </c>
    </row>
    <row r="839" spans="11:15">
      <c r="K839" s="1470">
        <v>42896</v>
      </c>
      <c r="L839" s="1471"/>
      <c r="M839" s="1472">
        <v>0</v>
      </c>
      <c r="N839" s="1473">
        <v>1.3336404855393307</v>
      </c>
      <c r="O839" s="1473">
        <v>1.345381263526036</v>
      </c>
    </row>
    <row r="840" spans="11:15">
      <c r="K840" s="1470">
        <v>42897</v>
      </c>
      <c r="L840" s="1471"/>
      <c r="M840" s="1472">
        <v>0</v>
      </c>
      <c r="N840" s="1473">
        <v>1.3336404855393307</v>
      </c>
      <c r="O840" s="1473">
        <v>1.345381263526036</v>
      </c>
    </row>
    <row r="841" spans="11:15">
      <c r="K841" s="1470">
        <v>42898</v>
      </c>
      <c r="L841" s="1471" t="s">
        <v>2129</v>
      </c>
      <c r="M841" s="1472">
        <v>3.8370000000000001E-2</v>
      </c>
      <c r="N841" s="1473">
        <v>1.3341522033936322</v>
      </c>
      <c r="O841" s="1473">
        <v>1.3460880057575788</v>
      </c>
    </row>
    <row r="842" spans="11:15">
      <c r="K842" s="1470">
        <v>42899</v>
      </c>
      <c r="L842" s="1471" t="s">
        <v>2129</v>
      </c>
      <c r="M842" s="1472">
        <v>3.8370000000000001E-2</v>
      </c>
      <c r="N842" s="1473">
        <v>1.3346641175940743</v>
      </c>
      <c r="O842" s="1473">
        <v>1.3467951192478833</v>
      </c>
    </row>
    <row r="843" spans="11:15">
      <c r="K843" s="1470">
        <v>42900</v>
      </c>
      <c r="L843" s="1471" t="s">
        <v>2129</v>
      </c>
      <c r="M843" s="1472">
        <v>3.8370000000000001E-2</v>
      </c>
      <c r="N843" s="1473">
        <v>1.3351762282159951</v>
      </c>
      <c r="O843" s="1473">
        <v>1.3475026041919753</v>
      </c>
    </row>
    <row r="844" spans="11:15">
      <c r="K844" s="1470">
        <v>42901</v>
      </c>
      <c r="L844" s="1471"/>
      <c r="M844" s="1472">
        <v>0</v>
      </c>
      <c r="N844" s="1473">
        <v>1.3351762282159951</v>
      </c>
      <c r="O844" s="1473">
        <v>1.3475026041919753</v>
      </c>
    </row>
    <row r="845" spans="11:15">
      <c r="K845" s="1470">
        <v>42902</v>
      </c>
      <c r="L845" s="1471" t="s">
        <v>2129</v>
      </c>
      <c r="M845" s="1472">
        <v>3.8370000000000001E-2</v>
      </c>
      <c r="N845" s="1473">
        <v>1.3356885353347616</v>
      </c>
      <c r="O845" s="1473">
        <v>1.3482104607849834</v>
      </c>
    </row>
    <row r="846" spans="11:15">
      <c r="K846" s="1470">
        <v>42903</v>
      </c>
      <c r="L846" s="1471"/>
      <c r="M846" s="1472">
        <v>0</v>
      </c>
      <c r="N846" s="1473">
        <v>1.3356885353347616</v>
      </c>
      <c r="O846" s="1473">
        <v>1.3482104607849834</v>
      </c>
    </row>
    <row r="847" spans="11:15">
      <c r="K847" s="1470">
        <v>42904</v>
      </c>
      <c r="L847" s="1471"/>
      <c r="M847" s="1472">
        <v>0</v>
      </c>
      <c r="N847" s="1473">
        <v>1.3356885353347616</v>
      </c>
      <c r="O847" s="1473">
        <v>1.3482104607849834</v>
      </c>
    </row>
    <row r="848" spans="11:15">
      <c r="K848" s="1470">
        <v>42905</v>
      </c>
      <c r="L848" s="1471" t="s">
        <v>2129</v>
      </c>
      <c r="M848" s="1472">
        <v>3.8370000000000001E-2</v>
      </c>
      <c r="N848" s="1473">
        <v>1.3362010390257695</v>
      </c>
      <c r="O848" s="1473">
        <v>1.3489186892221383</v>
      </c>
    </row>
    <row r="849" spans="11:15">
      <c r="K849" s="1470">
        <v>42906</v>
      </c>
      <c r="L849" s="1471" t="s">
        <v>2129</v>
      </c>
      <c r="M849" s="1472">
        <v>3.8370000000000001E-2</v>
      </c>
      <c r="N849" s="1473">
        <v>1.3367137393644437</v>
      </c>
      <c r="O849" s="1473">
        <v>1.3496272896987735</v>
      </c>
    </row>
    <row r="850" spans="11:15">
      <c r="K850" s="1470">
        <v>42907</v>
      </c>
      <c r="L850" s="1471" t="s">
        <v>2129</v>
      </c>
      <c r="M850" s="1472">
        <v>3.8370000000000001E-2</v>
      </c>
      <c r="N850" s="1473">
        <v>1.3372266364262377</v>
      </c>
      <c r="O850" s="1473">
        <v>1.3503362624103252</v>
      </c>
    </row>
    <row r="851" spans="11:15">
      <c r="K851" s="1470">
        <v>42908</v>
      </c>
      <c r="L851" s="1471" t="s">
        <v>2129</v>
      </c>
      <c r="M851" s="1472">
        <v>3.8370000000000001E-2</v>
      </c>
      <c r="N851" s="1473">
        <v>1.3377397302866345</v>
      </c>
      <c r="O851" s="1473">
        <v>1.3510456075523321</v>
      </c>
    </row>
    <row r="852" spans="11:15">
      <c r="K852" s="1470">
        <v>42909</v>
      </c>
      <c r="L852" s="1471" t="s">
        <v>2129</v>
      </c>
      <c r="M852" s="1472">
        <v>3.8370000000000001E-2</v>
      </c>
      <c r="N852" s="1473">
        <v>1.3382530210211454</v>
      </c>
      <c r="O852" s="1473">
        <v>1.3517553253204353</v>
      </c>
    </row>
    <row r="853" spans="11:15">
      <c r="K853" s="1470">
        <v>42910</v>
      </c>
      <c r="L853" s="1471"/>
      <c r="M853" s="1472">
        <v>0</v>
      </c>
      <c r="N853" s="1473">
        <v>1.3382530210211454</v>
      </c>
      <c r="O853" s="1473">
        <v>1.3517553253204353</v>
      </c>
    </row>
    <row r="854" spans="11:15">
      <c r="K854" s="1470">
        <v>42911</v>
      </c>
      <c r="L854" s="1471"/>
      <c r="M854" s="1472">
        <v>0</v>
      </c>
      <c r="N854" s="1473">
        <v>1.3382530210211454</v>
      </c>
      <c r="O854" s="1473">
        <v>1.3517553253204353</v>
      </c>
    </row>
    <row r="855" spans="11:15">
      <c r="K855" s="1470">
        <v>42912</v>
      </c>
      <c r="L855" s="1471" t="s">
        <v>2129</v>
      </c>
      <c r="M855" s="1472">
        <v>3.8370000000000001E-2</v>
      </c>
      <c r="N855" s="1473">
        <v>1.3387665087053111</v>
      </c>
      <c r="O855" s="1473">
        <v>1.3524654159103793</v>
      </c>
    </row>
    <row r="856" spans="11:15">
      <c r="K856" s="1470">
        <v>42913</v>
      </c>
      <c r="L856" s="1471" t="s">
        <v>2129</v>
      </c>
      <c r="M856" s="1472">
        <v>3.8370000000000001E-2</v>
      </c>
      <c r="N856" s="1473">
        <v>1.3392801934147014</v>
      </c>
      <c r="O856" s="1473">
        <v>1.3531758795180111</v>
      </c>
    </row>
    <row r="857" spans="11:15">
      <c r="K857" s="1470">
        <v>42914</v>
      </c>
      <c r="L857" s="1471" t="s">
        <v>2129</v>
      </c>
      <c r="M857" s="1472">
        <v>3.8370000000000001E-2</v>
      </c>
      <c r="N857" s="1473">
        <v>1.3397940752249147</v>
      </c>
      <c r="O857" s="1473">
        <v>1.3538867163392807</v>
      </c>
    </row>
    <row r="858" spans="11:15">
      <c r="K858" s="1470">
        <v>42915</v>
      </c>
      <c r="L858" s="1471" t="s">
        <v>2129</v>
      </c>
      <c r="M858" s="1472">
        <v>3.8370000000000001E-2</v>
      </c>
      <c r="N858" s="1473">
        <v>1.3403081542115785</v>
      </c>
      <c r="O858" s="1473">
        <v>1.3545979265702408</v>
      </c>
    </row>
    <row r="859" spans="11:15">
      <c r="K859" s="1470">
        <v>42916</v>
      </c>
      <c r="L859" s="1471" t="s">
        <v>2129</v>
      </c>
      <c r="M859" s="1472">
        <v>3.8370000000000001E-2</v>
      </c>
      <c r="N859" s="1473">
        <v>1.3408224304503493</v>
      </c>
      <c r="O859" s="1473">
        <v>1.3553095104070474</v>
      </c>
    </row>
    <row r="860" spans="11:15">
      <c r="K860" s="1470">
        <v>42917</v>
      </c>
      <c r="L860" s="1471"/>
      <c r="M860" s="1472">
        <v>0</v>
      </c>
      <c r="N860" s="1473">
        <v>1.3408224304503493</v>
      </c>
      <c r="O860" s="1473">
        <v>1.3553095104070474</v>
      </c>
    </row>
    <row r="861" spans="11:15">
      <c r="K861" s="1470">
        <v>42918</v>
      </c>
      <c r="L861" s="1471"/>
      <c r="M861" s="1472">
        <v>0</v>
      </c>
      <c r="N861" s="1473">
        <v>1.3408224304503493</v>
      </c>
      <c r="O861" s="1473">
        <v>1.3553095104070474</v>
      </c>
    </row>
    <row r="862" spans="11:15">
      <c r="K862" s="1470">
        <v>42919</v>
      </c>
      <c r="L862" s="1471" t="s">
        <v>2129</v>
      </c>
      <c r="M862" s="1472">
        <v>3.8370000000000001E-2</v>
      </c>
      <c r="N862" s="1473">
        <v>1.3413369040169132</v>
      </c>
      <c r="O862" s="1473">
        <v>1.3560214680459592</v>
      </c>
    </row>
    <row r="863" spans="11:15">
      <c r="K863" s="1470">
        <v>42920</v>
      </c>
      <c r="L863" s="1471" t="s">
        <v>2129</v>
      </c>
      <c r="M863" s="1472">
        <v>3.8370000000000001E-2</v>
      </c>
      <c r="N863" s="1473">
        <v>1.3418515749869844</v>
      </c>
      <c r="O863" s="1473">
        <v>1.3567337996833384</v>
      </c>
    </row>
    <row r="864" spans="11:15">
      <c r="K864" s="1470">
        <v>42921</v>
      </c>
      <c r="L864" s="1471" t="s">
        <v>2129</v>
      </c>
      <c r="M864" s="1472">
        <v>3.8370000000000001E-2</v>
      </c>
      <c r="N864" s="1473">
        <v>1.342366443436307</v>
      </c>
      <c r="O864" s="1473">
        <v>1.3574465055156502</v>
      </c>
    </row>
    <row r="865" spans="11:15">
      <c r="K865" s="1470">
        <v>42922</v>
      </c>
      <c r="L865" s="1471" t="s">
        <v>2129</v>
      </c>
      <c r="M865" s="1472">
        <v>3.8370000000000001E-2</v>
      </c>
      <c r="N865" s="1473">
        <v>1.3428815094406534</v>
      </c>
      <c r="O865" s="1473">
        <v>1.3581595857394626</v>
      </c>
    </row>
    <row r="866" spans="11:15">
      <c r="K866" s="1470">
        <v>42923</v>
      </c>
      <c r="L866" s="1471" t="s">
        <v>2129</v>
      </c>
      <c r="M866" s="1472">
        <v>3.8370000000000001E-2</v>
      </c>
      <c r="N866" s="1473">
        <v>1.3433967730758258</v>
      </c>
      <c r="O866" s="1473">
        <v>1.3588730405514473</v>
      </c>
    </row>
    <row r="867" spans="11:15">
      <c r="K867" s="1470">
        <v>42924</v>
      </c>
      <c r="L867" s="1471"/>
      <c r="M867" s="1472">
        <v>0</v>
      </c>
      <c r="N867" s="1473">
        <v>1.3433967730758258</v>
      </c>
      <c r="O867" s="1473">
        <v>1.3588730405514473</v>
      </c>
    </row>
    <row r="868" spans="11:15">
      <c r="K868" s="1470">
        <v>42925</v>
      </c>
      <c r="L868" s="1471"/>
      <c r="M868" s="1472">
        <v>0</v>
      </c>
      <c r="N868" s="1473">
        <v>1.3433967730758258</v>
      </c>
      <c r="O868" s="1473">
        <v>1.3588730405514473</v>
      </c>
    </row>
    <row r="869" spans="11:15">
      <c r="K869" s="1470">
        <v>42926</v>
      </c>
      <c r="L869" s="1471" t="s">
        <v>2129</v>
      </c>
      <c r="M869" s="1472">
        <v>3.8370000000000001E-2</v>
      </c>
      <c r="N869" s="1473">
        <v>1.3439122344176551</v>
      </c>
      <c r="O869" s="1473">
        <v>1.3595868701483793</v>
      </c>
    </row>
    <row r="870" spans="11:15">
      <c r="K870" s="1470">
        <v>42927</v>
      </c>
      <c r="L870" s="1471" t="s">
        <v>2129</v>
      </c>
      <c r="M870" s="1472">
        <v>3.8370000000000001E-2</v>
      </c>
      <c r="N870" s="1473">
        <v>1.3444278935420011</v>
      </c>
      <c r="O870" s="1473">
        <v>1.3603010747271369</v>
      </c>
    </row>
    <row r="871" spans="11:15">
      <c r="K871" s="1470">
        <v>42928</v>
      </c>
      <c r="L871" s="1471" t="s">
        <v>2129</v>
      </c>
      <c r="M871" s="1472">
        <v>3.8370000000000001E-2</v>
      </c>
      <c r="N871" s="1473">
        <v>1.3449437505247532</v>
      </c>
      <c r="O871" s="1473">
        <v>1.3610156544847019</v>
      </c>
    </row>
    <row r="872" spans="11:15">
      <c r="K872" s="1470">
        <v>42929</v>
      </c>
      <c r="L872" s="1471" t="s">
        <v>2129</v>
      </c>
      <c r="M872" s="1472">
        <v>3.8370000000000001E-2</v>
      </c>
      <c r="N872" s="1473">
        <v>1.3454598054418296</v>
      </c>
      <c r="O872" s="1473">
        <v>1.3617306096181592</v>
      </c>
    </row>
    <row r="873" spans="11:15">
      <c r="K873" s="1470">
        <v>42930</v>
      </c>
      <c r="L873" s="1471" t="s">
        <v>2129</v>
      </c>
      <c r="M873" s="1472">
        <v>3.8370000000000001E-2</v>
      </c>
      <c r="N873" s="1473">
        <v>1.3459760583691776</v>
      </c>
      <c r="O873" s="1473">
        <v>1.3624459403246978</v>
      </c>
    </row>
    <row r="874" spans="11:15">
      <c r="K874" s="1470">
        <v>42931</v>
      </c>
      <c r="L874" s="1471"/>
      <c r="M874" s="1472">
        <v>0</v>
      </c>
      <c r="N874" s="1473">
        <v>1.3459760583691776</v>
      </c>
      <c r="O874" s="1473">
        <v>1.3624459403246978</v>
      </c>
    </row>
    <row r="875" spans="11:15">
      <c r="K875" s="1470">
        <v>42932</v>
      </c>
      <c r="L875" s="1471"/>
      <c r="M875" s="1472">
        <v>0</v>
      </c>
      <c r="N875" s="1473">
        <v>1.3459760583691776</v>
      </c>
      <c r="O875" s="1473">
        <v>1.3624459403246978</v>
      </c>
    </row>
    <row r="876" spans="11:15">
      <c r="K876" s="1470">
        <v>42933</v>
      </c>
      <c r="L876" s="1471" t="s">
        <v>2129</v>
      </c>
      <c r="M876" s="1472">
        <v>3.8370000000000001E-2</v>
      </c>
      <c r="N876" s="1473">
        <v>1.3464925093827738</v>
      </c>
      <c r="O876" s="1473">
        <v>1.3631616468016097</v>
      </c>
    </row>
    <row r="877" spans="11:15">
      <c r="K877" s="1470">
        <v>42934</v>
      </c>
      <c r="L877" s="1471" t="s">
        <v>2129</v>
      </c>
      <c r="M877" s="1472">
        <v>3.8370000000000001E-2</v>
      </c>
      <c r="N877" s="1473">
        <v>1.3470091585586239</v>
      </c>
      <c r="O877" s="1473">
        <v>1.3638777292462911</v>
      </c>
    </row>
    <row r="878" spans="11:15">
      <c r="K878" s="1470">
        <v>42935</v>
      </c>
      <c r="L878" s="1471" t="s">
        <v>2129</v>
      </c>
      <c r="M878" s="1472">
        <v>3.8370000000000001E-2</v>
      </c>
      <c r="N878" s="1473">
        <v>1.3475260059727627</v>
      </c>
      <c r="O878" s="1473">
        <v>1.3645941878562415</v>
      </c>
    </row>
    <row r="879" spans="11:15">
      <c r="K879" s="1470">
        <v>42936</v>
      </c>
      <c r="L879" s="1471" t="s">
        <v>2129</v>
      </c>
      <c r="M879" s="1472">
        <v>3.8370000000000001E-2</v>
      </c>
      <c r="N879" s="1473">
        <v>1.3480430517012545</v>
      </c>
      <c r="O879" s="1473">
        <v>1.3653110228290644</v>
      </c>
    </row>
    <row r="880" spans="11:15">
      <c r="K880" s="1470">
        <v>42937</v>
      </c>
      <c r="L880" s="1471" t="s">
        <v>2129</v>
      </c>
      <c r="M880" s="1472">
        <v>3.8370000000000001E-2</v>
      </c>
      <c r="N880" s="1473">
        <v>1.3485602958201923</v>
      </c>
      <c r="O880" s="1473">
        <v>1.3660282343624668</v>
      </c>
    </row>
    <row r="881" spans="11:15">
      <c r="K881" s="1470">
        <v>42938</v>
      </c>
      <c r="L881" s="1471"/>
      <c r="M881" s="1472">
        <v>0</v>
      </c>
      <c r="N881" s="1473">
        <v>1.3485602958201923</v>
      </c>
      <c r="O881" s="1473">
        <v>1.3660282343624668</v>
      </c>
    </row>
    <row r="882" spans="11:15">
      <c r="K882" s="1470">
        <v>42939</v>
      </c>
      <c r="L882" s="1471"/>
      <c r="M882" s="1472">
        <v>0</v>
      </c>
      <c r="N882" s="1473">
        <v>1.3485602958201923</v>
      </c>
      <c r="O882" s="1473">
        <v>1.3660282343624668</v>
      </c>
    </row>
    <row r="883" spans="11:15">
      <c r="K883" s="1470">
        <v>42940</v>
      </c>
      <c r="L883" s="1471" t="s">
        <v>2129</v>
      </c>
      <c r="M883" s="1472">
        <v>3.8370000000000001E-2</v>
      </c>
      <c r="N883" s="1473">
        <v>1.3490777384056984</v>
      </c>
      <c r="O883" s="1473">
        <v>1.3667458226542597</v>
      </c>
    </row>
    <row r="884" spans="11:15">
      <c r="K884" s="1470">
        <v>42941</v>
      </c>
      <c r="L884" s="1471" t="s">
        <v>2129</v>
      </c>
      <c r="M884" s="1472">
        <v>3.8370000000000001E-2</v>
      </c>
      <c r="N884" s="1473">
        <v>1.3495953795339246</v>
      </c>
      <c r="O884" s="1473">
        <v>1.3674637879023581</v>
      </c>
    </row>
    <row r="885" spans="11:15">
      <c r="K885" s="1470">
        <v>42942</v>
      </c>
      <c r="L885" s="1471" t="s">
        <v>2129</v>
      </c>
      <c r="M885" s="1472">
        <v>3.8370000000000001E-2</v>
      </c>
      <c r="N885" s="1473">
        <v>1.3501132192810517</v>
      </c>
      <c r="O885" s="1473">
        <v>1.3681821303047812</v>
      </c>
    </row>
    <row r="886" spans="11:15">
      <c r="K886" s="1470">
        <v>42943</v>
      </c>
      <c r="L886" s="1471" t="s">
        <v>2129</v>
      </c>
      <c r="M886" s="1472">
        <v>3.4749000000000002E-2</v>
      </c>
      <c r="N886" s="1473">
        <v>1.3505823701236197</v>
      </c>
      <c r="O886" s="1473">
        <v>1.3689008500596516</v>
      </c>
    </row>
    <row r="887" spans="11:15">
      <c r="K887" s="1470">
        <v>42944</v>
      </c>
      <c r="L887" s="1471" t="s">
        <v>2129</v>
      </c>
      <c r="M887" s="1472">
        <v>3.4749000000000002E-2</v>
      </c>
      <c r="N887" s="1473">
        <v>1.351051683991414</v>
      </c>
      <c r="O887" s="1473">
        <v>1.3696199473651964</v>
      </c>
    </row>
    <row r="888" spans="11:15">
      <c r="K888" s="1470">
        <v>42945</v>
      </c>
      <c r="L888" s="1471"/>
      <c r="M888" s="1472">
        <v>0</v>
      </c>
      <c r="N888" s="1473">
        <v>1.351051683991414</v>
      </c>
      <c r="O888" s="1473">
        <v>1.3696199473651964</v>
      </c>
    </row>
    <row r="889" spans="11:15">
      <c r="K889" s="1470">
        <v>42946</v>
      </c>
      <c r="L889" s="1471"/>
      <c r="M889" s="1472">
        <v>0</v>
      </c>
      <c r="N889" s="1473">
        <v>1.351051683991414</v>
      </c>
      <c r="O889" s="1473">
        <v>1.3696199473651964</v>
      </c>
    </row>
    <row r="890" spans="11:15">
      <c r="K890" s="1470">
        <v>42947</v>
      </c>
      <c r="L890" s="1471" t="s">
        <v>2129</v>
      </c>
      <c r="M890" s="1472">
        <v>3.4749000000000002E-2</v>
      </c>
      <c r="N890" s="1473">
        <v>1.3515211609410842</v>
      </c>
      <c r="O890" s="1473">
        <v>1.3703394224197469</v>
      </c>
    </row>
    <row r="891" spans="11:15">
      <c r="K891" s="1470">
        <v>42948</v>
      </c>
      <c r="L891" s="1471" t="s">
        <v>2129</v>
      </c>
      <c r="M891" s="1472">
        <v>3.4749000000000002E-2</v>
      </c>
      <c r="N891" s="1473">
        <v>1.3519908010292996</v>
      </c>
      <c r="O891" s="1473">
        <v>1.3710592754217383</v>
      </c>
    </row>
    <row r="892" spans="11:15">
      <c r="K892" s="1470">
        <v>42949</v>
      </c>
      <c r="L892" s="1471" t="s">
        <v>2129</v>
      </c>
      <c r="M892" s="1472">
        <v>3.4749000000000002E-2</v>
      </c>
      <c r="N892" s="1473">
        <v>1.3524606043127492</v>
      </c>
      <c r="O892" s="1473">
        <v>1.37177950656971</v>
      </c>
    </row>
    <row r="893" spans="11:15">
      <c r="K893" s="1470">
        <v>42950</v>
      </c>
      <c r="L893" s="1471" t="s">
        <v>2129</v>
      </c>
      <c r="M893" s="1472">
        <v>3.4749000000000002E-2</v>
      </c>
      <c r="N893" s="1473">
        <v>1.3529305708481418</v>
      </c>
      <c r="O893" s="1473">
        <v>1.3725001160623063</v>
      </c>
    </row>
    <row r="894" spans="11:15">
      <c r="K894" s="1470">
        <v>42951</v>
      </c>
      <c r="L894" s="1471" t="s">
        <v>2129</v>
      </c>
      <c r="M894" s="1472">
        <v>3.4749000000000002E-2</v>
      </c>
      <c r="N894" s="1473">
        <v>1.353400700692206</v>
      </c>
      <c r="O894" s="1473">
        <v>1.3732211040982749</v>
      </c>
    </row>
    <row r="895" spans="11:15">
      <c r="K895" s="1470">
        <v>42952</v>
      </c>
      <c r="L895" s="1471"/>
      <c r="M895" s="1472">
        <v>0</v>
      </c>
      <c r="N895" s="1473">
        <v>1.353400700692206</v>
      </c>
      <c r="O895" s="1473">
        <v>1.3732211040982749</v>
      </c>
    </row>
    <row r="896" spans="11:15">
      <c r="K896" s="1470">
        <v>42953</v>
      </c>
      <c r="L896" s="1471"/>
      <c r="M896" s="1472">
        <v>0</v>
      </c>
      <c r="N896" s="1473">
        <v>1.353400700692206</v>
      </c>
      <c r="O896" s="1473">
        <v>1.3732211040982749</v>
      </c>
    </row>
    <row r="897" spans="11:15">
      <c r="K897" s="1470">
        <v>42954</v>
      </c>
      <c r="L897" s="1471" t="s">
        <v>2129</v>
      </c>
      <c r="M897" s="1472">
        <v>3.4749000000000002E-2</v>
      </c>
      <c r="N897" s="1473">
        <v>1.3538709939016895</v>
      </c>
      <c r="O897" s="1473">
        <v>1.3739424708764687</v>
      </c>
    </row>
    <row r="898" spans="11:15">
      <c r="K898" s="1470">
        <v>42955</v>
      </c>
      <c r="L898" s="1471" t="s">
        <v>2129</v>
      </c>
      <c r="M898" s="1472">
        <v>3.4749000000000002E-2</v>
      </c>
      <c r="N898" s="1473">
        <v>1.3543414505333604</v>
      </c>
      <c r="O898" s="1473">
        <v>1.3746642165958449</v>
      </c>
    </row>
    <row r="899" spans="11:15">
      <c r="K899" s="1470">
        <v>42956</v>
      </c>
      <c r="L899" s="1471" t="s">
        <v>2129</v>
      </c>
      <c r="M899" s="1472">
        <v>3.4749000000000002E-2</v>
      </c>
      <c r="N899" s="1473">
        <v>1.3548120706440063</v>
      </c>
      <c r="O899" s="1473">
        <v>1.3753863414554648</v>
      </c>
    </row>
    <row r="900" spans="11:15">
      <c r="K900" s="1470">
        <v>42957</v>
      </c>
      <c r="L900" s="1471" t="s">
        <v>2129</v>
      </c>
      <c r="M900" s="1472">
        <v>3.4749000000000002E-2</v>
      </c>
      <c r="N900" s="1473">
        <v>1.3552828542904345</v>
      </c>
      <c r="O900" s="1473">
        <v>1.3761088456544948</v>
      </c>
    </row>
    <row r="901" spans="11:15">
      <c r="K901" s="1470">
        <v>42958</v>
      </c>
      <c r="L901" s="1471" t="s">
        <v>2129</v>
      </c>
      <c r="M901" s="1472">
        <v>3.4749000000000002E-2</v>
      </c>
      <c r="N901" s="1473">
        <v>1.3557538015294719</v>
      </c>
      <c r="O901" s="1473">
        <v>1.3768317293922054</v>
      </c>
    </row>
    <row r="902" spans="11:15">
      <c r="K902" s="1470">
        <v>42959</v>
      </c>
      <c r="L902" s="1471"/>
      <c r="M902" s="1472">
        <v>0</v>
      </c>
      <c r="N902" s="1473">
        <v>1.3557538015294719</v>
      </c>
      <c r="O902" s="1473">
        <v>1.3768317293922054</v>
      </c>
    </row>
    <row r="903" spans="11:15">
      <c r="K903" s="1470">
        <v>42960</v>
      </c>
      <c r="L903" s="1471"/>
      <c r="M903" s="1472">
        <v>0</v>
      </c>
      <c r="N903" s="1473">
        <v>1.3557538015294719</v>
      </c>
      <c r="O903" s="1473">
        <v>1.3768317293922054</v>
      </c>
    </row>
    <row r="904" spans="11:15">
      <c r="K904" s="1470">
        <v>42961</v>
      </c>
      <c r="L904" s="1471" t="s">
        <v>2129</v>
      </c>
      <c r="M904" s="1472">
        <v>3.4749000000000002E-2</v>
      </c>
      <c r="N904" s="1473">
        <v>1.3562249124179653</v>
      </c>
      <c r="O904" s="1473">
        <v>1.3775549928679724</v>
      </c>
    </row>
    <row r="905" spans="11:15">
      <c r="K905" s="1470">
        <v>42962</v>
      </c>
      <c r="L905" s="1471" t="s">
        <v>2129</v>
      </c>
      <c r="M905" s="1472">
        <v>3.4749000000000002E-2</v>
      </c>
      <c r="N905" s="1473">
        <v>1.3566961870127814</v>
      </c>
      <c r="O905" s="1473">
        <v>1.378278636281276</v>
      </c>
    </row>
    <row r="906" spans="11:15">
      <c r="K906" s="1470">
        <v>42963</v>
      </c>
      <c r="L906" s="1471" t="s">
        <v>2129</v>
      </c>
      <c r="M906" s="1472">
        <v>3.4749000000000002E-2</v>
      </c>
      <c r="N906" s="1473">
        <v>1.3571676253708065</v>
      </c>
      <c r="O906" s="1473">
        <v>1.3790026598317009</v>
      </c>
    </row>
    <row r="907" spans="11:15">
      <c r="K907" s="1470">
        <v>42964</v>
      </c>
      <c r="L907" s="1471" t="s">
        <v>2129</v>
      </c>
      <c r="M907" s="1472">
        <v>3.4749000000000002E-2</v>
      </c>
      <c r="N907" s="1473">
        <v>1.3576392275489466</v>
      </c>
      <c r="O907" s="1473">
        <v>1.3797270637189372</v>
      </c>
    </row>
    <row r="908" spans="11:15">
      <c r="K908" s="1470">
        <v>42965</v>
      </c>
      <c r="L908" s="1471" t="s">
        <v>2129</v>
      </c>
      <c r="M908" s="1472">
        <v>3.4749000000000002E-2</v>
      </c>
      <c r="N908" s="1473">
        <v>1.3581109936041276</v>
      </c>
      <c r="O908" s="1473">
        <v>1.3804518481427794</v>
      </c>
    </row>
    <row r="909" spans="11:15">
      <c r="K909" s="1470">
        <v>42966</v>
      </c>
      <c r="L909" s="1471"/>
      <c r="M909" s="1472">
        <v>0</v>
      </c>
      <c r="N909" s="1473">
        <v>1.3581109936041276</v>
      </c>
      <c r="O909" s="1473">
        <v>1.3804518481427794</v>
      </c>
    </row>
    <row r="910" spans="11:15">
      <c r="K910" s="1470">
        <v>42967</v>
      </c>
      <c r="L910" s="1471"/>
      <c r="M910" s="1472">
        <v>0</v>
      </c>
      <c r="N910" s="1473">
        <v>1.3581109936041276</v>
      </c>
      <c r="O910" s="1473">
        <v>1.3804518481427794</v>
      </c>
    </row>
    <row r="911" spans="11:15">
      <c r="K911" s="1470">
        <v>42968</v>
      </c>
      <c r="L911" s="1471" t="s">
        <v>2129</v>
      </c>
      <c r="M911" s="1472">
        <v>3.4749000000000002E-2</v>
      </c>
      <c r="N911" s="1473">
        <v>1.3585829235932951</v>
      </c>
      <c r="O911" s="1473">
        <v>1.3811770133031274</v>
      </c>
    </row>
    <row r="912" spans="11:15">
      <c r="K912" s="1470">
        <v>42969</v>
      </c>
      <c r="L912" s="1471" t="s">
        <v>2129</v>
      </c>
      <c r="M912" s="1472">
        <v>3.4749000000000002E-2</v>
      </c>
      <c r="N912" s="1473">
        <v>1.3590550175734146</v>
      </c>
      <c r="O912" s="1473">
        <v>1.3819025593999856</v>
      </c>
    </row>
    <row r="913" spans="11:15">
      <c r="K913" s="1470">
        <v>42970</v>
      </c>
      <c r="L913" s="1471" t="s">
        <v>2129</v>
      </c>
      <c r="M913" s="1472">
        <v>3.4749000000000002E-2</v>
      </c>
      <c r="N913" s="1473">
        <v>1.3595272756014711</v>
      </c>
      <c r="O913" s="1473">
        <v>1.3826284866334639</v>
      </c>
    </row>
    <row r="914" spans="11:15">
      <c r="K914" s="1470">
        <v>42971</v>
      </c>
      <c r="L914" s="1471" t="s">
        <v>2129</v>
      </c>
      <c r="M914" s="1472">
        <v>3.4749000000000002E-2</v>
      </c>
      <c r="N914" s="1473">
        <v>1.3599996977344699</v>
      </c>
      <c r="O914" s="1473">
        <v>1.3833547952037775</v>
      </c>
    </row>
    <row r="915" spans="11:15">
      <c r="K915" s="1470">
        <v>42972</v>
      </c>
      <c r="L915" s="1471" t="s">
        <v>2129</v>
      </c>
      <c r="M915" s="1472">
        <v>3.4749000000000002E-2</v>
      </c>
      <c r="N915" s="1473">
        <v>1.3604722840294357</v>
      </c>
      <c r="O915" s="1473">
        <v>1.384081485311246</v>
      </c>
    </row>
    <row r="916" spans="11:15">
      <c r="K916" s="1470">
        <v>42973</v>
      </c>
      <c r="L916" s="1471"/>
      <c r="M916" s="1472">
        <v>0</v>
      </c>
      <c r="N916" s="1473">
        <v>1.3604722840294357</v>
      </c>
      <c r="O916" s="1473">
        <v>1.384081485311246</v>
      </c>
    </row>
    <row r="917" spans="11:15">
      <c r="K917" s="1470">
        <v>42974</v>
      </c>
      <c r="L917" s="1471"/>
      <c r="M917" s="1472">
        <v>0</v>
      </c>
      <c r="N917" s="1473">
        <v>1.3604722840294357</v>
      </c>
      <c r="O917" s="1473">
        <v>1.384081485311246</v>
      </c>
    </row>
    <row r="918" spans="11:15">
      <c r="K918" s="1470">
        <v>42975</v>
      </c>
      <c r="L918" s="1471" t="s">
        <v>2129</v>
      </c>
      <c r="M918" s="1472">
        <v>3.4749000000000002E-2</v>
      </c>
      <c r="N918" s="1473">
        <v>1.3609450345434131</v>
      </c>
      <c r="O918" s="1473">
        <v>1.3848085571562949</v>
      </c>
    </row>
    <row r="919" spans="11:15">
      <c r="K919" s="1470">
        <v>42976</v>
      </c>
      <c r="L919" s="1471" t="s">
        <v>2129</v>
      </c>
      <c r="M919" s="1472">
        <v>3.4749000000000002E-2</v>
      </c>
      <c r="N919" s="1473">
        <v>1.3614179493334666</v>
      </c>
      <c r="O919" s="1473">
        <v>1.3855360109394548</v>
      </c>
    </row>
    <row r="920" spans="11:15">
      <c r="K920" s="1470">
        <v>42977</v>
      </c>
      <c r="L920" s="1471" t="s">
        <v>2129</v>
      </c>
      <c r="M920" s="1472">
        <v>3.4749000000000002E-2</v>
      </c>
      <c r="N920" s="1473">
        <v>1.3618910284566805</v>
      </c>
      <c r="O920" s="1473">
        <v>1.3862638468613613</v>
      </c>
    </row>
    <row r="921" spans="11:15">
      <c r="K921" s="1470">
        <v>42978</v>
      </c>
      <c r="L921" s="1471" t="s">
        <v>2129</v>
      </c>
      <c r="M921" s="1472">
        <v>3.4749000000000002E-2</v>
      </c>
      <c r="N921" s="1473">
        <v>1.362364271970159</v>
      </c>
      <c r="O921" s="1473">
        <v>1.3869920651227561</v>
      </c>
    </row>
    <row r="922" spans="11:15">
      <c r="K922" s="1470">
        <v>42979</v>
      </c>
      <c r="L922" s="1471" t="s">
        <v>2129</v>
      </c>
      <c r="M922" s="1472">
        <v>3.4749000000000002E-2</v>
      </c>
      <c r="N922" s="1473">
        <v>1.3628376799310258</v>
      </c>
      <c r="O922" s="1473">
        <v>1.3877206659244856</v>
      </c>
    </row>
    <row r="923" spans="11:15">
      <c r="K923" s="1470">
        <v>42980</v>
      </c>
      <c r="L923" s="1471"/>
      <c r="M923" s="1472">
        <v>0</v>
      </c>
      <c r="N923" s="1473">
        <v>1.3628376799310258</v>
      </c>
      <c r="O923" s="1473">
        <v>1.3877206659244856</v>
      </c>
    </row>
    <row r="924" spans="11:15">
      <c r="K924" s="1470">
        <v>42981</v>
      </c>
      <c r="L924" s="1471"/>
      <c r="M924" s="1472">
        <v>0</v>
      </c>
      <c r="N924" s="1473">
        <v>1.3628376799310258</v>
      </c>
      <c r="O924" s="1473">
        <v>1.3877206659244856</v>
      </c>
    </row>
    <row r="925" spans="11:15">
      <c r="K925" s="1470">
        <v>42982</v>
      </c>
      <c r="L925" s="1471" t="s">
        <v>2129</v>
      </c>
      <c r="M925" s="1472">
        <v>3.4749000000000002E-2</v>
      </c>
      <c r="N925" s="1473">
        <v>1.363311252396425</v>
      </c>
      <c r="O925" s="1473">
        <v>1.3884496494675025</v>
      </c>
    </row>
    <row r="926" spans="11:15">
      <c r="K926" s="1470">
        <v>42983</v>
      </c>
      <c r="L926" s="1471" t="s">
        <v>2129</v>
      </c>
      <c r="M926" s="1472">
        <v>3.4749000000000002E-2</v>
      </c>
      <c r="N926" s="1473">
        <v>1.3637849894235203</v>
      </c>
      <c r="O926" s="1473">
        <v>1.3891790159528643</v>
      </c>
    </row>
    <row r="927" spans="11:15">
      <c r="K927" s="1470">
        <v>42984</v>
      </c>
      <c r="L927" s="1471" t="s">
        <v>2129</v>
      </c>
      <c r="M927" s="1472">
        <v>3.4749000000000002E-2</v>
      </c>
      <c r="N927" s="1473">
        <v>1.364258891069495</v>
      </c>
      <c r="O927" s="1473">
        <v>1.3899087655817346</v>
      </c>
    </row>
    <row r="928" spans="11:15">
      <c r="K928" s="1470">
        <v>42985</v>
      </c>
      <c r="L928" s="1471"/>
      <c r="M928" s="1472">
        <v>0</v>
      </c>
      <c r="N928" s="1473">
        <v>1.364258891069495</v>
      </c>
      <c r="O928" s="1473">
        <v>1.3899087655817346</v>
      </c>
    </row>
    <row r="929" spans="11:15">
      <c r="K929" s="1470">
        <v>42986</v>
      </c>
      <c r="L929" s="1471" t="s">
        <v>2129</v>
      </c>
      <c r="M929" s="1472">
        <v>3.1095999999999999E-2</v>
      </c>
      <c r="N929" s="1473">
        <v>1.364683121014262</v>
      </c>
      <c r="O929" s="1473">
        <v>1.3906388985553824</v>
      </c>
    </row>
    <row r="930" spans="11:15">
      <c r="K930" s="1470">
        <v>42987</v>
      </c>
      <c r="L930" s="1471"/>
      <c r="M930" s="1472">
        <v>0</v>
      </c>
      <c r="N930" s="1473">
        <v>1.364683121014262</v>
      </c>
      <c r="O930" s="1473">
        <v>1.3906388985553824</v>
      </c>
    </row>
    <row r="931" spans="11:15">
      <c r="K931" s="1470">
        <v>42988</v>
      </c>
      <c r="L931" s="1471"/>
      <c r="M931" s="1472">
        <v>0</v>
      </c>
      <c r="N931" s="1473">
        <v>1.364683121014262</v>
      </c>
      <c r="O931" s="1473">
        <v>1.3906388985553824</v>
      </c>
    </row>
    <row r="932" spans="11:15">
      <c r="K932" s="1470">
        <v>42989</v>
      </c>
      <c r="L932" s="1471" t="s">
        <v>2129</v>
      </c>
      <c r="M932" s="1472">
        <v>3.1095999999999999E-2</v>
      </c>
      <c r="N932" s="1473">
        <v>1.3651074828775727</v>
      </c>
      <c r="O932" s="1473">
        <v>1.3913694150751825</v>
      </c>
    </row>
    <row r="933" spans="11:15">
      <c r="K933" s="1470">
        <v>42990</v>
      </c>
      <c r="L933" s="1471" t="s">
        <v>2129</v>
      </c>
      <c r="M933" s="1472">
        <v>3.1095999999999999E-2</v>
      </c>
      <c r="N933" s="1473">
        <v>1.3655319767004481</v>
      </c>
      <c r="O933" s="1473">
        <v>1.3921003153426157</v>
      </c>
    </row>
    <row r="934" spans="11:15">
      <c r="K934" s="1470">
        <v>42991</v>
      </c>
      <c r="L934" s="1471" t="s">
        <v>2129</v>
      </c>
      <c r="M934" s="1472">
        <v>3.1095999999999999E-2</v>
      </c>
      <c r="N934" s="1473">
        <v>1.3659566025239229</v>
      </c>
      <c r="O934" s="1473">
        <v>1.3928315995592684</v>
      </c>
    </row>
    <row r="935" spans="11:15">
      <c r="K935" s="1470">
        <v>42992</v>
      </c>
      <c r="L935" s="1471" t="s">
        <v>2129</v>
      </c>
      <c r="M935" s="1472">
        <v>3.1095999999999999E-2</v>
      </c>
      <c r="N935" s="1473">
        <v>1.3663813603890438</v>
      </c>
      <c r="O935" s="1473">
        <v>1.3935632679268328</v>
      </c>
    </row>
    <row r="936" spans="11:15">
      <c r="K936" s="1470">
        <v>42993</v>
      </c>
      <c r="L936" s="1471" t="s">
        <v>2129</v>
      </c>
      <c r="M936" s="1472">
        <v>3.1095999999999999E-2</v>
      </c>
      <c r="N936" s="1473">
        <v>1.3668062503368703</v>
      </c>
      <c r="O936" s="1473">
        <v>1.3942953206471074</v>
      </c>
    </row>
    <row r="937" spans="11:15">
      <c r="K937" s="1470">
        <v>42994</v>
      </c>
      <c r="L937" s="1471"/>
      <c r="M937" s="1472">
        <v>0</v>
      </c>
      <c r="N937" s="1473">
        <v>1.3668062503368703</v>
      </c>
      <c r="O937" s="1473">
        <v>1.3942953206471074</v>
      </c>
    </row>
    <row r="938" spans="11:15">
      <c r="K938" s="1470">
        <v>42995</v>
      </c>
      <c r="L938" s="1471"/>
      <c r="M938" s="1472">
        <v>0</v>
      </c>
      <c r="N938" s="1473">
        <v>1.3668062503368703</v>
      </c>
      <c r="O938" s="1473">
        <v>1.3942953206471074</v>
      </c>
    </row>
    <row r="939" spans="11:15">
      <c r="K939" s="1470">
        <v>42996</v>
      </c>
      <c r="L939" s="1471" t="s">
        <v>2129</v>
      </c>
      <c r="M939" s="1472">
        <v>3.1095999999999999E-2</v>
      </c>
      <c r="N939" s="1473">
        <v>1.367231272408475</v>
      </c>
      <c r="O939" s="1473">
        <v>1.3950277579219965</v>
      </c>
    </row>
    <row r="940" spans="11:15">
      <c r="K940" s="1470">
        <v>42997</v>
      </c>
      <c r="L940" s="1471" t="s">
        <v>2129</v>
      </c>
      <c r="M940" s="1472">
        <v>3.1095999999999999E-2</v>
      </c>
      <c r="N940" s="1473">
        <v>1.3676564266449431</v>
      </c>
      <c r="O940" s="1473">
        <v>1.3957605799535104</v>
      </c>
    </row>
    <row r="941" spans="11:15">
      <c r="K941" s="1470">
        <v>42998</v>
      </c>
      <c r="L941" s="1471" t="s">
        <v>2129</v>
      </c>
      <c r="M941" s="1472">
        <v>3.1095999999999999E-2</v>
      </c>
      <c r="N941" s="1473">
        <v>1.3680817130873726</v>
      </c>
      <c r="O941" s="1473">
        <v>1.3964937869437659</v>
      </c>
    </row>
    <row r="942" spans="11:15">
      <c r="K942" s="1470">
        <v>42999</v>
      </c>
      <c r="L942" s="1471" t="s">
        <v>2129</v>
      </c>
      <c r="M942" s="1472">
        <v>3.1095999999999999E-2</v>
      </c>
      <c r="N942" s="1473">
        <v>1.3685071317768742</v>
      </c>
      <c r="O942" s="1473">
        <v>1.3972273790949854</v>
      </c>
    </row>
    <row r="943" spans="11:15">
      <c r="K943" s="1470">
        <v>43000</v>
      </c>
      <c r="L943" s="1471" t="s">
        <v>2129</v>
      </c>
      <c r="M943" s="1472">
        <v>3.1095999999999999E-2</v>
      </c>
      <c r="N943" s="1473">
        <v>1.3689326827545716</v>
      </c>
      <c r="O943" s="1473">
        <v>1.3979613566094977</v>
      </c>
    </row>
    <row r="944" spans="11:15">
      <c r="K944" s="1470">
        <v>43001</v>
      </c>
      <c r="L944" s="1471"/>
      <c r="M944" s="1472">
        <v>0</v>
      </c>
      <c r="N944" s="1473">
        <v>1.3689326827545716</v>
      </c>
      <c r="O944" s="1473">
        <v>1.3979613566094977</v>
      </c>
    </row>
    <row r="945" spans="11:15">
      <c r="K945" s="1470">
        <v>43002</v>
      </c>
      <c r="L945" s="1471"/>
      <c r="M945" s="1472">
        <v>0</v>
      </c>
      <c r="N945" s="1473">
        <v>1.3689326827545716</v>
      </c>
      <c r="O945" s="1473">
        <v>1.3979613566094977</v>
      </c>
    </row>
    <row r="946" spans="11:15">
      <c r="K946" s="1470">
        <v>43003</v>
      </c>
      <c r="L946" s="1471" t="s">
        <v>2129</v>
      </c>
      <c r="M946" s="1472">
        <v>3.1095999999999999E-2</v>
      </c>
      <c r="N946" s="1473">
        <v>1.3693583660616009</v>
      </c>
      <c r="O946" s="1473">
        <v>1.3986957196897383</v>
      </c>
    </row>
    <row r="947" spans="11:15">
      <c r="K947" s="1470">
        <v>43004</v>
      </c>
      <c r="L947" s="1471" t="s">
        <v>2129</v>
      </c>
      <c r="M947" s="1472">
        <v>3.1095999999999999E-2</v>
      </c>
      <c r="N947" s="1473">
        <v>1.3697841817391114</v>
      </c>
      <c r="O947" s="1473">
        <v>1.3994304685382486</v>
      </c>
    </row>
    <row r="948" spans="11:15">
      <c r="K948" s="1470">
        <v>43005</v>
      </c>
      <c r="L948" s="1471" t="s">
        <v>2129</v>
      </c>
      <c r="M948" s="1472">
        <v>3.1095999999999999E-2</v>
      </c>
      <c r="N948" s="1473">
        <v>1.370210129828265</v>
      </c>
      <c r="O948" s="1473">
        <v>1.4001656033576764</v>
      </c>
    </row>
    <row r="949" spans="11:15">
      <c r="K949" s="1470">
        <v>43006</v>
      </c>
      <c r="L949" s="1471" t="s">
        <v>2129</v>
      </c>
      <c r="M949" s="1472">
        <v>3.1095999999999999E-2</v>
      </c>
      <c r="N949" s="1473">
        <v>1.3706362103702363</v>
      </c>
      <c r="O949" s="1473">
        <v>1.4009011243507763</v>
      </c>
    </row>
    <row r="950" spans="11:15">
      <c r="K950" s="1470">
        <v>43007</v>
      </c>
      <c r="L950" s="1471" t="s">
        <v>2129</v>
      </c>
      <c r="M950" s="1472">
        <v>3.1095999999999999E-2</v>
      </c>
      <c r="N950" s="1473">
        <v>1.371062423406213</v>
      </c>
      <c r="O950" s="1473">
        <v>1.401637031720409</v>
      </c>
    </row>
    <row r="951" spans="11:15">
      <c r="K951" s="1470">
        <v>43008</v>
      </c>
      <c r="L951" s="1471"/>
      <c r="M951" s="1472">
        <v>0</v>
      </c>
      <c r="N951" s="1473">
        <v>1.371062423406213</v>
      </c>
      <c r="O951" s="1473">
        <v>1.401637031720409</v>
      </c>
    </row>
    <row r="952" spans="11:15">
      <c r="K952" s="1470">
        <v>43009</v>
      </c>
      <c r="L952" s="1471"/>
      <c r="M952" s="1472">
        <v>0</v>
      </c>
      <c r="N952" s="1473">
        <v>1.371062423406213</v>
      </c>
      <c r="O952" s="1473">
        <v>1.401637031720409</v>
      </c>
    </row>
    <row r="953" spans="11:15">
      <c r="K953" s="1470">
        <v>43010</v>
      </c>
      <c r="L953" s="1471" t="s">
        <v>2129</v>
      </c>
      <c r="M953" s="1472">
        <v>3.1095999999999999E-2</v>
      </c>
      <c r="N953" s="1473">
        <v>1.3714887689773954</v>
      </c>
      <c r="O953" s="1473">
        <v>1.4023733256695421</v>
      </c>
    </row>
    <row r="954" spans="11:15">
      <c r="K954" s="1470">
        <v>43011</v>
      </c>
      <c r="L954" s="1471" t="s">
        <v>2129</v>
      </c>
      <c r="M954" s="1472">
        <v>3.1095999999999999E-2</v>
      </c>
      <c r="N954" s="1473">
        <v>1.3719152471249965</v>
      </c>
      <c r="O954" s="1473">
        <v>1.4031100064012496</v>
      </c>
    </row>
    <row r="955" spans="11:15">
      <c r="K955" s="1470">
        <v>43012</v>
      </c>
      <c r="L955" s="1471" t="s">
        <v>2129</v>
      </c>
      <c r="M955" s="1472">
        <v>3.1095999999999999E-2</v>
      </c>
      <c r="N955" s="1473">
        <v>1.3723418578902424</v>
      </c>
      <c r="O955" s="1473">
        <v>1.4038470741187123</v>
      </c>
    </row>
    <row r="956" spans="11:15">
      <c r="K956" s="1470">
        <v>43013</v>
      </c>
      <c r="L956" s="1471" t="s">
        <v>2129</v>
      </c>
      <c r="M956" s="1472">
        <v>3.1095999999999999E-2</v>
      </c>
      <c r="N956" s="1473">
        <v>1.3727686013143718</v>
      </c>
      <c r="O956" s="1473">
        <v>1.4045845290252177</v>
      </c>
    </row>
    <row r="957" spans="11:15">
      <c r="K957" s="1470">
        <v>43014</v>
      </c>
      <c r="L957" s="1471" t="s">
        <v>2129</v>
      </c>
      <c r="M957" s="1472">
        <v>3.1095999999999999E-2</v>
      </c>
      <c r="N957" s="1473">
        <v>1.3731954774386366</v>
      </c>
      <c r="O957" s="1473">
        <v>1.4053223713241598</v>
      </c>
    </row>
    <row r="958" spans="11:15">
      <c r="K958" s="1470">
        <v>43015</v>
      </c>
      <c r="L958" s="1471"/>
      <c r="M958" s="1472">
        <v>0</v>
      </c>
      <c r="N958" s="1473">
        <v>1.3731954774386366</v>
      </c>
      <c r="O958" s="1473">
        <v>1.4053223713241598</v>
      </c>
    </row>
    <row r="959" spans="11:15">
      <c r="K959" s="1470">
        <v>43016</v>
      </c>
      <c r="L959" s="1471"/>
      <c r="M959" s="1472">
        <v>0</v>
      </c>
      <c r="N959" s="1473">
        <v>1.3731954774386366</v>
      </c>
      <c r="O959" s="1473">
        <v>1.4053223713241598</v>
      </c>
    </row>
    <row r="960" spans="11:15">
      <c r="K960" s="1470">
        <v>43017</v>
      </c>
      <c r="L960" s="1471" t="s">
        <v>2129</v>
      </c>
      <c r="M960" s="1472">
        <v>3.1095999999999999E-2</v>
      </c>
      <c r="N960" s="1473">
        <v>1.3736224863043009</v>
      </c>
      <c r="O960" s="1473">
        <v>1.4060606012190402</v>
      </c>
    </row>
    <row r="961" spans="11:15">
      <c r="K961" s="1470">
        <v>43018</v>
      </c>
      <c r="L961" s="1471" t="s">
        <v>2129</v>
      </c>
      <c r="M961" s="1472">
        <v>3.1095999999999999E-2</v>
      </c>
      <c r="N961" s="1473">
        <v>1.3740496279526422</v>
      </c>
      <c r="O961" s="1473">
        <v>1.4067992189134666</v>
      </c>
    </row>
    <row r="962" spans="11:15">
      <c r="K962" s="1470">
        <v>43019</v>
      </c>
      <c r="L962" s="1471" t="s">
        <v>2129</v>
      </c>
      <c r="M962" s="1472">
        <v>3.1095999999999999E-2</v>
      </c>
      <c r="N962" s="1473">
        <v>1.3744769024249504</v>
      </c>
      <c r="O962" s="1473">
        <v>1.4075382246111541</v>
      </c>
    </row>
    <row r="963" spans="11:15">
      <c r="K963" s="1470">
        <v>43020</v>
      </c>
      <c r="L963" s="1471"/>
      <c r="M963" s="1472">
        <v>0</v>
      </c>
      <c r="N963" s="1473">
        <v>1.3744769024249504</v>
      </c>
      <c r="O963" s="1473">
        <v>1.4075382246111541</v>
      </c>
    </row>
    <row r="964" spans="11:15">
      <c r="K964" s="1470">
        <v>43021</v>
      </c>
      <c r="L964" s="1471" t="s">
        <v>2129</v>
      </c>
      <c r="M964" s="1472">
        <v>3.1095999999999999E-2</v>
      </c>
      <c r="N964" s="1473">
        <v>1.3749043097625284</v>
      </c>
      <c r="O964" s="1473">
        <v>1.4082776185159245</v>
      </c>
    </row>
    <row r="965" spans="11:15">
      <c r="K965" s="1470">
        <v>43022</v>
      </c>
      <c r="L965" s="1471"/>
      <c r="M965" s="1472">
        <v>0</v>
      </c>
      <c r="N965" s="1473">
        <v>1.3749043097625284</v>
      </c>
      <c r="O965" s="1473">
        <v>1.4082776185159245</v>
      </c>
    </row>
    <row r="966" spans="11:15">
      <c r="K966" s="1470">
        <v>43023</v>
      </c>
      <c r="L966" s="1471"/>
      <c r="M966" s="1472">
        <v>0</v>
      </c>
      <c r="N966" s="1473">
        <v>1.3749043097625284</v>
      </c>
      <c r="O966" s="1473">
        <v>1.4082776185159245</v>
      </c>
    </row>
    <row r="967" spans="11:15">
      <c r="K967" s="1470">
        <v>43024</v>
      </c>
      <c r="L967" s="1471" t="s">
        <v>2129</v>
      </c>
      <c r="M967" s="1472">
        <v>3.1095999999999999E-2</v>
      </c>
      <c r="N967" s="1473">
        <v>1.3753318500066922</v>
      </c>
      <c r="O967" s="1473">
        <v>1.4090174008317071</v>
      </c>
    </row>
    <row r="968" spans="11:15">
      <c r="K968" s="1470">
        <v>43025</v>
      </c>
      <c r="L968" s="1471" t="s">
        <v>2129</v>
      </c>
      <c r="M968" s="1472">
        <v>3.1095999999999999E-2</v>
      </c>
      <c r="N968" s="1473">
        <v>1.3757595231987703</v>
      </c>
      <c r="O968" s="1473">
        <v>1.4097575717625381</v>
      </c>
    </row>
    <row r="969" spans="11:15">
      <c r="K969" s="1470">
        <v>43026</v>
      </c>
      <c r="L969" s="1471" t="s">
        <v>2129</v>
      </c>
      <c r="M969" s="1472">
        <v>3.1095999999999999E-2</v>
      </c>
      <c r="N969" s="1473">
        <v>1.3761873293801041</v>
      </c>
      <c r="O969" s="1473">
        <v>1.4104981315125606</v>
      </c>
    </row>
    <row r="970" spans="11:15">
      <c r="K970" s="1470">
        <v>43027</v>
      </c>
      <c r="L970" s="1471" t="s">
        <v>2129</v>
      </c>
      <c r="M970" s="1472">
        <v>3.1095999999999999E-2</v>
      </c>
      <c r="N970" s="1473">
        <v>1.3766152685920481</v>
      </c>
      <c r="O970" s="1473">
        <v>1.4112390802860255</v>
      </c>
    </row>
    <row r="971" spans="11:15">
      <c r="K971" s="1470">
        <v>43028</v>
      </c>
      <c r="L971" s="1471" t="s">
        <v>2129</v>
      </c>
      <c r="M971" s="1472">
        <v>3.1095999999999999E-2</v>
      </c>
      <c r="N971" s="1473">
        <v>1.3770433408759695</v>
      </c>
      <c r="O971" s="1473">
        <v>1.4119804182872906</v>
      </c>
    </row>
    <row r="972" spans="11:15">
      <c r="K972" s="1470">
        <v>43029</v>
      </c>
      <c r="L972" s="1471"/>
      <c r="M972" s="1472">
        <v>0</v>
      </c>
      <c r="N972" s="1473">
        <v>1.3770433408759695</v>
      </c>
      <c r="O972" s="1473">
        <v>1.4119804182872906</v>
      </c>
    </row>
    <row r="973" spans="11:15">
      <c r="K973" s="1470">
        <v>43030</v>
      </c>
      <c r="L973" s="1471"/>
      <c r="M973" s="1472">
        <v>0</v>
      </c>
      <c r="N973" s="1473">
        <v>1.3770433408759695</v>
      </c>
      <c r="O973" s="1473">
        <v>1.4119804182872906</v>
      </c>
    </row>
    <row r="974" spans="11:15">
      <c r="K974" s="1470">
        <v>43031</v>
      </c>
      <c r="L974" s="1471" t="s">
        <v>2129</v>
      </c>
      <c r="M974" s="1472">
        <v>3.1095999999999999E-2</v>
      </c>
      <c r="N974" s="1473">
        <v>1.3774715462732483</v>
      </c>
      <c r="O974" s="1473">
        <v>1.412722145720821</v>
      </c>
    </row>
    <row r="975" spans="11:15">
      <c r="K975" s="1470">
        <v>43032</v>
      </c>
      <c r="L975" s="1471" t="s">
        <v>2129</v>
      </c>
      <c r="M975" s="1472">
        <v>3.1095999999999999E-2</v>
      </c>
      <c r="N975" s="1473">
        <v>1.3778998848252775</v>
      </c>
      <c r="O975" s="1473">
        <v>1.4134642627911895</v>
      </c>
    </row>
    <row r="976" spans="11:15">
      <c r="K976" s="1470">
        <v>43033</v>
      </c>
      <c r="L976" s="1471" t="s">
        <v>2129</v>
      </c>
      <c r="M976" s="1472">
        <v>3.1095999999999999E-2</v>
      </c>
      <c r="N976" s="1473">
        <v>1.3783283565734628</v>
      </c>
      <c r="O976" s="1473">
        <v>1.4142067697030765</v>
      </c>
    </row>
    <row r="977" spans="11:15">
      <c r="K977" s="1470">
        <v>43034</v>
      </c>
      <c r="L977" s="1471" t="s">
        <v>2129</v>
      </c>
      <c r="M977" s="1472">
        <v>2.8333000000000001E-2</v>
      </c>
      <c r="N977" s="1473">
        <v>1.3787188783467308</v>
      </c>
      <c r="O977" s="1473">
        <v>1.4149496666612691</v>
      </c>
    </row>
    <row r="978" spans="11:15">
      <c r="K978" s="1470">
        <v>43035</v>
      </c>
      <c r="L978" s="1471" t="s">
        <v>2129</v>
      </c>
      <c r="M978" s="1472">
        <v>2.8333000000000001E-2</v>
      </c>
      <c r="N978" s="1473">
        <v>1.3791095107665328</v>
      </c>
      <c r="O978" s="1473">
        <v>1.4156929538706629</v>
      </c>
    </row>
    <row r="979" spans="11:15">
      <c r="K979" s="1470">
        <v>43036</v>
      </c>
      <c r="L979" s="1471"/>
      <c r="M979" s="1472">
        <v>0</v>
      </c>
      <c r="N979" s="1473">
        <v>1.3791095107665328</v>
      </c>
      <c r="O979" s="1473">
        <v>1.4156929538706629</v>
      </c>
    </row>
    <row r="980" spans="11:15">
      <c r="K980" s="1470">
        <v>43037</v>
      </c>
      <c r="L980" s="1471"/>
      <c r="M980" s="1472">
        <v>0</v>
      </c>
      <c r="N980" s="1473">
        <v>1.3791095107665328</v>
      </c>
      <c r="O980" s="1473">
        <v>1.4156929538706629</v>
      </c>
    </row>
    <row r="981" spans="11:15">
      <c r="K981" s="1470">
        <v>43038</v>
      </c>
      <c r="L981" s="1471" t="s">
        <v>2129</v>
      </c>
      <c r="M981" s="1472">
        <v>2.8333000000000001E-2</v>
      </c>
      <c r="N981" s="1473">
        <v>1.3795002538642183</v>
      </c>
      <c r="O981" s="1473">
        <v>1.4164366315362606</v>
      </c>
    </row>
    <row r="982" spans="11:15">
      <c r="K982" s="1470">
        <v>43039</v>
      </c>
      <c r="L982" s="1471" t="s">
        <v>2129</v>
      </c>
      <c r="M982" s="1472">
        <v>2.8333000000000001E-2</v>
      </c>
      <c r="N982" s="1473">
        <v>1.3798911076711458</v>
      </c>
      <c r="O982" s="1473">
        <v>1.4171806998631729</v>
      </c>
    </row>
    <row r="983" spans="11:15">
      <c r="K983" s="1470">
        <v>43040</v>
      </c>
      <c r="L983" s="1471" t="s">
        <v>2129</v>
      </c>
      <c r="M983" s="1472">
        <v>2.8333000000000001E-2</v>
      </c>
      <c r="N983" s="1473">
        <v>1.3802820722186822</v>
      </c>
      <c r="O983" s="1473">
        <v>1.417925159056618</v>
      </c>
    </row>
    <row r="984" spans="11:15">
      <c r="K984" s="1470">
        <v>43041</v>
      </c>
      <c r="L984" s="1471"/>
      <c r="M984" s="1472">
        <v>0</v>
      </c>
      <c r="N984" s="1473">
        <v>1.3802820722186822</v>
      </c>
      <c r="O984" s="1473">
        <v>1.417925159056618</v>
      </c>
    </row>
    <row r="985" spans="11:15">
      <c r="K985" s="1470">
        <v>43042</v>
      </c>
      <c r="L985" s="1471" t="s">
        <v>2129</v>
      </c>
      <c r="M985" s="1472">
        <v>2.8333000000000001E-2</v>
      </c>
      <c r="N985" s="1473">
        <v>1.3806731475382039</v>
      </c>
      <c r="O985" s="1473">
        <v>1.418670009321922</v>
      </c>
    </row>
    <row r="986" spans="11:15">
      <c r="K986" s="1470">
        <v>43043</v>
      </c>
      <c r="L986" s="1471"/>
      <c r="M986" s="1472">
        <v>0</v>
      </c>
      <c r="N986" s="1473">
        <v>1.3806731475382039</v>
      </c>
      <c r="O986" s="1473">
        <v>1.418670009321922</v>
      </c>
    </row>
    <row r="987" spans="11:15">
      <c r="K987" s="1470">
        <v>43044</v>
      </c>
      <c r="L987" s="1471"/>
      <c r="M987" s="1472">
        <v>0</v>
      </c>
      <c r="N987" s="1473">
        <v>1.3806731475382039</v>
      </c>
      <c r="O987" s="1473">
        <v>1.418670009321922</v>
      </c>
    </row>
    <row r="988" spans="11:15">
      <c r="K988" s="1470">
        <v>43045</v>
      </c>
      <c r="L988" s="1471" t="s">
        <v>2129</v>
      </c>
      <c r="M988" s="1472">
        <v>2.8333000000000001E-2</v>
      </c>
      <c r="N988" s="1473">
        <v>1.3810643336610959</v>
      </c>
      <c r="O988" s="1473">
        <v>1.4194152508645188</v>
      </c>
    </row>
    <row r="989" spans="11:15">
      <c r="K989" s="1470">
        <v>43046</v>
      </c>
      <c r="L989" s="1471" t="s">
        <v>2129</v>
      </c>
      <c r="M989" s="1472">
        <v>2.8333000000000001E-2</v>
      </c>
      <c r="N989" s="1473">
        <v>1.3814556306187522</v>
      </c>
      <c r="O989" s="1473">
        <v>1.4201608838899504</v>
      </c>
    </row>
    <row r="990" spans="11:15">
      <c r="K990" s="1470">
        <v>43047</v>
      </c>
      <c r="L990" s="1471" t="s">
        <v>2129</v>
      </c>
      <c r="M990" s="1472">
        <v>2.8333000000000001E-2</v>
      </c>
      <c r="N990" s="1473">
        <v>1.3818470384425754</v>
      </c>
      <c r="O990" s="1473">
        <v>1.4209069086038666</v>
      </c>
    </row>
    <row r="991" spans="11:15">
      <c r="K991" s="1470">
        <v>43048</v>
      </c>
      <c r="L991" s="1471" t="s">
        <v>2129</v>
      </c>
      <c r="M991" s="1472">
        <v>2.8333000000000001E-2</v>
      </c>
      <c r="N991" s="1473">
        <v>1.3822385571639773</v>
      </c>
      <c r="O991" s="1473">
        <v>1.4216533252120254</v>
      </c>
    </row>
    <row r="992" spans="11:15">
      <c r="K992" s="1470">
        <v>43049</v>
      </c>
      <c r="L992" s="1471" t="s">
        <v>2129</v>
      </c>
      <c r="M992" s="1472">
        <v>2.8333000000000001E-2</v>
      </c>
      <c r="N992" s="1473">
        <v>1.3826301868143787</v>
      </c>
      <c r="O992" s="1473">
        <v>1.4224001339202925</v>
      </c>
    </row>
    <row r="993" spans="11:15">
      <c r="K993" s="1470">
        <v>43050</v>
      </c>
      <c r="L993" s="1471"/>
      <c r="M993" s="1472">
        <v>0</v>
      </c>
      <c r="N993" s="1473">
        <v>1.3826301868143787</v>
      </c>
      <c r="O993" s="1473">
        <v>1.4224001339202925</v>
      </c>
    </row>
    <row r="994" spans="11:15">
      <c r="K994" s="1470">
        <v>43051</v>
      </c>
      <c r="L994" s="1471"/>
      <c r="M994" s="1472">
        <v>0</v>
      </c>
      <c r="N994" s="1473">
        <v>1.3826301868143787</v>
      </c>
      <c r="O994" s="1473">
        <v>1.4224001339202925</v>
      </c>
    </row>
    <row r="995" spans="11:15">
      <c r="K995" s="1470">
        <v>43052</v>
      </c>
      <c r="L995" s="1471" t="s">
        <v>2129</v>
      </c>
      <c r="M995" s="1472">
        <v>2.8333000000000001E-2</v>
      </c>
      <c r="N995" s="1473">
        <v>1.3830219274252089</v>
      </c>
      <c r="O995" s="1473">
        <v>1.4231473349346422</v>
      </c>
    </row>
    <row r="996" spans="11:15">
      <c r="K996" s="1470">
        <v>43053</v>
      </c>
      <c r="L996" s="1471" t="s">
        <v>2129</v>
      </c>
      <c r="M996" s="1472">
        <v>2.8333000000000001E-2</v>
      </c>
      <c r="N996" s="1473">
        <v>1.3834137790279064</v>
      </c>
      <c r="O996" s="1473">
        <v>1.4238949284611566</v>
      </c>
    </row>
    <row r="997" spans="11:15">
      <c r="K997" s="1470">
        <v>43054</v>
      </c>
      <c r="L997" s="1471"/>
      <c r="M997" s="1472">
        <v>0</v>
      </c>
      <c r="N997" s="1473">
        <v>1.3834137790279064</v>
      </c>
      <c r="O997" s="1473">
        <v>1.4238949284611566</v>
      </c>
    </row>
    <row r="998" spans="11:15">
      <c r="K998" s="1470">
        <v>43055</v>
      </c>
      <c r="L998" s="1471" t="s">
        <v>2129</v>
      </c>
      <c r="M998" s="1472">
        <v>2.8333000000000001E-2</v>
      </c>
      <c r="N998" s="1473">
        <v>1.3838057416539185</v>
      </c>
      <c r="O998" s="1473">
        <v>1.4246429147060264</v>
      </c>
    </row>
    <row r="999" spans="11:15">
      <c r="K999" s="1470">
        <v>43056</v>
      </c>
      <c r="L999" s="1471" t="s">
        <v>2129</v>
      </c>
      <c r="M999" s="1472">
        <v>2.8333000000000001E-2</v>
      </c>
      <c r="N999" s="1473">
        <v>1.3841978153347012</v>
      </c>
      <c r="O999" s="1473">
        <v>1.4253912938755506</v>
      </c>
    </row>
    <row r="1000" spans="11:15">
      <c r="K1000" s="1470">
        <v>43057</v>
      </c>
      <c r="L1000" s="1471"/>
      <c r="M1000" s="1472">
        <v>0</v>
      </c>
      <c r="N1000" s="1473">
        <v>1.3841978153347012</v>
      </c>
      <c r="O1000" s="1473">
        <v>1.4253912938755506</v>
      </c>
    </row>
    <row r="1001" spans="11:15">
      <c r="K1001" s="1470">
        <v>43058</v>
      </c>
      <c r="L1001" s="1471"/>
      <c r="M1001" s="1472">
        <v>0</v>
      </c>
      <c r="N1001" s="1473">
        <v>1.3841978153347012</v>
      </c>
      <c r="O1001" s="1473">
        <v>1.4253912938755506</v>
      </c>
    </row>
    <row r="1002" spans="11:15">
      <c r="K1002" s="1470">
        <v>43059</v>
      </c>
      <c r="L1002" s="1471" t="s">
        <v>2129</v>
      </c>
      <c r="M1002" s="1472">
        <v>2.8333000000000001E-2</v>
      </c>
      <c r="N1002" s="1473">
        <v>1.38459000010172</v>
      </c>
      <c r="O1002" s="1473">
        <v>1.4261400661761363</v>
      </c>
    </row>
    <row r="1003" spans="11:15">
      <c r="K1003" s="1470">
        <v>43060</v>
      </c>
      <c r="L1003" s="1471" t="s">
        <v>2129</v>
      </c>
      <c r="M1003" s="1472">
        <v>2.8333000000000001E-2</v>
      </c>
      <c r="N1003" s="1473">
        <v>1.3849822959864488</v>
      </c>
      <c r="O1003" s="1473">
        <v>1.4268892318142994</v>
      </c>
    </row>
    <row r="1004" spans="11:15">
      <c r="K1004" s="1470">
        <v>43061</v>
      </c>
      <c r="L1004" s="1471" t="s">
        <v>2129</v>
      </c>
      <c r="M1004" s="1472">
        <v>2.8333000000000001E-2</v>
      </c>
      <c r="N1004" s="1473">
        <v>1.3853747030203707</v>
      </c>
      <c r="O1004" s="1473">
        <v>1.4276387909966637</v>
      </c>
    </row>
    <row r="1005" spans="11:15">
      <c r="K1005" s="1470">
        <v>43062</v>
      </c>
      <c r="L1005" s="1471" t="s">
        <v>2129</v>
      </c>
      <c r="M1005" s="1472">
        <v>2.8333000000000001E-2</v>
      </c>
      <c r="N1005" s="1473">
        <v>1.3857672212349774</v>
      </c>
      <c r="O1005" s="1473">
        <v>1.4283887439299621</v>
      </c>
    </row>
    <row r="1006" spans="11:15">
      <c r="K1006" s="1470">
        <v>43063</v>
      </c>
      <c r="L1006" s="1471" t="s">
        <v>2129</v>
      </c>
      <c r="M1006" s="1472">
        <v>2.8333000000000001E-2</v>
      </c>
      <c r="N1006" s="1473">
        <v>1.3861598506617701</v>
      </c>
      <c r="O1006" s="1473">
        <v>1.429139090821036</v>
      </c>
    </row>
    <row r="1007" spans="11:15">
      <c r="K1007" s="1470">
        <v>43064</v>
      </c>
      <c r="L1007" s="1471"/>
      <c r="M1007" s="1472">
        <v>0</v>
      </c>
      <c r="N1007" s="1473">
        <v>1.3861598506617701</v>
      </c>
      <c r="O1007" s="1473">
        <v>1.429139090821036</v>
      </c>
    </row>
    <row r="1008" spans="11:15">
      <c r="K1008" s="1470">
        <v>43065</v>
      </c>
      <c r="L1008" s="1471"/>
      <c r="M1008" s="1472">
        <v>0</v>
      </c>
      <c r="N1008" s="1473">
        <v>1.3861598506617701</v>
      </c>
      <c r="O1008" s="1473">
        <v>1.429139090821036</v>
      </c>
    </row>
    <row r="1009" spans="11:15">
      <c r="K1009" s="1470">
        <v>43066</v>
      </c>
      <c r="L1009" s="1471" t="s">
        <v>2129</v>
      </c>
      <c r="M1009" s="1472">
        <v>2.8333000000000001E-2</v>
      </c>
      <c r="N1009" s="1473">
        <v>1.3865525913322581</v>
      </c>
      <c r="O1009" s="1473">
        <v>1.4298898318768352</v>
      </c>
    </row>
    <row r="1010" spans="11:15">
      <c r="K1010" s="1470">
        <v>43067</v>
      </c>
      <c r="L1010" s="1471" t="s">
        <v>2129</v>
      </c>
      <c r="M1010" s="1472">
        <v>2.8333000000000001E-2</v>
      </c>
      <c r="N1010" s="1473">
        <v>1.3869454432779602</v>
      </c>
      <c r="O1010" s="1473">
        <v>1.4306409673044185</v>
      </c>
    </row>
    <row r="1011" spans="11:15">
      <c r="K1011" s="1470">
        <v>43068</v>
      </c>
      <c r="L1011" s="1471" t="s">
        <v>2129</v>
      </c>
      <c r="M1011" s="1472">
        <v>2.8333000000000001E-2</v>
      </c>
      <c r="N1011" s="1473">
        <v>1.3873384065304042</v>
      </c>
      <c r="O1011" s="1473">
        <v>1.4313924973109531</v>
      </c>
    </row>
    <row r="1012" spans="11:15">
      <c r="K1012" s="1470">
        <v>43069</v>
      </c>
      <c r="L1012" s="1471" t="s">
        <v>2129</v>
      </c>
      <c r="M1012" s="1472">
        <v>2.8333000000000001E-2</v>
      </c>
      <c r="N1012" s="1473">
        <v>1.3877314811211265</v>
      </c>
      <c r="O1012" s="1473">
        <v>1.4321444221037154</v>
      </c>
    </row>
    <row r="1013" spans="11:15">
      <c r="K1013" s="1470">
        <v>43070</v>
      </c>
      <c r="L1013" s="1471" t="s">
        <v>2129</v>
      </c>
      <c r="M1013" s="1472">
        <v>2.8333000000000001E-2</v>
      </c>
      <c r="N1013" s="1473">
        <v>1.3881246670816727</v>
      </c>
      <c r="O1013" s="1473">
        <v>1.4328967418900906</v>
      </c>
    </row>
    <row r="1014" spans="11:15">
      <c r="K1014" s="1470">
        <v>43071</v>
      </c>
      <c r="L1014" s="1471"/>
      <c r="M1014" s="1472">
        <v>0</v>
      </c>
      <c r="N1014" s="1473">
        <v>1.3881246670816727</v>
      </c>
      <c r="O1014" s="1473">
        <v>1.4328967418900906</v>
      </c>
    </row>
    <row r="1015" spans="11:15">
      <c r="K1015" s="1470">
        <v>43072</v>
      </c>
      <c r="L1015" s="1471"/>
      <c r="M1015" s="1472">
        <v>0</v>
      </c>
      <c r="N1015" s="1473">
        <v>1.3881246670816727</v>
      </c>
      <c r="O1015" s="1473">
        <v>1.4328967418900906</v>
      </c>
    </row>
    <row r="1016" spans="11:15">
      <c r="K1016" s="1470">
        <v>43073</v>
      </c>
      <c r="L1016" s="1471" t="s">
        <v>2129</v>
      </c>
      <c r="M1016" s="1472">
        <v>2.8333000000000001E-2</v>
      </c>
      <c r="N1016" s="1473">
        <v>1.388517964443597</v>
      </c>
      <c r="O1016" s="1473">
        <v>1.4336494568775728</v>
      </c>
    </row>
    <row r="1017" spans="11:15">
      <c r="K1017" s="1470">
        <v>43074</v>
      </c>
      <c r="L1017" s="1471" t="s">
        <v>2129</v>
      </c>
      <c r="M1017" s="1472">
        <v>2.8333000000000001E-2</v>
      </c>
      <c r="N1017" s="1473">
        <v>1.3889113732384628</v>
      </c>
      <c r="O1017" s="1473">
        <v>1.4344025672737652</v>
      </c>
    </row>
    <row r="1018" spans="11:15">
      <c r="K1018" s="1470">
        <v>43075</v>
      </c>
      <c r="L1018" s="1471" t="s">
        <v>2129</v>
      </c>
      <c r="M1018" s="1472">
        <v>2.8333000000000001E-2</v>
      </c>
      <c r="N1018" s="1473">
        <v>1.3893048934978425</v>
      </c>
      <c r="O1018" s="1473">
        <v>1.4351560732863797</v>
      </c>
    </row>
    <row r="1019" spans="11:15">
      <c r="K1019" s="1470">
        <v>43076</v>
      </c>
      <c r="L1019" s="1471" t="s">
        <v>2129</v>
      </c>
      <c r="M1019" s="1472">
        <v>2.6481000000000001E-2</v>
      </c>
      <c r="N1019" s="1473">
        <v>1.3896727953266896</v>
      </c>
      <c r="O1019" s="1473">
        <v>1.4359099751232378</v>
      </c>
    </row>
    <row r="1020" spans="11:15">
      <c r="K1020" s="1470">
        <v>43077</v>
      </c>
      <c r="L1020" s="1471" t="s">
        <v>2129</v>
      </c>
      <c r="M1020" s="1472">
        <v>2.6481000000000001E-2</v>
      </c>
      <c r="N1020" s="1473">
        <v>1.39004079457962</v>
      </c>
      <c r="O1020" s="1473">
        <v>1.4366642729922698</v>
      </c>
    </row>
    <row r="1021" spans="11:15">
      <c r="K1021" s="1470">
        <v>43078</v>
      </c>
      <c r="L1021" s="1471"/>
      <c r="M1021" s="1472">
        <v>0</v>
      </c>
      <c r="N1021" s="1473">
        <v>1.39004079457962</v>
      </c>
      <c r="O1021" s="1473">
        <v>1.4366642729922698</v>
      </c>
    </row>
    <row r="1022" spans="11:15">
      <c r="K1022" s="1470">
        <v>43079</v>
      </c>
      <c r="L1022" s="1471"/>
      <c r="M1022" s="1472">
        <v>0</v>
      </c>
      <c r="N1022" s="1473">
        <v>1.39004079457962</v>
      </c>
      <c r="O1022" s="1473">
        <v>1.4366642729922698</v>
      </c>
    </row>
    <row r="1023" spans="11:15">
      <c r="K1023" s="1470">
        <v>43080</v>
      </c>
      <c r="L1023" s="1471" t="s">
        <v>2129</v>
      </c>
      <c r="M1023" s="1472">
        <v>2.6481000000000001E-2</v>
      </c>
      <c r="N1023" s="1473">
        <v>1.3904088912824326</v>
      </c>
      <c r="O1023" s="1473">
        <v>1.4374189671015154</v>
      </c>
    </row>
    <row r="1024" spans="11:15">
      <c r="K1024" s="1470">
        <v>43081</v>
      </c>
      <c r="L1024" s="1471" t="s">
        <v>2129</v>
      </c>
      <c r="M1024" s="1472">
        <v>2.6481000000000001E-2</v>
      </c>
      <c r="N1024" s="1473">
        <v>1.3907770854609331</v>
      </c>
      <c r="O1024" s="1473">
        <v>1.4381740576591235</v>
      </c>
    </row>
    <row r="1025" spans="11:15">
      <c r="K1025" s="1470">
        <v>43082</v>
      </c>
      <c r="L1025" s="1471" t="s">
        <v>2129</v>
      </c>
      <c r="M1025" s="1472">
        <v>2.6481000000000001E-2</v>
      </c>
      <c r="N1025" s="1473">
        <v>1.3911453771409341</v>
      </c>
      <c r="O1025" s="1473">
        <v>1.4389295448733526</v>
      </c>
    </row>
    <row r="1026" spans="11:15">
      <c r="K1026" s="1470">
        <v>43083</v>
      </c>
      <c r="L1026" s="1471" t="s">
        <v>2129</v>
      </c>
      <c r="M1026" s="1472">
        <v>2.6481000000000001E-2</v>
      </c>
      <c r="N1026" s="1473">
        <v>1.3915137663482549</v>
      </c>
      <c r="O1026" s="1473">
        <v>1.43968542895257</v>
      </c>
    </row>
    <row r="1027" spans="11:15">
      <c r="K1027" s="1470">
        <v>43084</v>
      </c>
      <c r="L1027" s="1471" t="s">
        <v>2129</v>
      </c>
      <c r="M1027" s="1472">
        <v>2.6481000000000001E-2</v>
      </c>
      <c r="N1027" s="1473">
        <v>1.3918822531087216</v>
      </c>
      <c r="O1027" s="1473">
        <v>1.4404417101052531</v>
      </c>
    </row>
    <row r="1028" spans="11:15">
      <c r="K1028" s="1470">
        <v>43085</v>
      </c>
      <c r="L1028" s="1471"/>
      <c r="M1028" s="1472">
        <v>0</v>
      </c>
      <c r="N1028" s="1473">
        <v>1.3918822531087216</v>
      </c>
      <c r="O1028" s="1473">
        <v>1.4404417101052531</v>
      </c>
    </row>
    <row r="1029" spans="11:15">
      <c r="K1029" s="1470">
        <v>43086</v>
      </c>
      <c r="L1029" s="1471"/>
      <c r="M1029" s="1472">
        <v>0</v>
      </c>
      <c r="N1029" s="1473">
        <v>1.3918822531087216</v>
      </c>
      <c r="O1029" s="1473">
        <v>1.4404417101052531</v>
      </c>
    </row>
    <row r="1030" spans="11:15">
      <c r="K1030" s="1470">
        <v>43087</v>
      </c>
      <c r="L1030" s="1471" t="s">
        <v>2129</v>
      </c>
      <c r="M1030" s="1472">
        <v>2.6481000000000001E-2</v>
      </c>
      <c r="N1030" s="1473">
        <v>1.3922508374481672</v>
      </c>
      <c r="O1030" s="1473">
        <v>1.4411983885399886</v>
      </c>
    </row>
    <row r="1031" spans="11:15">
      <c r="K1031" s="1470">
        <v>43088</v>
      </c>
      <c r="L1031" s="1471" t="s">
        <v>2129</v>
      </c>
      <c r="M1031" s="1472">
        <v>2.6481000000000001E-2</v>
      </c>
      <c r="N1031" s="1473">
        <v>1.392619519392432</v>
      </c>
      <c r="O1031" s="1473">
        <v>1.4419554644654726</v>
      </c>
    </row>
    <row r="1032" spans="11:15">
      <c r="K1032" s="1470">
        <v>43089</v>
      </c>
      <c r="L1032" s="1471" t="s">
        <v>2129</v>
      </c>
      <c r="M1032" s="1472">
        <v>2.6481000000000001E-2</v>
      </c>
      <c r="N1032" s="1473">
        <v>1.3929882989673623</v>
      </c>
      <c r="O1032" s="1473">
        <v>1.442712938090511</v>
      </c>
    </row>
    <row r="1033" spans="11:15">
      <c r="K1033" s="1470">
        <v>43090</v>
      </c>
      <c r="L1033" s="1471" t="s">
        <v>2129</v>
      </c>
      <c r="M1033" s="1472">
        <v>2.6481000000000001E-2</v>
      </c>
      <c r="N1033" s="1473">
        <v>1.3933571761988119</v>
      </c>
      <c r="O1033" s="1473">
        <v>1.4434708096240194</v>
      </c>
    </row>
    <row r="1034" spans="11:15">
      <c r="K1034" s="1470">
        <v>43091</v>
      </c>
      <c r="L1034" s="1471" t="s">
        <v>2129</v>
      </c>
      <c r="M1034" s="1472">
        <v>2.6481000000000001E-2</v>
      </c>
      <c r="N1034" s="1473">
        <v>1.3937261511126411</v>
      </c>
      <c r="O1034" s="1473">
        <v>1.444229079275023</v>
      </c>
    </row>
    <row r="1035" spans="11:15">
      <c r="K1035" s="1470">
        <v>43092</v>
      </c>
      <c r="L1035" s="1471"/>
      <c r="M1035" s="1472">
        <v>0</v>
      </c>
      <c r="N1035" s="1473">
        <v>1.3937261511126411</v>
      </c>
      <c r="O1035" s="1473">
        <v>1.444229079275023</v>
      </c>
    </row>
    <row r="1036" spans="11:15">
      <c r="K1036" s="1470">
        <v>43093</v>
      </c>
      <c r="L1036" s="1471"/>
      <c r="M1036" s="1472">
        <v>0</v>
      </c>
      <c r="N1036" s="1473">
        <v>1.3937261511126411</v>
      </c>
      <c r="O1036" s="1473">
        <v>1.444229079275023</v>
      </c>
    </row>
    <row r="1037" spans="11:15">
      <c r="K1037" s="1470">
        <v>43094</v>
      </c>
      <c r="L1037" s="1471"/>
      <c r="M1037" s="1472">
        <v>0</v>
      </c>
      <c r="N1037" s="1473">
        <v>1.3937261511126411</v>
      </c>
      <c r="O1037" s="1473">
        <v>1.444229079275023</v>
      </c>
    </row>
    <row r="1038" spans="11:15">
      <c r="K1038" s="1470">
        <v>43095</v>
      </c>
      <c r="L1038" s="1471" t="s">
        <v>2129</v>
      </c>
      <c r="M1038" s="1472">
        <v>2.6481000000000001E-2</v>
      </c>
      <c r="N1038" s="1473">
        <v>1.3940952237347173</v>
      </c>
      <c r="O1038" s="1473">
        <v>1.4449877472526569</v>
      </c>
    </row>
    <row r="1039" spans="11:15">
      <c r="K1039" s="1470">
        <v>43096</v>
      </c>
      <c r="L1039" s="1471" t="s">
        <v>2129</v>
      </c>
      <c r="M1039" s="1472">
        <v>2.6481000000000001E-2</v>
      </c>
      <c r="N1039" s="1473">
        <v>1.3944643940909145</v>
      </c>
      <c r="O1039" s="1473">
        <v>1.4457468137661662</v>
      </c>
    </row>
    <row r="1040" spans="11:15">
      <c r="K1040" s="1470">
        <v>43097</v>
      </c>
      <c r="L1040" s="1471" t="s">
        <v>2129</v>
      </c>
      <c r="M1040" s="1472">
        <v>2.6481000000000001E-2</v>
      </c>
      <c r="N1040" s="1473">
        <v>1.3948336622071138</v>
      </c>
      <c r="O1040" s="1473">
        <v>1.4465062790249057</v>
      </c>
    </row>
    <row r="1041" spans="11:15">
      <c r="K1041" s="1470">
        <v>43098</v>
      </c>
      <c r="L1041" s="1471" t="s">
        <v>2129</v>
      </c>
      <c r="M1041" s="1472">
        <v>2.6481000000000001E-2</v>
      </c>
      <c r="N1041" s="1473">
        <v>1.3952030281092029</v>
      </c>
      <c r="O1041" s="1473">
        <v>1.4472661432383402</v>
      </c>
    </row>
    <row r="1042" spans="11:15">
      <c r="K1042" s="1470">
        <v>43099</v>
      </c>
      <c r="L1042" s="1471"/>
      <c r="M1042" s="1472">
        <v>0</v>
      </c>
      <c r="N1042" s="1473">
        <v>1.3952030281092029</v>
      </c>
      <c r="O1042" s="1473">
        <v>1.4472661432383402</v>
      </c>
    </row>
    <row r="1043" spans="11:15">
      <c r="K1043" s="1470">
        <v>43100</v>
      </c>
      <c r="L1043" s="1471"/>
      <c r="M1043" s="1472">
        <v>0</v>
      </c>
      <c r="N1043" s="1473">
        <v>1.3952030281092029</v>
      </c>
      <c r="O1043" s="1473">
        <v>1.4472661432383402</v>
      </c>
    </row>
    <row r="1044" spans="11:15">
      <c r="K1044" s="1470">
        <v>43101</v>
      </c>
      <c r="L1044" s="1471"/>
      <c r="M1044" s="1472">
        <v>0</v>
      </c>
      <c r="N1044" s="1473">
        <v>1.3952030281092029</v>
      </c>
      <c r="O1044" s="1473">
        <v>1.4472661432383402</v>
      </c>
    </row>
    <row r="1045" spans="11:15">
      <c r="K1045" s="1470">
        <v>43102</v>
      </c>
      <c r="L1045" s="1471" t="s">
        <v>2129</v>
      </c>
      <c r="M1045" s="1472">
        <v>2.6481000000000001E-2</v>
      </c>
      <c r="N1045" s="1473">
        <v>1.3955724918230765</v>
      </c>
      <c r="O1045" s="1473"/>
    </row>
    <row r="1046" spans="11:15">
      <c r="K1046" s="1470">
        <v>43103</v>
      </c>
      <c r="L1046" s="1471" t="s">
        <v>2129</v>
      </c>
      <c r="M1046" s="1472">
        <v>2.6481000000000001E-2</v>
      </c>
      <c r="N1046" s="1473">
        <v>1.3959420533746363</v>
      </c>
      <c r="O1046" s="1473"/>
    </row>
    <row r="1047" spans="11:15">
      <c r="K1047" s="1470">
        <v>43104</v>
      </c>
      <c r="L1047" s="1471" t="s">
        <v>2129</v>
      </c>
      <c r="M1047" s="1472">
        <v>2.6481000000000001E-2</v>
      </c>
      <c r="N1047" s="1473">
        <v>1.3963117127897904</v>
      </c>
      <c r="O1047" s="1473"/>
    </row>
    <row r="1048" spans="11:15">
      <c r="K1048" s="1470">
        <v>43105</v>
      </c>
      <c r="L1048" s="1471" t="s">
        <v>2129</v>
      </c>
      <c r="M1048" s="1472">
        <v>2.6481000000000001E-2</v>
      </c>
      <c r="N1048" s="1473">
        <v>1.3966814700944543</v>
      </c>
      <c r="O1048" s="1473"/>
    </row>
    <row r="1049" spans="11:15">
      <c r="K1049" s="1470">
        <v>43106</v>
      </c>
      <c r="L1049" s="1471"/>
      <c r="M1049" s="1472">
        <v>0</v>
      </c>
      <c r="N1049" s="1473">
        <v>1.3966814700944543</v>
      </c>
      <c r="O1049" s="1473"/>
    </row>
    <row r="1050" spans="11:15">
      <c r="K1050" s="1470">
        <v>43107</v>
      </c>
      <c r="L1050" s="1471"/>
      <c r="M1050" s="1472">
        <v>0</v>
      </c>
      <c r="N1050" s="1473">
        <v>1.3966814700944543</v>
      </c>
      <c r="O1050" s="1473"/>
    </row>
    <row r="1051" spans="11:15">
      <c r="K1051" s="1470">
        <v>43108</v>
      </c>
      <c r="L1051" s="1471" t="s">
        <v>2129</v>
      </c>
      <c r="M1051" s="1472">
        <v>2.6481000000000001E-2</v>
      </c>
      <c r="N1051" s="1473">
        <v>1.39705132531455</v>
      </c>
      <c r="O1051" s="1473"/>
    </row>
    <row r="1052" spans="11:15">
      <c r="K1052" s="1470">
        <v>43109</v>
      </c>
      <c r="L1052" s="1471" t="s">
        <v>2129</v>
      </c>
      <c r="M1052" s="1472">
        <v>2.6481000000000001E-2</v>
      </c>
      <c r="N1052" s="1473">
        <v>1.3974212784760065</v>
      </c>
      <c r="O1052" s="1473"/>
    </row>
    <row r="1053" spans="11:15">
      <c r="K1053" s="1470">
        <v>43110</v>
      </c>
      <c r="L1053" s="1471" t="s">
        <v>2129</v>
      </c>
      <c r="M1053" s="1472">
        <v>2.6481000000000001E-2</v>
      </c>
      <c r="N1053" s="1473">
        <v>1.3977913296047597</v>
      </c>
      <c r="O1053" s="1473"/>
    </row>
    <row r="1054" spans="11:15">
      <c r="K1054" s="1470">
        <v>43111</v>
      </c>
      <c r="L1054" s="1471" t="s">
        <v>2129</v>
      </c>
      <c r="M1054" s="1472">
        <v>2.6481000000000001E-2</v>
      </c>
      <c r="N1054" s="1473">
        <v>1.3981614787267524</v>
      </c>
      <c r="O1054" s="1473"/>
    </row>
    <row r="1055" spans="11:15">
      <c r="K1055" s="1470">
        <v>43112</v>
      </c>
      <c r="L1055" s="1471" t="s">
        <v>2129</v>
      </c>
      <c r="M1055" s="1472">
        <v>2.6481000000000001E-2</v>
      </c>
      <c r="N1055" s="1473">
        <v>1.3985317258679342</v>
      </c>
      <c r="O1055" s="1473"/>
    </row>
    <row r="1056" spans="11:15">
      <c r="K1056" s="1470">
        <v>43113</v>
      </c>
      <c r="L1056" s="1471"/>
      <c r="M1056" s="1472">
        <v>0</v>
      </c>
      <c r="N1056" s="1473">
        <v>1.3985317258679342</v>
      </c>
      <c r="O1056" s="1473"/>
    </row>
    <row r="1057" spans="11:15">
      <c r="K1057" s="1470">
        <v>43114</v>
      </c>
      <c r="L1057" s="1471"/>
      <c r="M1057" s="1472">
        <v>0</v>
      </c>
      <c r="N1057" s="1473">
        <v>1.3985317258679342</v>
      </c>
      <c r="O1057" s="1473"/>
    </row>
    <row r="1058" spans="11:15">
      <c r="K1058" s="1470">
        <v>43115</v>
      </c>
      <c r="L1058" s="1471" t="s">
        <v>2129</v>
      </c>
      <c r="M1058" s="1472">
        <v>2.6481000000000001E-2</v>
      </c>
      <c r="N1058" s="1473">
        <v>1.3989020710542612</v>
      </c>
      <c r="O1058" s="1473"/>
    </row>
    <row r="1059" spans="11:15">
      <c r="K1059" s="1470">
        <v>43116</v>
      </c>
      <c r="L1059" s="1471" t="s">
        <v>2129</v>
      </c>
      <c r="M1059" s="1472">
        <v>2.6481000000000001E-2</v>
      </c>
      <c r="N1059" s="1473">
        <v>1.3992725143116971</v>
      </c>
      <c r="O1059" s="1473"/>
    </row>
    <row r="1060" spans="11:15">
      <c r="K1060" s="1470">
        <v>43117</v>
      </c>
      <c r="L1060" s="1471" t="s">
        <v>2129</v>
      </c>
      <c r="M1060" s="1472">
        <v>2.6481000000000001E-2</v>
      </c>
      <c r="N1060" s="1473">
        <v>1.3996430556662121</v>
      </c>
      <c r="O1060" s="1473"/>
    </row>
    <row r="1061" spans="11:15">
      <c r="K1061" s="1470">
        <v>43118</v>
      </c>
      <c r="L1061" s="1471" t="s">
        <v>2129</v>
      </c>
      <c r="M1061" s="1472">
        <v>2.6481000000000001E-2</v>
      </c>
      <c r="N1061" s="1473">
        <v>1.4000136951437829</v>
      </c>
      <c r="O1061" s="1473"/>
    </row>
    <row r="1062" spans="11:15">
      <c r="K1062" s="1470">
        <v>43119</v>
      </c>
      <c r="L1062" s="1471" t="s">
        <v>2129</v>
      </c>
      <c r="M1062" s="1472">
        <v>2.6481000000000001E-2</v>
      </c>
      <c r="N1062" s="1473">
        <v>1.400384432770394</v>
      </c>
      <c r="O1062" s="1473"/>
    </row>
    <row r="1063" spans="11:15">
      <c r="K1063" s="1470">
        <v>43120</v>
      </c>
      <c r="L1063" s="1471"/>
      <c r="M1063" s="1472">
        <v>0</v>
      </c>
      <c r="N1063" s="1473">
        <v>1.400384432770394</v>
      </c>
      <c r="O1063" s="1473"/>
    </row>
    <row r="1064" spans="11:15">
      <c r="K1064" s="1470">
        <v>43121</v>
      </c>
      <c r="L1064" s="1471"/>
      <c r="M1064" s="1472">
        <v>0</v>
      </c>
      <c r="N1064" s="1473">
        <v>1.400384432770394</v>
      </c>
      <c r="O1064" s="1473"/>
    </row>
    <row r="1065" spans="11:15">
      <c r="K1065" s="1470">
        <v>43122</v>
      </c>
      <c r="L1065" s="1471" t="s">
        <v>2129</v>
      </c>
      <c r="M1065" s="1472">
        <v>2.6481000000000001E-2</v>
      </c>
      <c r="N1065" s="1473">
        <v>1.4007552685720359</v>
      </c>
      <c r="O1065" s="1473"/>
    </row>
    <row r="1066" spans="11:15">
      <c r="K1066" s="1470">
        <v>43123</v>
      </c>
      <c r="L1066" s="1471" t="s">
        <v>2129</v>
      </c>
      <c r="M1066" s="1472">
        <v>2.6481000000000001E-2</v>
      </c>
      <c r="N1066" s="1473">
        <v>1.4011262025747064</v>
      </c>
      <c r="O1066" s="1473"/>
    </row>
    <row r="1067" spans="11:15">
      <c r="K1067" s="1470">
        <v>43124</v>
      </c>
      <c r="L1067" s="1471" t="s">
        <v>2129</v>
      </c>
      <c r="M1067" s="1472">
        <v>2.6481000000000001E-2</v>
      </c>
      <c r="N1067" s="1473">
        <v>1.4014972348044104</v>
      </c>
      <c r="O1067" s="1473"/>
    </row>
    <row r="1068" spans="11:15">
      <c r="K1068" s="1470">
        <v>43125</v>
      </c>
      <c r="L1068" s="1471" t="s">
        <v>2129</v>
      </c>
      <c r="M1068" s="1472">
        <v>2.6481000000000001E-2</v>
      </c>
      <c r="N1068" s="1473">
        <v>1.4018683652871589</v>
      </c>
      <c r="O1068" s="1473"/>
    </row>
    <row r="1069" spans="11:15">
      <c r="K1069" s="1470">
        <v>43126</v>
      </c>
      <c r="L1069" s="1471" t="s">
        <v>2129</v>
      </c>
      <c r="M1069" s="1472">
        <v>2.6481000000000001E-2</v>
      </c>
      <c r="N1069" s="1473">
        <v>1.4022395940489705</v>
      </c>
      <c r="O1069" s="1473"/>
    </row>
    <row r="1070" spans="11:15">
      <c r="K1070" s="1470">
        <v>43127</v>
      </c>
      <c r="L1070" s="1471"/>
      <c r="M1070" s="1472">
        <v>0</v>
      </c>
      <c r="N1070" s="1473">
        <v>1.4022395940489705</v>
      </c>
      <c r="O1070" s="1473"/>
    </row>
    <row r="1071" spans="11:15">
      <c r="K1071" s="1470">
        <v>43128</v>
      </c>
      <c r="L1071" s="1471"/>
      <c r="M1071" s="1472">
        <v>0</v>
      </c>
      <c r="N1071" s="1473">
        <v>1.4022395940489705</v>
      </c>
      <c r="O1071" s="1473"/>
    </row>
    <row r="1072" spans="11:15">
      <c r="K1072" s="1470">
        <v>43129</v>
      </c>
      <c r="L1072" s="1471" t="s">
        <v>2129</v>
      </c>
      <c r="M1072" s="1472">
        <v>2.6481000000000001E-2</v>
      </c>
      <c r="N1072" s="1473">
        <v>1.4026109211158706</v>
      </c>
      <c r="O1072" s="1473"/>
    </row>
    <row r="1073" spans="11:15">
      <c r="K1073" s="1470">
        <v>43130</v>
      </c>
      <c r="L1073" s="1471" t="s">
        <v>2129</v>
      </c>
      <c r="M1073" s="1472">
        <v>2.6481000000000001E-2</v>
      </c>
      <c r="N1073" s="1473">
        <v>1.4029823465138913</v>
      </c>
      <c r="O1073" s="1473"/>
    </row>
    <row r="1074" spans="11:15">
      <c r="K1074" s="1470">
        <v>43131</v>
      </c>
      <c r="L1074" s="1471" t="s">
        <v>2129</v>
      </c>
      <c r="M1074" s="1472">
        <v>2.6481000000000001E-2</v>
      </c>
      <c r="N1074" s="1473">
        <v>1.4033538702690718</v>
      </c>
      <c r="O1074" s="1473"/>
    </row>
    <row r="1075" spans="11:15">
      <c r="K1075" s="1470">
        <v>43132</v>
      </c>
      <c r="L1075" s="1471" t="s">
        <v>2129</v>
      </c>
      <c r="M1075" s="1472">
        <v>2.6481000000000001E-2</v>
      </c>
      <c r="N1075" s="1473">
        <v>1.4037254924074578</v>
      </c>
      <c r="O1075" s="1473"/>
    </row>
    <row r="1076" spans="11:15">
      <c r="K1076" s="1470">
        <v>43133</v>
      </c>
      <c r="L1076" s="1471" t="s">
        <v>2129</v>
      </c>
      <c r="M1076" s="1472">
        <v>2.6481000000000001E-2</v>
      </c>
      <c r="N1076" s="1473">
        <v>1.4040972129551021</v>
      </c>
      <c r="O1076" s="1473"/>
    </row>
    <row r="1077" spans="11:15">
      <c r="K1077" s="1470">
        <v>43134</v>
      </c>
      <c r="L1077" s="1471"/>
      <c r="M1077" s="1472">
        <v>0</v>
      </c>
      <c r="N1077" s="1473">
        <v>1.4040972129551021</v>
      </c>
      <c r="O1077" s="1473"/>
    </row>
    <row r="1078" spans="11:15">
      <c r="K1078" s="1470">
        <v>43135</v>
      </c>
      <c r="L1078" s="1471"/>
      <c r="M1078" s="1472">
        <v>0</v>
      </c>
      <c r="N1078" s="1473">
        <v>1.4040972129551021</v>
      </c>
      <c r="O1078" s="1473"/>
    </row>
    <row r="1079" spans="11:15">
      <c r="K1079" s="1470">
        <v>43136</v>
      </c>
      <c r="L1079" s="1471" t="s">
        <v>2129</v>
      </c>
      <c r="M1079" s="1472">
        <v>2.6481000000000001E-2</v>
      </c>
      <c r="N1079" s="1473">
        <v>1.4044690319380648</v>
      </c>
      <c r="O1079" s="1473"/>
    </row>
    <row r="1080" spans="11:15">
      <c r="K1080" s="1470">
        <v>43137</v>
      </c>
      <c r="L1080" s="1471" t="s">
        <v>2129</v>
      </c>
      <c r="M1080" s="1472">
        <v>2.6481000000000001E-2</v>
      </c>
      <c r="N1080" s="1473">
        <v>1.4048409493824123</v>
      </c>
      <c r="O1080" s="1473"/>
    </row>
    <row r="1081" spans="11:15">
      <c r="K1081" s="1470">
        <v>43138</v>
      </c>
      <c r="L1081" s="1471" t="s">
        <v>2129</v>
      </c>
      <c r="M1081" s="1472">
        <v>2.6481000000000001E-2</v>
      </c>
      <c r="N1081" s="1473">
        <v>1.4052129653142182</v>
      </c>
      <c r="O1081" s="1473"/>
    </row>
    <row r="1082" spans="11:15">
      <c r="K1082" s="1470">
        <v>43139</v>
      </c>
      <c r="L1082" s="1471" t="s">
        <v>2129</v>
      </c>
      <c r="M1082" s="1472">
        <v>2.5551999999999998E-2</v>
      </c>
      <c r="N1082" s="1473">
        <v>1.4055720253311155</v>
      </c>
      <c r="O1082" s="1473"/>
    </row>
    <row r="1083" spans="11:15">
      <c r="K1083" s="1470">
        <v>43140</v>
      </c>
      <c r="L1083" s="1471" t="s">
        <v>2129</v>
      </c>
      <c r="M1083" s="1472">
        <v>2.5551999999999998E-2</v>
      </c>
      <c r="N1083" s="1473">
        <v>1.4059311770950282</v>
      </c>
      <c r="O1083" s="1473"/>
    </row>
    <row r="1084" spans="11:15">
      <c r="K1084" s="1470">
        <v>43141</v>
      </c>
      <c r="L1084" s="1471"/>
      <c r="M1084" s="1472">
        <v>0</v>
      </c>
      <c r="N1084" s="1473">
        <v>1.4059311770950282</v>
      </c>
      <c r="O1084" s="1473"/>
    </row>
    <row r="1085" spans="11:15">
      <c r="K1085" s="1470">
        <v>43142</v>
      </c>
      <c r="L1085" s="1471"/>
      <c r="M1085" s="1472">
        <v>0</v>
      </c>
      <c r="N1085" s="1473">
        <v>1.4059311770950282</v>
      </c>
      <c r="O1085" s="1473"/>
    </row>
    <row r="1086" spans="11:15">
      <c r="K1086" s="1470">
        <v>43143</v>
      </c>
      <c r="L1086" s="1471"/>
      <c r="M1086" s="1472">
        <v>0</v>
      </c>
      <c r="N1086" s="1473">
        <v>1.4059311770950282</v>
      </c>
      <c r="O1086" s="1473"/>
    </row>
    <row r="1087" spans="11:15">
      <c r="K1087" s="1470">
        <v>43144</v>
      </c>
      <c r="L1087" s="1471"/>
      <c r="M1087" s="1472">
        <v>0</v>
      </c>
      <c r="N1087" s="1473">
        <v>1.4059311770950282</v>
      </c>
      <c r="O1087" s="1473"/>
    </row>
    <row r="1088" spans="11:15">
      <c r="K1088" s="1470">
        <v>43145</v>
      </c>
      <c r="L1088" s="1471" t="s">
        <v>2129</v>
      </c>
      <c r="M1088" s="1472">
        <v>2.5551999999999998E-2</v>
      </c>
      <c r="N1088" s="1473">
        <v>1.4062904206293996</v>
      </c>
      <c r="O1088" s="1473"/>
    </row>
    <row r="1089" spans="11:15">
      <c r="K1089" s="1470">
        <v>43146</v>
      </c>
      <c r="L1089" s="1471" t="s">
        <v>2129</v>
      </c>
      <c r="M1089" s="1472">
        <v>2.5551999999999998E-2</v>
      </c>
      <c r="N1089" s="1473">
        <v>1.4066497559576789</v>
      </c>
      <c r="O1089" s="1473"/>
    </row>
    <row r="1090" spans="11:15">
      <c r="K1090" s="1470">
        <v>43147</v>
      </c>
      <c r="L1090" s="1471" t="s">
        <v>2129</v>
      </c>
      <c r="M1090" s="1472">
        <v>2.5551999999999998E-2</v>
      </c>
      <c r="N1090" s="1473">
        <v>1.4070091831033213</v>
      </c>
      <c r="O1090" s="1473"/>
    </row>
    <row r="1091" spans="11:15">
      <c r="K1091" s="1470">
        <v>43148</v>
      </c>
      <c r="L1091" s="1471"/>
      <c r="M1091" s="1472">
        <v>0</v>
      </c>
      <c r="N1091" s="1473">
        <v>1.4070091831033213</v>
      </c>
      <c r="O1091" s="1473"/>
    </row>
    <row r="1092" spans="11:15">
      <c r="K1092" s="1470">
        <v>43149</v>
      </c>
      <c r="L1092" s="1471"/>
      <c r="M1092" s="1472">
        <v>0</v>
      </c>
      <c r="N1092" s="1473">
        <v>1.4070091831033213</v>
      </c>
      <c r="O1092" s="1473"/>
    </row>
    <row r="1093" spans="11:15">
      <c r="K1093" s="1470">
        <v>43150</v>
      </c>
      <c r="L1093" s="1471" t="s">
        <v>2129</v>
      </c>
      <c r="M1093" s="1472">
        <v>2.5551999999999998E-2</v>
      </c>
      <c r="N1093" s="1473">
        <v>1.407368702089788</v>
      </c>
      <c r="O1093" s="1473"/>
    </row>
    <row r="1094" spans="11:15">
      <c r="K1094" s="1470">
        <v>43151</v>
      </c>
      <c r="L1094" s="1471" t="s">
        <v>2129</v>
      </c>
      <c r="M1094" s="1472">
        <v>2.5551999999999998E-2</v>
      </c>
      <c r="N1094" s="1473">
        <v>1.407728312940546</v>
      </c>
      <c r="O1094" s="1473"/>
    </row>
    <row r="1095" spans="11:15">
      <c r="K1095" s="1470">
        <v>43152</v>
      </c>
      <c r="L1095" s="1471" t="s">
        <v>2129</v>
      </c>
      <c r="M1095" s="1472">
        <v>2.5551999999999998E-2</v>
      </c>
      <c r="N1095" s="1473">
        <v>1.4080880156790687</v>
      </c>
      <c r="O1095" s="1473"/>
    </row>
    <row r="1096" spans="11:15">
      <c r="K1096" s="1470">
        <v>43153</v>
      </c>
      <c r="L1096" s="1471" t="s">
        <v>2129</v>
      </c>
      <c r="M1096" s="1472">
        <v>2.5551999999999998E-2</v>
      </c>
      <c r="N1096" s="1473">
        <v>1.4084478103288351</v>
      </c>
      <c r="O1096" s="1473"/>
    </row>
    <row r="1097" spans="11:15">
      <c r="K1097" s="1470">
        <v>43154</v>
      </c>
      <c r="L1097" s="1471" t="s">
        <v>2129</v>
      </c>
      <c r="M1097" s="1472">
        <v>2.5551999999999998E-2</v>
      </c>
      <c r="N1097" s="1473">
        <v>1.4088076969133305</v>
      </c>
      <c r="O1097" s="1473"/>
    </row>
    <row r="1098" spans="11:15">
      <c r="K1098" s="1470">
        <v>43155</v>
      </c>
      <c r="L1098" s="1471"/>
      <c r="M1098" s="1472">
        <v>0</v>
      </c>
      <c r="N1098" s="1473">
        <v>1.4088076969133305</v>
      </c>
      <c r="O1098" s="1473"/>
    </row>
    <row r="1099" spans="11:15">
      <c r="K1099" s="1470">
        <v>43156</v>
      </c>
      <c r="L1099" s="1471"/>
      <c r="M1099" s="1472">
        <v>0</v>
      </c>
      <c r="N1099" s="1473">
        <v>1.4088076969133305</v>
      </c>
      <c r="O1099" s="1473"/>
    </row>
    <row r="1100" spans="11:15">
      <c r="K1100" s="1470">
        <v>43157</v>
      </c>
      <c r="L1100" s="1471" t="s">
        <v>2129</v>
      </c>
      <c r="M1100" s="1472">
        <v>2.5551999999999998E-2</v>
      </c>
      <c r="N1100" s="1473">
        <v>1.4091676754560458</v>
      </c>
      <c r="O1100" s="1473"/>
    </row>
    <row r="1101" spans="11:15">
      <c r="K1101" s="1470">
        <v>43158</v>
      </c>
      <c r="L1101" s="1471" t="s">
        <v>2129</v>
      </c>
      <c r="M1101" s="1472">
        <v>2.5551999999999998E-2</v>
      </c>
      <c r="N1101" s="1473">
        <v>1.4095277459804785</v>
      </c>
      <c r="O1101" s="1473"/>
    </row>
    <row r="1102" spans="11:15">
      <c r="K1102" s="1470">
        <v>43159</v>
      </c>
      <c r="L1102" s="1471" t="s">
        <v>2129</v>
      </c>
      <c r="M1102" s="1472">
        <v>2.5551999999999998E-2</v>
      </c>
      <c r="N1102" s="1473">
        <v>1.4098879085101315</v>
      </c>
      <c r="O1102" s="1473"/>
    </row>
    <row r="1103" spans="11:15">
      <c r="K1103" s="1470">
        <v>43160</v>
      </c>
      <c r="L1103" s="1471" t="s">
        <v>2129</v>
      </c>
      <c r="M1103" s="1472">
        <v>2.5551999999999998E-2</v>
      </c>
      <c r="N1103" s="1473">
        <v>1.410248163068514</v>
      </c>
      <c r="O1103" s="1473"/>
    </row>
    <row r="1104" spans="11:15">
      <c r="K1104" s="1470">
        <v>43161</v>
      </c>
      <c r="L1104" s="1471" t="s">
        <v>2129</v>
      </c>
      <c r="M1104" s="1472">
        <v>2.5551999999999998E-2</v>
      </c>
      <c r="N1104" s="1473">
        <v>1.4106085096791414</v>
      </c>
      <c r="O1104" s="1473"/>
    </row>
    <row r="1105" spans="11:15">
      <c r="K1105" s="1470">
        <v>43162</v>
      </c>
      <c r="L1105" s="1471"/>
      <c r="M1105" s="1472">
        <v>0</v>
      </c>
      <c r="N1105" s="1473">
        <v>1.4106085096791414</v>
      </c>
      <c r="O1105" s="1473"/>
    </row>
    <row r="1106" spans="11:15">
      <c r="K1106" s="1470">
        <v>43163</v>
      </c>
      <c r="L1106" s="1471"/>
      <c r="M1106" s="1472">
        <v>0</v>
      </c>
      <c r="N1106" s="1473">
        <v>1.4106085096791414</v>
      </c>
      <c r="O1106" s="1473"/>
    </row>
    <row r="1107" spans="11:15">
      <c r="K1107" s="1470">
        <v>43164</v>
      </c>
      <c r="L1107" s="1471" t="s">
        <v>2129</v>
      </c>
      <c r="M1107" s="1472">
        <v>2.5551999999999998E-2</v>
      </c>
      <c r="N1107" s="1473">
        <v>1.4109689483655348</v>
      </c>
      <c r="O1107" s="1473"/>
    </row>
    <row r="1108" spans="11:15">
      <c r="K1108" s="1470">
        <v>43165</v>
      </c>
      <c r="L1108" s="1471" t="s">
        <v>2129</v>
      </c>
      <c r="M1108" s="1472">
        <v>2.5551999999999998E-2</v>
      </c>
      <c r="N1108" s="1473">
        <v>1.4113294791512212</v>
      </c>
      <c r="O1108" s="1473"/>
    </row>
    <row r="1109" spans="11:15">
      <c r="K1109" s="1470">
        <v>43166</v>
      </c>
      <c r="L1109" s="1471" t="s">
        <v>2129</v>
      </c>
      <c r="M1109" s="1472">
        <v>2.5551999999999998E-2</v>
      </c>
      <c r="N1109" s="1473">
        <v>1.4116901020597341</v>
      </c>
      <c r="O1109" s="1473"/>
    </row>
    <row r="1110" spans="11:15">
      <c r="K1110" s="1470">
        <v>43167</v>
      </c>
      <c r="L1110" s="1471" t="s">
        <v>2129</v>
      </c>
      <c r="M1110" s="1472">
        <v>2.5551999999999998E-2</v>
      </c>
      <c r="N1110" s="1473">
        <v>1.4120508171146124</v>
      </c>
      <c r="O1110" s="1473"/>
    </row>
    <row r="1111" spans="11:15">
      <c r="K1111" s="1470">
        <v>43168</v>
      </c>
      <c r="L1111" s="1471" t="s">
        <v>2129</v>
      </c>
      <c r="M1111" s="1472">
        <v>2.5551999999999998E-2</v>
      </c>
      <c r="N1111" s="1473">
        <v>1.4124116243394016</v>
      </c>
      <c r="O1111" s="1473"/>
    </row>
    <row r="1112" spans="11:15">
      <c r="K1112" s="1470">
        <v>43169</v>
      </c>
      <c r="L1112" s="1471"/>
      <c r="M1112" s="1472">
        <v>0</v>
      </c>
      <c r="N1112" s="1473">
        <v>1.4124116243394016</v>
      </c>
      <c r="O1112" s="1473"/>
    </row>
    <row r="1113" spans="11:15">
      <c r="K1113" s="1470">
        <v>43170</v>
      </c>
      <c r="L1113" s="1471"/>
      <c r="M1113" s="1472">
        <v>0</v>
      </c>
      <c r="N1113" s="1473">
        <v>1.4124116243394016</v>
      </c>
      <c r="O1113" s="1473"/>
    </row>
    <row r="1114" spans="11:15">
      <c r="K1114" s="1470">
        <v>43171</v>
      </c>
      <c r="L1114" s="1471" t="s">
        <v>2129</v>
      </c>
      <c r="M1114" s="1472">
        <v>2.5551999999999998E-2</v>
      </c>
      <c r="N1114" s="1473">
        <v>1.4127725237576529</v>
      </c>
      <c r="O1114" s="1473"/>
    </row>
    <row r="1115" spans="11:15">
      <c r="K1115" s="1470">
        <v>43172</v>
      </c>
      <c r="L1115" s="1471" t="s">
        <v>2129</v>
      </c>
      <c r="M1115" s="1472">
        <v>2.5551999999999998E-2</v>
      </c>
      <c r="N1115" s="1473">
        <v>1.4131335153929236</v>
      </c>
      <c r="O1115" s="1473"/>
    </row>
    <row r="1116" spans="11:15">
      <c r="K1116" s="1470">
        <v>43173</v>
      </c>
      <c r="L1116" s="1471" t="s">
        <v>2129</v>
      </c>
      <c r="M1116" s="1472">
        <v>2.5551999999999998E-2</v>
      </c>
      <c r="N1116" s="1473">
        <v>1.4134945992687769</v>
      </c>
      <c r="O1116" s="1473"/>
    </row>
    <row r="1117" spans="11:15">
      <c r="K1117" s="1470">
        <v>43174</v>
      </c>
      <c r="L1117" s="1471" t="s">
        <v>2129</v>
      </c>
      <c r="M1117" s="1472">
        <v>2.5551999999999998E-2</v>
      </c>
      <c r="N1117" s="1473">
        <v>1.4138557754087822</v>
      </c>
      <c r="O1117" s="1473"/>
    </row>
    <row r="1118" spans="11:15">
      <c r="K1118" s="1470">
        <v>43175</v>
      </c>
      <c r="L1118" s="1471" t="s">
        <v>2129</v>
      </c>
      <c r="M1118" s="1472">
        <v>2.5551999999999998E-2</v>
      </c>
      <c r="N1118" s="1473">
        <v>1.4142170438365147</v>
      </c>
      <c r="O1118" s="1473"/>
    </row>
    <row r="1119" spans="11:15">
      <c r="K1119" s="1470">
        <v>43176</v>
      </c>
      <c r="L1119" s="1471"/>
      <c r="M1119" s="1472">
        <v>0</v>
      </c>
      <c r="N1119" s="1473">
        <v>1.4142170438365147</v>
      </c>
      <c r="O1119" s="1473"/>
    </row>
    <row r="1120" spans="11:15">
      <c r="K1120" s="1470">
        <v>43177</v>
      </c>
      <c r="L1120" s="1471"/>
      <c r="M1120" s="1472">
        <v>0</v>
      </c>
      <c r="N1120" s="1473">
        <v>1.4142170438365147</v>
      </c>
      <c r="O1120" s="1473"/>
    </row>
    <row r="1121" spans="11:15">
      <c r="K1121" s="1470">
        <v>43178</v>
      </c>
      <c r="L1121" s="1471" t="s">
        <v>2129</v>
      </c>
      <c r="M1121" s="1472">
        <v>2.5551999999999998E-2</v>
      </c>
      <c r="N1121" s="1473">
        <v>1.4145784045755558</v>
      </c>
      <c r="O1121" s="1473"/>
    </row>
    <row r="1122" spans="11:15">
      <c r="K1122" s="1470">
        <v>43179</v>
      </c>
      <c r="L1122" s="1471" t="s">
        <v>2129</v>
      </c>
      <c r="M1122" s="1472">
        <v>2.5551999999999998E-2</v>
      </c>
      <c r="N1122" s="1473">
        <v>1.4149398576494931</v>
      </c>
      <c r="O1122" s="1473"/>
    </row>
    <row r="1123" spans="11:15">
      <c r="K1123" s="1470">
        <v>43180</v>
      </c>
      <c r="L1123" s="1471" t="s">
        <v>2129</v>
      </c>
      <c r="M1123" s="1472">
        <v>2.5551999999999998E-2</v>
      </c>
      <c r="N1123" s="1473">
        <v>1.4153014030819198</v>
      </c>
      <c r="O1123" s="1473"/>
    </row>
    <row r="1124" spans="11:15">
      <c r="K1124" s="1470">
        <v>43181</v>
      </c>
      <c r="L1124" s="1471" t="s">
        <v>2129</v>
      </c>
      <c r="M1124" s="1472">
        <v>2.462E-2</v>
      </c>
      <c r="N1124" s="1473">
        <v>1.4156498502873587</v>
      </c>
      <c r="O1124" s="1473"/>
    </row>
    <row r="1125" spans="11:15">
      <c r="K1125" s="1470">
        <v>43182</v>
      </c>
      <c r="L1125" s="1471" t="s">
        <v>2129</v>
      </c>
      <c r="M1125" s="1472">
        <v>2.462E-2</v>
      </c>
      <c r="N1125" s="1473">
        <v>1.4159983832804997</v>
      </c>
      <c r="O1125" s="1473"/>
    </row>
    <row r="1126" spans="11:15">
      <c r="K1126" s="1470">
        <v>43183</v>
      </c>
      <c r="L1126" s="1471"/>
      <c r="M1126" s="1472">
        <v>0</v>
      </c>
      <c r="N1126" s="1473">
        <v>1.4159983832804997</v>
      </c>
      <c r="O1126" s="1473"/>
    </row>
    <row r="1127" spans="11:15">
      <c r="K1127" s="1470">
        <v>43184</v>
      </c>
      <c r="L1127" s="1471"/>
      <c r="M1127" s="1472">
        <v>0</v>
      </c>
      <c r="N1127" s="1473">
        <v>1.4159983832804997</v>
      </c>
      <c r="O1127" s="1473"/>
    </row>
    <row r="1128" spans="11:15">
      <c r="K1128" s="1470">
        <v>43185</v>
      </c>
      <c r="L1128" s="1471" t="s">
        <v>2129</v>
      </c>
      <c r="M1128" s="1472">
        <v>2.462E-2</v>
      </c>
      <c r="N1128" s="1473">
        <v>1.4163470020824633</v>
      </c>
      <c r="O1128" s="1473"/>
    </row>
    <row r="1129" spans="11:15">
      <c r="K1129" s="1470">
        <v>43186</v>
      </c>
      <c r="L1129" s="1471" t="s">
        <v>2129</v>
      </c>
      <c r="M1129" s="1472">
        <v>2.462E-2</v>
      </c>
      <c r="N1129" s="1473">
        <v>1.4166957067143762</v>
      </c>
      <c r="O1129" s="1473"/>
    </row>
    <row r="1130" spans="11:15">
      <c r="K1130" s="1470">
        <v>43187</v>
      </c>
      <c r="L1130" s="1471" t="s">
        <v>2129</v>
      </c>
      <c r="M1130" s="1472">
        <v>2.462E-2</v>
      </c>
      <c r="N1130" s="1473">
        <v>1.4170444971973695</v>
      </c>
      <c r="O1130" s="1473"/>
    </row>
    <row r="1131" spans="11:15">
      <c r="K1131" s="1470">
        <v>43188</v>
      </c>
      <c r="L1131" s="1471" t="s">
        <v>2129</v>
      </c>
      <c r="M1131" s="1472">
        <v>2.462E-2</v>
      </c>
      <c r="N1131" s="1473">
        <v>1.4173933735525797</v>
      </c>
      <c r="O1131" s="1473"/>
    </row>
    <row r="1132" spans="11:15">
      <c r="K1132" s="1470">
        <v>43189</v>
      </c>
      <c r="L1132" s="1471"/>
      <c r="M1132" s="1472">
        <v>0</v>
      </c>
      <c r="N1132" s="1473">
        <v>1.4173933735525797</v>
      </c>
      <c r="O1132" s="1473"/>
    </row>
    <row r="1133" spans="11:15">
      <c r="K1133" s="1470">
        <v>43190</v>
      </c>
      <c r="L1133" s="1471"/>
      <c r="M1133" s="1472">
        <v>0</v>
      </c>
      <c r="N1133" s="1473">
        <v>1.4173933735525797</v>
      </c>
      <c r="O1133" s="1473"/>
    </row>
    <row r="1134" spans="11:15">
      <c r="K1134" s="1470">
        <v>43191</v>
      </c>
      <c r="L1134" s="1471"/>
      <c r="M1134" s="1472">
        <v>0</v>
      </c>
      <c r="N1134" s="1473">
        <v>1.4173933735525797</v>
      </c>
      <c r="O1134" s="1473"/>
    </row>
    <row r="1135" spans="11:15">
      <c r="K1135" s="1470">
        <v>43192</v>
      </c>
      <c r="L1135" s="1471" t="s">
        <v>2129</v>
      </c>
      <c r="M1135" s="1472">
        <v>2.462E-2</v>
      </c>
      <c r="N1135" s="1473">
        <v>1.4177423358011485</v>
      </c>
      <c r="O1135" s="1473"/>
    </row>
    <row r="1136" spans="11:15">
      <c r="K1136" s="1470">
        <v>43193</v>
      </c>
      <c r="L1136" s="1471" t="s">
        <v>2129</v>
      </c>
      <c r="M1136" s="1472">
        <v>2.462E-2</v>
      </c>
      <c r="N1136" s="1473">
        <v>1.4180913839642229</v>
      </c>
      <c r="O1136" s="1473"/>
    </row>
    <row r="1137" spans="11:15">
      <c r="K1137" s="1470">
        <v>43194</v>
      </c>
      <c r="L1137" s="1471" t="s">
        <v>2129</v>
      </c>
      <c r="M1137" s="1472">
        <v>2.462E-2</v>
      </c>
      <c r="N1137" s="1473">
        <v>1.4184405180629549</v>
      </c>
      <c r="O1137" s="1473"/>
    </row>
    <row r="1138" spans="11:15">
      <c r="K1138" s="1470">
        <v>43195</v>
      </c>
      <c r="L1138" s="1471" t="s">
        <v>2129</v>
      </c>
      <c r="M1138" s="1472">
        <v>2.462E-2</v>
      </c>
      <c r="N1138" s="1473">
        <v>1.4187897381185022</v>
      </c>
      <c r="O1138" s="1473"/>
    </row>
    <row r="1139" spans="11:15">
      <c r="K1139" s="1470">
        <v>43196</v>
      </c>
      <c r="L1139" s="1471" t="s">
        <v>2129</v>
      </c>
      <c r="M1139" s="1472">
        <v>2.462E-2</v>
      </c>
      <c r="N1139" s="1473">
        <v>1.4191390441520271</v>
      </c>
      <c r="O1139" s="1473"/>
    </row>
    <row r="1140" spans="11:15">
      <c r="K1140" s="1470">
        <v>43197</v>
      </c>
      <c r="L1140" s="1471"/>
      <c r="M1140" s="1472">
        <v>0</v>
      </c>
      <c r="N1140" s="1473">
        <v>1.4191390441520271</v>
      </c>
      <c r="O1140" s="1473"/>
    </row>
    <row r="1141" spans="11:15">
      <c r="K1141" s="1470">
        <v>43198</v>
      </c>
      <c r="L1141" s="1471"/>
      <c r="M1141" s="1472">
        <v>0</v>
      </c>
      <c r="N1141" s="1473">
        <v>1.4191390441520271</v>
      </c>
      <c r="O1141" s="1473"/>
    </row>
    <row r="1142" spans="11:15">
      <c r="K1142" s="1470">
        <v>43199</v>
      </c>
      <c r="L1142" s="1471" t="s">
        <v>2129</v>
      </c>
      <c r="M1142" s="1472">
        <v>2.462E-2</v>
      </c>
      <c r="N1142" s="1473">
        <v>1.4194884361846973</v>
      </c>
      <c r="O1142" s="1473"/>
    </row>
    <row r="1143" spans="11:15">
      <c r="K1143" s="1470">
        <v>43200</v>
      </c>
      <c r="L1143" s="1471" t="s">
        <v>2129</v>
      </c>
      <c r="M1143" s="1472">
        <v>2.462E-2</v>
      </c>
      <c r="N1143" s="1473">
        <v>1.419837914237686</v>
      </c>
      <c r="O1143" s="1473"/>
    </row>
    <row r="1144" spans="11:15">
      <c r="K1144" s="1470">
        <v>43201</v>
      </c>
      <c r="L1144" s="1471" t="s">
        <v>2129</v>
      </c>
      <c r="M1144" s="1472">
        <v>2.462E-2</v>
      </c>
      <c r="N1144" s="1473">
        <v>1.4201874783321715</v>
      </c>
      <c r="O1144" s="1473"/>
    </row>
    <row r="1145" spans="11:15">
      <c r="K1145" s="1470">
        <v>43202</v>
      </c>
      <c r="L1145" s="1471" t="s">
        <v>2129</v>
      </c>
      <c r="M1145" s="1472">
        <v>2.462E-2</v>
      </c>
      <c r="N1145" s="1473">
        <v>1.4205371284893371</v>
      </c>
      <c r="O1145" s="1473"/>
    </row>
    <row r="1146" spans="11:15">
      <c r="K1146" s="1470">
        <v>43203</v>
      </c>
      <c r="L1146" s="1471" t="s">
        <v>2129</v>
      </c>
      <c r="M1146" s="1472">
        <v>2.462E-2</v>
      </c>
      <c r="N1146" s="1473">
        <v>1.4208868647303714</v>
      </c>
      <c r="O1146" s="1473"/>
    </row>
    <row r="1147" spans="11:15">
      <c r="K1147" s="1470">
        <v>43204</v>
      </c>
      <c r="L1147" s="1471"/>
      <c r="M1147" s="1472">
        <v>0</v>
      </c>
      <c r="N1147" s="1473">
        <v>1.4208868647303714</v>
      </c>
      <c r="O1147" s="1473"/>
    </row>
    <row r="1148" spans="11:15">
      <c r="K1148" s="1470">
        <v>43205</v>
      </c>
      <c r="L1148" s="1471"/>
      <c r="M1148" s="1472">
        <v>0</v>
      </c>
      <c r="N1148" s="1473">
        <v>1.4208868647303714</v>
      </c>
      <c r="O1148" s="1473"/>
    </row>
    <row r="1149" spans="11:15">
      <c r="K1149" s="1470">
        <v>43206</v>
      </c>
      <c r="L1149" s="1471" t="s">
        <v>2129</v>
      </c>
      <c r="M1149" s="1472">
        <v>2.462E-2</v>
      </c>
      <c r="N1149" s="1473">
        <v>1.4212366870764681</v>
      </c>
      <c r="O1149" s="1473"/>
    </row>
    <row r="1150" spans="11:15">
      <c r="K1150" s="1470">
        <v>43207</v>
      </c>
      <c r="L1150" s="1471" t="s">
        <v>2129</v>
      </c>
      <c r="M1150" s="1472">
        <v>2.462E-2</v>
      </c>
      <c r="N1150" s="1473">
        <v>1.4215865955488265</v>
      </c>
      <c r="O1150" s="1473"/>
    </row>
    <row r="1151" spans="11:15">
      <c r="K1151" s="1470">
        <v>43208</v>
      </c>
      <c r="L1151" s="1471" t="s">
        <v>2129</v>
      </c>
      <c r="M1151" s="1472">
        <v>2.462E-2</v>
      </c>
      <c r="N1151" s="1473">
        <v>1.4219365901686507</v>
      </c>
      <c r="O1151" s="1473"/>
    </row>
    <row r="1152" spans="11:15">
      <c r="K1152" s="1470">
        <v>43209</v>
      </c>
      <c r="L1152" s="1471" t="s">
        <v>2129</v>
      </c>
      <c r="M1152" s="1472">
        <v>2.462E-2</v>
      </c>
      <c r="N1152" s="1473">
        <v>1.4222866709571504</v>
      </c>
      <c r="O1152" s="1473"/>
    </row>
    <row r="1153" spans="11:15">
      <c r="K1153" s="1470">
        <v>43210</v>
      </c>
      <c r="L1153" s="1471" t="s">
        <v>2129</v>
      </c>
      <c r="M1153" s="1472">
        <v>2.462E-2</v>
      </c>
      <c r="N1153" s="1473">
        <v>1.4226368379355403</v>
      </c>
      <c r="O1153" s="1473"/>
    </row>
    <row r="1154" spans="11:15">
      <c r="K1154" s="1470">
        <v>43211</v>
      </c>
      <c r="L1154" s="1471"/>
      <c r="M1154" s="1472">
        <v>0</v>
      </c>
      <c r="N1154" s="1473">
        <v>1.4226368379355403</v>
      </c>
      <c r="O1154" s="1473"/>
    </row>
    <row r="1155" spans="11:15">
      <c r="K1155" s="1470">
        <v>43212</v>
      </c>
      <c r="L1155" s="1471"/>
      <c r="M1155" s="1472">
        <v>0</v>
      </c>
      <c r="N1155" s="1473">
        <v>1.4226368379355403</v>
      </c>
      <c r="O1155" s="1473"/>
    </row>
    <row r="1156" spans="11:15">
      <c r="K1156" s="1470">
        <v>43213</v>
      </c>
      <c r="L1156" s="1471" t="s">
        <v>2129</v>
      </c>
      <c r="M1156" s="1472">
        <v>2.462E-2</v>
      </c>
      <c r="N1156" s="1473">
        <v>1.4229870911250402</v>
      </c>
      <c r="O1156" s="1473"/>
    </row>
    <row r="1157" spans="11:15">
      <c r="K1157" s="1470">
        <v>43214</v>
      </c>
      <c r="L1157" s="1471" t="s">
        <v>2129</v>
      </c>
      <c r="M1157" s="1472">
        <v>2.462E-2</v>
      </c>
      <c r="N1157" s="1473">
        <v>1.4233374305468753</v>
      </c>
      <c r="O1157" s="1473"/>
    </row>
    <row r="1158" spans="11:15">
      <c r="K1158" s="1470">
        <v>43215</v>
      </c>
      <c r="L1158" s="1471" t="s">
        <v>2129</v>
      </c>
      <c r="M1158" s="1472">
        <v>2.462E-2</v>
      </c>
      <c r="N1158" s="1473">
        <v>1.4236878562222761</v>
      </c>
      <c r="O1158" s="1473"/>
    </row>
    <row r="1159" spans="11:15">
      <c r="K1159" s="1470">
        <v>43216</v>
      </c>
      <c r="L1159" s="1471" t="s">
        <v>2129</v>
      </c>
      <c r="M1159" s="1472">
        <v>2.462E-2</v>
      </c>
      <c r="N1159" s="1473">
        <v>1.4240383681724782</v>
      </c>
      <c r="O1159" s="1473"/>
    </row>
    <row r="1160" spans="11:15">
      <c r="K1160" s="1470">
        <v>43217</v>
      </c>
      <c r="L1160" s="1471" t="s">
        <v>2129</v>
      </c>
      <c r="M1160" s="1472">
        <v>2.462E-2</v>
      </c>
      <c r="N1160" s="1473">
        <v>1.4243889664187224</v>
      </c>
      <c r="O1160" s="1473"/>
    </row>
    <row r="1161" spans="11:15">
      <c r="K1161" s="1470">
        <v>43218</v>
      </c>
      <c r="L1161" s="1471"/>
      <c r="M1161" s="1472">
        <v>0</v>
      </c>
      <c r="N1161" s="1473">
        <v>1.4243889664187224</v>
      </c>
      <c r="O1161" s="1473"/>
    </row>
    <row r="1162" spans="11:15">
      <c r="K1162" s="1470">
        <v>43219</v>
      </c>
      <c r="L1162" s="1471"/>
      <c r="M1162" s="1472">
        <v>0</v>
      </c>
      <c r="N1162" s="1473">
        <v>1.4243889664187224</v>
      </c>
      <c r="O1162" s="1473"/>
    </row>
    <row r="1163" spans="11:15">
      <c r="K1163" s="1470">
        <v>43220</v>
      </c>
      <c r="L1163" s="1471" t="s">
        <v>2129</v>
      </c>
      <c r="M1163" s="1472">
        <v>2.462E-2</v>
      </c>
      <c r="N1163" s="1473">
        <v>1.4247396509822547</v>
      </c>
      <c r="O1163" s="1473"/>
    </row>
    <row r="1164" spans="11:15">
      <c r="K1164" s="1470">
        <v>43221</v>
      </c>
      <c r="L1164" s="1471"/>
      <c r="M1164" s="1472">
        <v>0</v>
      </c>
      <c r="N1164" s="1473">
        <v>1.4247396509822547</v>
      </c>
      <c r="O1164" s="1473"/>
    </row>
    <row r="1165" spans="11:15">
      <c r="K1165" s="1470">
        <v>43222</v>
      </c>
      <c r="L1165" s="1471" t="s">
        <v>2129</v>
      </c>
      <c r="M1165" s="1472">
        <v>2.462E-2</v>
      </c>
      <c r="N1165" s="1473">
        <v>1.4250904218843268</v>
      </c>
      <c r="O1165" s="1473"/>
    </row>
    <row r="1166" spans="11:15">
      <c r="K1166" s="1470">
        <v>43223</v>
      </c>
      <c r="L1166" s="1471" t="s">
        <v>2129</v>
      </c>
      <c r="M1166" s="1472">
        <v>2.462E-2</v>
      </c>
      <c r="N1166" s="1473">
        <v>1.4254412791461948</v>
      </c>
      <c r="O1166" s="1473"/>
    </row>
    <row r="1167" spans="11:15">
      <c r="K1167" s="1470">
        <v>43224</v>
      </c>
      <c r="L1167" s="1471" t="s">
        <v>2129</v>
      </c>
      <c r="M1167" s="1472">
        <v>2.462E-2</v>
      </c>
      <c r="N1167" s="1473">
        <v>1.4257922227891207</v>
      </c>
      <c r="O1167" s="1473"/>
    </row>
    <row r="1168" spans="11:15">
      <c r="K1168" s="1470">
        <v>43225</v>
      </c>
      <c r="L1168" s="1471"/>
      <c r="M1168" s="1472">
        <v>0</v>
      </c>
      <c r="N1168" s="1473">
        <v>1.4257922227891207</v>
      </c>
      <c r="O1168" s="1473"/>
    </row>
    <row r="1169" spans="11:15">
      <c r="K1169" s="1470">
        <v>43226</v>
      </c>
      <c r="L1169" s="1471"/>
      <c r="M1169" s="1472">
        <v>0</v>
      </c>
      <c r="N1169" s="1473">
        <v>1.4257922227891207</v>
      </c>
      <c r="O1169" s="1473"/>
    </row>
    <row r="1170" spans="11:15">
      <c r="K1170" s="1470">
        <v>43227</v>
      </c>
      <c r="L1170" s="1471" t="s">
        <v>2129</v>
      </c>
      <c r="M1170" s="1472">
        <v>2.462E-2</v>
      </c>
      <c r="N1170" s="1473">
        <v>1.4261432528343714</v>
      </c>
      <c r="O1170" s="1473"/>
    </row>
    <row r="1171" spans="11:15">
      <c r="K1171" s="1470">
        <v>43228</v>
      </c>
      <c r="L1171" s="1471" t="s">
        <v>2129</v>
      </c>
      <c r="M1171" s="1472">
        <v>2.462E-2</v>
      </c>
      <c r="N1171" s="1473">
        <v>1.4264943693032193</v>
      </c>
      <c r="O1171" s="1473"/>
    </row>
    <row r="1172" spans="11:15">
      <c r="K1172" s="1470">
        <v>43229</v>
      </c>
      <c r="L1172" s="1471" t="s">
        <v>2129</v>
      </c>
      <c r="M1172" s="1472">
        <v>2.462E-2</v>
      </c>
      <c r="N1172" s="1473">
        <v>1.4268455722169417</v>
      </c>
      <c r="O1172" s="1473"/>
    </row>
    <row r="1173" spans="11:15">
      <c r="K1173" s="1470">
        <v>43230</v>
      </c>
      <c r="L1173" s="1471" t="s">
        <v>2129</v>
      </c>
      <c r="M1173" s="1472">
        <v>2.462E-2</v>
      </c>
      <c r="N1173" s="1473">
        <v>1.4271968615968216</v>
      </c>
      <c r="O1173" s="1473"/>
    </row>
    <row r="1174" spans="11:15">
      <c r="K1174" s="1470">
        <v>43231</v>
      </c>
      <c r="L1174" s="1471" t="s">
        <v>2129</v>
      </c>
      <c r="M1174" s="1472">
        <v>2.462E-2</v>
      </c>
      <c r="N1174" s="1473">
        <v>1.4275482374641468</v>
      </c>
      <c r="O1174" s="1473"/>
    </row>
    <row r="1175" spans="11:15">
      <c r="K1175" s="1470">
        <v>43232</v>
      </c>
      <c r="L1175" s="1471"/>
      <c r="M1175" s="1472">
        <v>0</v>
      </c>
      <c r="N1175" s="1473">
        <v>1.4275482374641468</v>
      </c>
      <c r="O1175" s="1473"/>
    </row>
    <row r="1176" spans="11:15">
      <c r="K1176" s="1470">
        <v>43233</v>
      </c>
      <c r="L1176" s="1471"/>
      <c r="M1176" s="1472">
        <v>0</v>
      </c>
      <c r="N1176" s="1473">
        <v>1.4275482374641468</v>
      </c>
      <c r="O1176" s="1473"/>
    </row>
    <row r="1177" spans="11:15">
      <c r="K1177" s="1470">
        <v>43234</v>
      </c>
      <c r="L1177" s="1471" t="s">
        <v>2129</v>
      </c>
      <c r="M1177" s="1472">
        <v>2.462E-2</v>
      </c>
      <c r="N1177" s="1473">
        <v>1.4278996998402107</v>
      </c>
      <c r="O1177" s="1473"/>
    </row>
    <row r="1178" spans="11:15">
      <c r="K1178" s="1470">
        <v>43235</v>
      </c>
      <c r="L1178" s="1471" t="s">
        <v>2129</v>
      </c>
      <c r="M1178" s="1472">
        <v>2.462E-2</v>
      </c>
      <c r="N1178" s="1473">
        <v>1.4282512487463115</v>
      </c>
      <c r="O1178" s="1473"/>
    </row>
    <row r="1179" spans="11:15">
      <c r="K1179" s="1470">
        <v>43236</v>
      </c>
      <c r="L1179" s="1471" t="s">
        <v>2129</v>
      </c>
      <c r="M1179" s="1472">
        <v>2.462E-2</v>
      </c>
      <c r="N1179" s="1473">
        <v>1.428602884203753</v>
      </c>
      <c r="O1179" s="1473"/>
    </row>
    <row r="1180" spans="11:15">
      <c r="K1180" s="1470">
        <v>43237</v>
      </c>
      <c r="L1180" s="1471" t="s">
        <v>2129</v>
      </c>
      <c r="M1180" s="1472">
        <v>2.462E-2</v>
      </c>
      <c r="N1180" s="1473">
        <v>1.4289546062338441</v>
      </c>
      <c r="O1180" s="1473"/>
    </row>
    <row r="1181" spans="11:15">
      <c r="K1181" s="1470">
        <v>43238</v>
      </c>
      <c r="L1181" s="1471" t="s">
        <v>2129</v>
      </c>
      <c r="M1181" s="1472">
        <v>2.462E-2</v>
      </c>
      <c r="N1181" s="1473">
        <v>1.4293064148578989</v>
      </c>
      <c r="O1181" s="1473"/>
    </row>
    <row r="1182" spans="11:15">
      <c r="K1182" s="1470">
        <v>43239</v>
      </c>
      <c r="L1182" s="1471"/>
      <c r="M1182" s="1472">
        <v>0</v>
      </c>
      <c r="N1182" s="1473">
        <v>1.4293064148578989</v>
      </c>
      <c r="O1182" s="1473"/>
    </row>
    <row r="1183" spans="11:15">
      <c r="K1183" s="1470">
        <v>43240</v>
      </c>
      <c r="L1183" s="1471"/>
      <c r="M1183" s="1472">
        <v>0</v>
      </c>
      <c r="N1183" s="1473">
        <v>1.4293064148578989</v>
      </c>
      <c r="O1183" s="1473"/>
    </row>
    <row r="1184" spans="11:15">
      <c r="K1184" s="1470">
        <v>43241</v>
      </c>
      <c r="L1184" s="1471" t="s">
        <v>2129</v>
      </c>
      <c r="M1184" s="1472">
        <v>2.462E-2</v>
      </c>
      <c r="N1184" s="1473">
        <v>1.4296583100972371</v>
      </c>
      <c r="O1184" s="1473"/>
    </row>
    <row r="1185" spans="11:15">
      <c r="K1185" s="1470">
        <v>43242</v>
      </c>
      <c r="L1185" s="1471" t="s">
        <v>2129</v>
      </c>
      <c r="M1185" s="1472">
        <v>2.462E-2</v>
      </c>
      <c r="N1185" s="1473">
        <v>1.4300102919731832</v>
      </c>
      <c r="O1185" s="1473"/>
    </row>
    <row r="1186" spans="11:15">
      <c r="K1186" s="1470">
        <v>43243</v>
      </c>
      <c r="L1186" s="1471" t="s">
        <v>2129</v>
      </c>
      <c r="M1186" s="1472">
        <v>2.462E-2</v>
      </c>
      <c r="N1186" s="1473">
        <v>1.430362360507067</v>
      </c>
      <c r="O1186" s="1473"/>
    </row>
    <row r="1187" spans="11:15">
      <c r="K1187" s="1470">
        <v>43244</v>
      </c>
      <c r="L1187" s="1471" t="s">
        <v>2129</v>
      </c>
      <c r="M1187" s="1472">
        <v>2.462E-2</v>
      </c>
      <c r="N1187" s="1473">
        <v>1.4307145157202239</v>
      </c>
      <c r="O1187" s="1473"/>
    </row>
    <row r="1188" spans="11:15">
      <c r="K1188" s="1470">
        <v>43245</v>
      </c>
      <c r="L1188" s="1471" t="s">
        <v>2129</v>
      </c>
      <c r="M1188" s="1472">
        <v>2.462E-2</v>
      </c>
      <c r="N1188" s="1473">
        <v>1.4310667576339944</v>
      </c>
      <c r="O1188" s="1473"/>
    </row>
    <row r="1189" spans="11:15">
      <c r="K1189" s="1470">
        <v>43246</v>
      </c>
      <c r="L1189" s="1471"/>
      <c r="M1189" s="1472">
        <v>0</v>
      </c>
      <c r="N1189" s="1473">
        <v>1.4310667576339944</v>
      </c>
      <c r="O1189" s="1473"/>
    </row>
    <row r="1190" spans="11:15">
      <c r="K1190" s="1470">
        <v>43247</v>
      </c>
      <c r="L1190" s="1471"/>
      <c r="M1190" s="1472">
        <v>0</v>
      </c>
      <c r="N1190" s="1473">
        <v>1.4310667576339944</v>
      </c>
      <c r="O1190" s="1473"/>
    </row>
    <row r="1191" spans="11:15">
      <c r="K1191" s="1470">
        <v>43248</v>
      </c>
      <c r="L1191" s="1471" t="s">
        <v>2129</v>
      </c>
      <c r="M1191" s="1472">
        <v>2.462E-2</v>
      </c>
      <c r="N1191" s="1473">
        <v>1.431419086269724</v>
      </c>
      <c r="O1191" s="1473"/>
    </row>
    <row r="1192" spans="11:15">
      <c r="K1192" s="1470">
        <v>43249</v>
      </c>
      <c r="L1192" s="1471" t="s">
        <v>2129</v>
      </c>
      <c r="M1192" s="1472">
        <v>2.462E-2</v>
      </c>
      <c r="N1192" s="1473">
        <v>1.4317715016487638</v>
      </c>
      <c r="O1192" s="1473"/>
    </row>
    <row r="1193" spans="11:15">
      <c r="K1193" s="1470">
        <v>43250</v>
      </c>
      <c r="L1193" s="1471" t="s">
        <v>2129</v>
      </c>
      <c r="M1193" s="1472">
        <v>2.462E-2</v>
      </c>
      <c r="N1193" s="1473">
        <v>1.4321240037924698</v>
      </c>
      <c r="O1193" s="1473"/>
    </row>
    <row r="1194" spans="11:15">
      <c r="K1194" s="1470">
        <v>43251</v>
      </c>
      <c r="L1194" s="1471"/>
      <c r="M1194" s="1472">
        <v>0</v>
      </c>
      <c r="N1194" s="1473">
        <v>1.4321240037924698</v>
      </c>
      <c r="O1194" s="1473"/>
    </row>
    <row r="1195" spans="11:15">
      <c r="K1195" s="1470">
        <v>43252</v>
      </c>
      <c r="L1195" s="1471" t="s">
        <v>2129</v>
      </c>
      <c r="M1195" s="1472">
        <v>2.462E-2</v>
      </c>
      <c r="N1195" s="1473">
        <v>1.4324765927222036</v>
      </c>
      <c r="O1195" s="1473"/>
    </row>
    <row r="1196" spans="11:15">
      <c r="K1196" s="1470">
        <v>43253</v>
      </c>
      <c r="L1196" s="1471"/>
      <c r="M1196" s="1472">
        <v>0</v>
      </c>
      <c r="N1196" s="1473">
        <v>1.4324765927222036</v>
      </c>
      <c r="O1196" s="1473"/>
    </row>
    <row r="1197" spans="11:15">
      <c r="K1197" s="1470">
        <v>43254</v>
      </c>
      <c r="L1197" s="1471"/>
      <c r="M1197" s="1472">
        <v>0</v>
      </c>
      <c r="N1197" s="1473">
        <v>1.4324765927222036</v>
      </c>
      <c r="O1197" s="1473"/>
    </row>
    <row r="1198" spans="11:15">
      <c r="K1198" s="1470">
        <v>43255</v>
      </c>
      <c r="L1198" s="1471" t="s">
        <v>2129</v>
      </c>
      <c r="M1198" s="1472">
        <v>2.462E-2</v>
      </c>
      <c r="N1198" s="1473">
        <v>1.432829268459332</v>
      </c>
      <c r="O1198" s="1473"/>
    </row>
    <row r="1199" spans="11:15">
      <c r="K1199" s="1470">
        <v>43256</v>
      </c>
      <c r="L1199" s="1471" t="s">
        <v>2129</v>
      </c>
      <c r="M1199" s="1472">
        <v>2.462E-2</v>
      </c>
      <c r="N1199" s="1473">
        <v>1.4331820310252268</v>
      </c>
      <c r="O1199" s="1473"/>
    </row>
    <row r="1200" spans="11:15">
      <c r="K1200" s="1470">
        <v>43257</v>
      </c>
      <c r="L1200" s="1471" t="s">
        <v>2129</v>
      </c>
      <c r="M1200" s="1472">
        <v>2.462E-2</v>
      </c>
      <c r="N1200" s="1473">
        <v>1.4335348804412653</v>
      </c>
      <c r="O1200" s="1473"/>
    </row>
    <row r="1201" spans="11:15">
      <c r="K1201" s="1470">
        <v>43258</v>
      </c>
      <c r="L1201" s="1471" t="s">
        <v>2129</v>
      </c>
      <c r="M1201" s="1472">
        <v>2.462E-2</v>
      </c>
      <c r="N1201" s="1473">
        <v>1.43388781672883</v>
      </c>
      <c r="O1201" s="1473"/>
    </row>
    <row r="1202" spans="11:15">
      <c r="K1202" s="1470">
        <v>43259</v>
      </c>
      <c r="L1202" s="1471" t="s">
        <v>2129</v>
      </c>
      <c r="M1202" s="1472">
        <v>2.462E-2</v>
      </c>
      <c r="N1202" s="1473">
        <v>1.4342408399093087</v>
      </c>
      <c r="O1202" s="1473"/>
    </row>
    <row r="1203" spans="11:15">
      <c r="K1203" s="1470">
        <v>43260</v>
      </c>
      <c r="L1203" s="1471"/>
      <c r="M1203" s="1472">
        <v>0</v>
      </c>
      <c r="N1203" s="1473">
        <v>1.4342408399093087</v>
      </c>
      <c r="O1203" s="1473"/>
    </row>
    <row r="1204" spans="11:15">
      <c r="K1204" s="1470">
        <v>43261</v>
      </c>
      <c r="L1204" s="1471"/>
      <c r="M1204" s="1472">
        <v>0</v>
      </c>
      <c r="N1204" s="1473">
        <v>1.4342408399093087</v>
      </c>
      <c r="O1204" s="1473"/>
    </row>
    <row r="1205" spans="11:15">
      <c r="K1205" s="1470">
        <v>43262</v>
      </c>
      <c r="L1205" s="1471" t="s">
        <v>2129</v>
      </c>
      <c r="M1205" s="1472">
        <v>2.462E-2</v>
      </c>
      <c r="N1205" s="1473">
        <v>1.4345939500040945</v>
      </c>
      <c r="O1205" s="1473"/>
    </row>
    <row r="1206" spans="11:15">
      <c r="K1206" s="1470">
        <v>43263</v>
      </c>
      <c r="L1206" s="1471" t="s">
        <v>2129</v>
      </c>
      <c r="M1206" s="1472">
        <v>2.462E-2</v>
      </c>
      <c r="N1206" s="1473">
        <v>1.4349471470345856</v>
      </c>
      <c r="O1206" s="1473"/>
    </row>
    <row r="1207" spans="11:15">
      <c r="K1207" s="1470">
        <v>43264</v>
      </c>
      <c r="L1207" s="1471" t="s">
        <v>2129</v>
      </c>
      <c r="M1207" s="1472">
        <v>2.462E-2</v>
      </c>
      <c r="N1207" s="1473">
        <v>1.4353004310221855</v>
      </c>
      <c r="O1207" s="1473"/>
    </row>
    <row r="1208" spans="11:15">
      <c r="K1208" s="1470">
        <v>43265</v>
      </c>
      <c r="L1208" s="1471" t="s">
        <v>2129</v>
      </c>
      <c r="M1208" s="1472">
        <v>2.462E-2</v>
      </c>
      <c r="N1208" s="1473">
        <v>1.4356538019883034</v>
      </c>
      <c r="O1208" s="1473"/>
    </row>
    <row r="1209" spans="11:15">
      <c r="K1209" s="1470">
        <v>43266</v>
      </c>
      <c r="L1209" s="1471" t="s">
        <v>2129</v>
      </c>
      <c r="M1209" s="1472">
        <v>2.462E-2</v>
      </c>
      <c r="N1209" s="1473">
        <v>1.436007259954353</v>
      </c>
      <c r="O1209" s="1473"/>
    </row>
    <row r="1210" spans="11:15">
      <c r="K1210" s="1470">
        <v>43267</v>
      </c>
      <c r="L1210" s="1471"/>
      <c r="M1210" s="1472">
        <v>0</v>
      </c>
      <c r="N1210" s="1473">
        <v>1.436007259954353</v>
      </c>
      <c r="O1210" s="1473"/>
    </row>
    <row r="1211" spans="11:15">
      <c r="K1211" s="1470">
        <v>43268</v>
      </c>
      <c r="L1211" s="1471"/>
      <c r="M1211" s="1472">
        <v>0</v>
      </c>
      <c r="N1211" s="1473">
        <v>1.436007259954353</v>
      </c>
      <c r="O1211" s="1473"/>
    </row>
    <row r="1212" spans="11:15">
      <c r="K1212" s="1470">
        <v>43269</v>
      </c>
      <c r="L1212" s="1471" t="s">
        <v>2129</v>
      </c>
      <c r="M1212" s="1472">
        <v>2.462E-2</v>
      </c>
      <c r="N1212" s="1473">
        <v>1.4363608049417538</v>
      </c>
      <c r="O1212" s="1473"/>
    </row>
    <row r="1213" spans="11:15">
      <c r="K1213" s="1470">
        <v>43270</v>
      </c>
      <c r="L1213" s="1471" t="s">
        <v>2129</v>
      </c>
      <c r="M1213" s="1472">
        <v>2.462E-2</v>
      </c>
      <c r="N1213" s="1473">
        <v>1.4367144369719305</v>
      </c>
      <c r="O1213" s="1473"/>
    </row>
    <row r="1214" spans="11:15">
      <c r="K1214" s="1470">
        <v>43271</v>
      </c>
      <c r="L1214" s="1471" t="s">
        <v>2129</v>
      </c>
      <c r="M1214" s="1472">
        <v>2.462E-2</v>
      </c>
      <c r="N1214" s="1473">
        <v>1.437068156066313</v>
      </c>
      <c r="O1214" s="1473"/>
    </row>
    <row r="1215" spans="11:15">
      <c r="K1215" s="1470">
        <v>43272</v>
      </c>
      <c r="L1215" s="1471" t="s">
        <v>2129</v>
      </c>
      <c r="M1215" s="1472">
        <v>2.462E-2</v>
      </c>
      <c r="N1215" s="1473">
        <v>1.4374219622463367</v>
      </c>
      <c r="O1215" s="1473"/>
    </row>
    <row r="1216" spans="11:15">
      <c r="K1216" s="1470">
        <v>43273</v>
      </c>
      <c r="L1216" s="1471" t="s">
        <v>2129</v>
      </c>
      <c r="M1216" s="1472">
        <v>2.462E-2</v>
      </c>
      <c r="N1216" s="1473">
        <v>1.4377758555334419</v>
      </c>
      <c r="O1216" s="1473"/>
    </row>
    <row r="1217" spans="11:15">
      <c r="K1217" s="1470">
        <v>43274</v>
      </c>
      <c r="L1217" s="1471"/>
      <c r="M1217" s="1472">
        <v>0</v>
      </c>
      <c r="N1217" s="1473">
        <v>1.4377758555334419</v>
      </c>
      <c r="O1217" s="1473"/>
    </row>
    <row r="1218" spans="11:15">
      <c r="K1218" s="1470">
        <v>43275</v>
      </c>
      <c r="L1218" s="1471"/>
      <c r="M1218" s="1472">
        <v>0</v>
      </c>
      <c r="N1218" s="1473">
        <v>1.4377758555334419</v>
      </c>
      <c r="O1218" s="1473"/>
    </row>
    <row r="1219" spans="11:15">
      <c r="K1219" s="1470">
        <v>43276</v>
      </c>
      <c r="L1219" s="1471" t="s">
        <v>2129</v>
      </c>
      <c r="M1219" s="1472">
        <v>2.462E-2</v>
      </c>
      <c r="N1219" s="1473">
        <v>1.4381298359490744</v>
      </c>
      <c r="O1219" s="1473"/>
    </row>
    <row r="1220" spans="11:15">
      <c r="K1220" s="1470">
        <v>43277</v>
      </c>
      <c r="L1220" s="1471" t="s">
        <v>2129</v>
      </c>
      <c r="M1220" s="1472">
        <v>2.462E-2</v>
      </c>
      <c r="N1220" s="1473">
        <v>1.4384839035146852</v>
      </c>
      <c r="O1220" s="1473"/>
    </row>
    <row r="1221" spans="11:15">
      <c r="K1221" s="1470">
        <v>43278</v>
      </c>
      <c r="L1221" s="1471" t="s">
        <v>2129</v>
      </c>
      <c r="M1221" s="1472">
        <v>2.462E-2</v>
      </c>
      <c r="N1221" s="1473">
        <v>1.4388380582517306</v>
      </c>
      <c r="O1221" s="1473"/>
    </row>
    <row r="1222" spans="11:15">
      <c r="K1222" s="1470">
        <v>43279</v>
      </c>
      <c r="L1222" s="1471" t="s">
        <v>2129</v>
      </c>
      <c r="M1222" s="1472">
        <v>2.462E-2</v>
      </c>
      <c r="N1222" s="1473">
        <v>1.4391923001816722</v>
      </c>
      <c r="O1222" s="1473"/>
    </row>
    <row r="1223" spans="11:15">
      <c r="K1223" s="1470">
        <v>43280</v>
      </c>
      <c r="L1223" s="1471" t="s">
        <v>2129</v>
      </c>
      <c r="M1223" s="1472">
        <v>2.462E-2</v>
      </c>
      <c r="N1223" s="1473">
        <v>1.4395466293259771</v>
      </c>
      <c r="O1223" s="1473"/>
    </row>
    <row r="1224" spans="11:15">
      <c r="K1224" s="1470">
        <v>43281</v>
      </c>
      <c r="L1224" s="1471"/>
      <c r="M1224" s="1472">
        <v>0</v>
      </c>
      <c r="N1224" s="1473">
        <v>1.4395466293259771</v>
      </c>
      <c r="O1224" s="1473"/>
    </row>
    <row r="1225" spans="11:15">
      <c r="K1225" s="1470">
        <v>43282</v>
      </c>
      <c r="L1225" s="1471"/>
      <c r="M1225" s="1472">
        <v>0</v>
      </c>
      <c r="N1225" s="1473">
        <v>1.4395466293259771</v>
      </c>
      <c r="O1225" s="1473"/>
    </row>
    <row r="1226" spans="11:15">
      <c r="K1226" s="1470">
        <v>43283</v>
      </c>
      <c r="L1226" s="1471" t="s">
        <v>2129</v>
      </c>
      <c r="M1226" s="1472">
        <v>2.462E-2</v>
      </c>
      <c r="N1226" s="1473">
        <v>1.4399010457061172</v>
      </c>
      <c r="O1226" s="1473"/>
    </row>
    <row r="1227" spans="11:15">
      <c r="K1227" s="1470">
        <v>43284</v>
      </c>
      <c r="L1227" s="1471" t="s">
        <v>2129</v>
      </c>
      <c r="M1227" s="1472">
        <v>2.462E-2</v>
      </c>
      <c r="N1227" s="1473">
        <v>1.4402555493435703</v>
      </c>
      <c r="O1227" s="1473"/>
    </row>
    <row r="1228" spans="11:15">
      <c r="K1228" s="1470">
        <v>43285</v>
      </c>
      <c r="L1228" s="1471" t="s">
        <v>2129</v>
      </c>
      <c r="M1228" s="1472">
        <v>2.462E-2</v>
      </c>
      <c r="N1228" s="1473">
        <v>1.4406101402598188</v>
      </c>
      <c r="O1228" s="1473"/>
    </row>
    <row r="1229" spans="11:15">
      <c r="K1229" s="1470">
        <v>43286</v>
      </c>
      <c r="L1229" s="1471" t="s">
        <v>2129</v>
      </c>
      <c r="M1229" s="1472">
        <v>2.462E-2</v>
      </c>
      <c r="N1229" s="1473">
        <v>1.4409648184763508</v>
      </c>
      <c r="O1229" s="1473"/>
    </row>
    <row r="1230" spans="11:15">
      <c r="K1230" s="1470">
        <v>43287</v>
      </c>
      <c r="L1230" s="1471" t="s">
        <v>2129</v>
      </c>
      <c r="M1230" s="1472">
        <v>2.462E-2</v>
      </c>
      <c r="N1230" s="1473">
        <v>1.4413195840146598</v>
      </c>
      <c r="O1230" s="1473"/>
    </row>
    <row r="1231" spans="11:15">
      <c r="K1231" s="1470">
        <v>43288</v>
      </c>
      <c r="L1231" s="1471"/>
      <c r="M1231" s="1472">
        <v>0</v>
      </c>
      <c r="N1231" s="1473">
        <v>1.4413195840146598</v>
      </c>
      <c r="O1231" s="1473"/>
    </row>
    <row r="1232" spans="11:15">
      <c r="K1232" s="1470">
        <v>43289</v>
      </c>
      <c r="L1232" s="1471"/>
      <c r="M1232" s="1472">
        <v>0</v>
      </c>
      <c r="N1232" s="1473">
        <v>1.4413195840146598</v>
      </c>
      <c r="O1232" s="1473"/>
    </row>
    <row r="1233" spans="11:15">
      <c r="K1233" s="1470">
        <v>43290</v>
      </c>
      <c r="L1233" s="1471" t="s">
        <v>2129</v>
      </c>
      <c r="M1233" s="1472">
        <v>2.462E-2</v>
      </c>
      <c r="N1233" s="1473">
        <v>1.4416744368962442</v>
      </c>
      <c r="O1233" s="1473"/>
    </row>
    <row r="1234" spans="11:15">
      <c r="K1234" s="1470">
        <v>43291</v>
      </c>
      <c r="L1234" s="1471" t="s">
        <v>2129</v>
      </c>
      <c r="M1234" s="1472">
        <v>2.462E-2</v>
      </c>
      <c r="N1234" s="1473">
        <v>1.4420293771426083</v>
      </c>
      <c r="O1234" s="1473"/>
    </row>
    <row r="1235" spans="11:15">
      <c r="K1235" s="1470">
        <v>43292</v>
      </c>
      <c r="L1235" s="1471" t="s">
        <v>2129</v>
      </c>
      <c r="M1235" s="1472">
        <v>2.462E-2</v>
      </c>
      <c r="N1235" s="1473">
        <v>1.442384404775261</v>
      </c>
      <c r="O1235" s="1473"/>
    </row>
    <row r="1236" spans="11:15">
      <c r="K1236" s="1470">
        <v>43293</v>
      </c>
      <c r="L1236" s="1471" t="s">
        <v>2129</v>
      </c>
      <c r="M1236" s="1472">
        <v>2.462E-2</v>
      </c>
      <c r="N1236" s="1473">
        <v>1.4427395198157167</v>
      </c>
      <c r="O1236" s="1473"/>
    </row>
    <row r="1237" spans="11:15">
      <c r="K1237" s="1470">
        <v>43294</v>
      </c>
      <c r="L1237" s="1471" t="s">
        <v>2129</v>
      </c>
      <c r="M1237" s="1472">
        <v>2.462E-2</v>
      </c>
      <c r="N1237" s="1473">
        <v>1.4430947222854955</v>
      </c>
      <c r="O1237" s="1473"/>
    </row>
    <row r="1238" spans="11:15">
      <c r="K1238" s="1470">
        <v>43295</v>
      </c>
      <c r="L1238" s="1471"/>
      <c r="M1238" s="1472">
        <v>0</v>
      </c>
      <c r="N1238" s="1473">
        <v>1.4430947222854955</v>
      </c>
      <c r="O1238" s="1473"/>
    </row>
    <row r="1239" spans="11:15">
      <c r="K1239" s="1470">
        <v>43296</v>
      </c>
      <c r="L1239" s="1471"/>
      <c r="M1239" s="1472">
        <v>0</v>
      </c>
      <c r="N1239" s="1473">
        <v>1.4430947222854955</v>
      </c>
      <c r="O1239" s="1473"/>
    </row>
    <row r="1240" spans="11:15">
      <c r="K1240" s="1470">
        <v>43297</v>
      </c>
      <c r="L1240" s="1471" t="s">
        <v>2129</v>
      </c>
      <c r="M1240" s="1472">
        <v>2.462E-2</v>
      </c>
      <c r="N1240" s="1473">
        <v>1.4434500122061222</v>
      </c>
      <c r="O1240" s="1473"/>
    </row>
    <row r="1241" spans="11:15">
      <c r="K1241" s="1470">
        <v>43298</v>
      </c>
      <c r="L1241" s="1471" t="s">
        <v>2129</v>
      </c>
      <c r="M1241" s="1472">
        <v>2.462E-2</v>
      </c>
      <c r="N1241" s="1473">
        <v>1.4438053895991274</v>
      </c>
      <c r="O1241" s="1473"/>
    </row>
    <row r="1242" spans="11:15">
      <c r="K1242" s="1470">
        <v>43299</v>
      </c>
      <c r="L1242" s="1471" t="s">
        <v>2129</v>
      </c>
      <c r="M1242" s="1472">
        <v>2.462E-2</v>
      </c>
      <c r="N1242" s="1473">
        <v>1.4441608544860469</v>
      </c>
      <c r="O1242" s="1473"/>
    </row>
    <row r="1243" spans="11:15">
      <c r="K1243" s="1470">
        <v>43300</v>
      </c>
      <c r="L1243" s="1471" t="s">
        <v>2129</v>
      </c>
      <c r="M1243" s="1472">
        <v>2.462E-2</v>
      </c>
      <c r="N1243" s="1473">
        <v>1.4445164068884215</v>
      </c>
      <c r="O1243" s="1473"/>
    </row>
    <row r="1244" spans="11:15">
      <c r="K1244" s="1470">
        <v>43301</v>
      </c>
      <c r="L1244" s="1471" t="s">
        <v>2129</v>
      </c>
      <c r="M1244" s="1472">
        <v>2.462E-2</v>
      </c>
      <c r="N1244" s="1473">
        <v>1.4448720468277976</v>
      </c>
      <c r="O1244" s="1473"/>
    </row>
    <row r="1245" spans="11:15">
      <c r="K1245" s="1470">
        <v>43302</v>
      </c>
      <c r="L1245" s="1471"/>
      <c r="M1245" s="1472">
        <v>0</v>
      </c>
      <c r="N1245" s="1473">
        <v>1.4448720468277976</v>
      </c>
      <c r="O1245" s="1473"/>
    </row>
    <row r="1246" spans="11:15">
      <c r="K1246" s="1470">
        <v>43303</v>
      </c>
      <c r="L1246" s="1471"/>
      <c r="M1246" s="1472">
        <v>0</v>
      </c>
      <c r="N1246" s="1473">
        <v>1.4448720468277976</v>
      </c>
      <c r="O1246" s="1473"/>
    </row>
    <row r="1247" spans="11:15">
      <c r="K1247" s="1470">
        <v>43304</v>
      </c>
      <c r="L1247" s="1471" t="s">
        <v>2129</v>
      </c>
      <c r="M1247" s="1472">
        <v>2.462E-2</v>
      </c>
      <c r="N1247" s="1473">
        <v>1.4452277743257267</v>
      </c>
      <c r="O1247" s="1473"/>
    </row>
    <row r="1248" spans="11:15">
      <c r="K1248" s="1470">
        <v>43305</v>
      </c>
      <c r="L1248" s="1471" t="s">
        <v>2129</v>
      </c>
      <c r="M1248" s="1472">
        <v>2.462E-2</v>
      </c>
      <c r="N1248" s="1473">
        <v>1.4455835894037659</v>
      </c>
      <c r="O1248" s="1473"/>
    </row>
    <row r="1249" spans="11:15">
      <c r="K1249" s="1470">
        <v>43306</v>
      </c>
      <c r="L1249" s="1471" t="s">
        <v>2129</v>
      </c>
      <c r="M1249" s="1472">
        <v>2.462E-2</v>
      </c>
      <c r="N1249" s="1473">
        <v>1.4459394920834772</v>
      </c>
      <c r="O1249" s="1473"/>
    </row>
    <row r="1250" spans="11:15">
      <c r="K1250" s="1470">
        <v>43307</v>
      </c>
      <c r="L1250" s="1471" t="s">
        <v>2129</v>
      </c>
      <c r="M1250" s="1472">
        <v>2.462E-2</v>
      </c>
      <c r="N1250" s="1473">
        <v>1.4462954823864282</v>
      </c>
      <c r="O1250" s="1473"/>
    </row>
    <row r="1251" spans="11:15">
      <c r="K1251" s="1470">
        <v>43308</v>
      </c>
      <c r="L1251" s="1471" t="s">
        <v>2129</v>
      </c>
      <c r="M1251" s="1472">
        <v>2.462E-2</v>
      </c>
      <c r="N1251" s="1473">
        <v>1.4466515603341918</v>
      </c>
      <c r="O1251" s="1473"/>
    </row>
    <row r="1252" spans="11:15">
      <c r="K1252" s="1470">
        <v>43309</v>
      </c>
      <c r="L1252" s="1471"/>
      <c r="M1252" s="1472">
        <v>0</v>
      </c>
      <c r="N1252" s="1473">
        <v>1.4466515603341918</v>
      </c>
      <c r="O1252" s="1473"/>
    </row>
    <row r="1253" spans="11:15">
      <c r="K1253" s="1470">
        <v>43310</v>
      </c>
      <c r="L1253" s="1471"/>
      <c r="M1253" s="1472">
        <v>0</v>
      </c>
      <c r="N1253" s="1473">
        <v>1.4466515603341918</v>
      </c>
      <c r="O1253" s="1473"/>
    </row>
    <row r="1254" spans="11:15">
      <c r="K1254" s="1470">
        <v>43311</v>
      </c>
      <c r="L1254" s="1471" t="s">
        <v>2129</v>
      </c>
      <c r="M1254" s="1472">
        <v>2.462E-2</v>
      </c>
      <c r="N1254" s="1473">
        <v>1.4470077259483463</v>
      </c>
      <c r="O1254" s="1473"/>
    </row>
    <row r="1255" spans="11:15">
      <c r="K1255" s="1470">
        <v>43312</v>
      </c>
      <c r="L1255" s="1471" t="s">
        <v>2129</v>
      </c>
      <c r="M1255" s="1472">
        <v>2.462E-2</v>
      </c>
      <c r="N1255" s="1473">
        <v>1.4473639792504749</v>
      </c>
      <c r="O1255" s="1473"/>
    </row>
    <row r="1256" spans="11:15">
      <c r="K1256" s="1470">
        <v>43313</v>
      </c>
      <c r="L1256" s="1471" t="s">
        <v>2129</v>
      </c>
      <c r="M1256" s="1472">
        <v>2.462E-2</v>
      </c>
      <c r="N1256" s="1473">
        <v>1.4477203202621665</v>
      </c>
      <c r="O1256" s="1473"/>
    </row>
    <row r="1257" spans="11:15">
      <c r="K1257" s="1470">
        <v>43314</v>
      </c>
      <c r="L1257" s="1471" t="s">
        <v>2129</v>
      </c>
      <c r="M1257" s="1472">
        <v>2.462E-2</v>
      </c>
      <c r="N1257" s="1473">
        <v>1.448076749005015</v>
      </c>
      <c r="O1257" s="1473"/>
    </row>
    <row r="1258" spans="11:15">
      <c r="K1258" s="1470">
        <v>43315</v>
      </c>
      <c r="L1258" s="1471" t="s">
        <v>2129</v>
      </c>
      <c r="M1258" s="1472">
        <v>2.462E-2</v>
      </c>
      <c r="N1258" s="1473">
        <v>1.4484332655006202</v>
      </c>
      <c r="O1258" s="1473"/>
    </row>
    <row r="1259" spans="11:15">
      <c r="K1259" s="1470">
        <v>43316</v>
      </c>
      <c r="L1259" s="1471"/>
      <c r="M1259" s="1472">
        <v>0</v>
      </c>
      <c r="N1259" s="1473">
        <v>1.4484332655006202</v>
      </c>
      <c r="O1259" s="1473"/>
    </row>
    <row r="1260" spans="11:15">
      <c r="K1260" s="1470">
        <v>43317</v>
      </c>
      <c r="L1260" s="1471"/>
      <c r="M1260" s="1472">
        <v>0</v>
      </c>
      <c r="N1260" s="1473">
        <v>1.4484332655006202</v>
      </c>
      <c r="O1260" s="1473"/>
    </row>
    <row r="1261" spans="11:15">
      <c r="K1261" s="1470">
        <v>43318</v>
      </c>
      <c r="L1261" s="1471" t="s">
        <v>2129</v>
      </c>
      <c r="M1261" s="1472">
        <v>2.462E-2</v>
      </c>
      <c r="N1261" s="1473">
        <v>1.4487898697705865</v>
      </c>
      <c r="O1261" s="1473"/>
    </row>
    <row r="1262" spans="11:15">
      <c r="K1262" s="1470">
        <v>43319</v>
      </c>
      <c r="L1262" s="1471" t="s">
        <v>2129</v>
      </c>
      <c r="M1262" s="1472">
        <v>2.462E-2</v>
      </c>
      <c r="N1262" s="1473">
        <v>1.4491465618365242</v>
      </c>
      <c r="O1262" s="1473"/>
    </row>
    <row r="1263" spans="11:15">
      <c r="K1263" s="1470">
        <v>43320</v>
      </c>
      <c r="L1263" s="1471" t="s">
        <v>2129</v>
      </c>
      <c r="M1263" s="1472">
        <v>2.462E-2</v>
      </c>
      <c r="N1263" s="1473">
        <v>1.4495033417200485</v>
      </c>
      <c r="O1263" s="1473"/>
    </row>
    <row r="1264" spans="11:15">
      <c r="K1264" s="1470">
        <v>43321</v>
      </c>
      <c r="L1264" s="1471" t="s">
        <v>2129</v>
      </c>
      <c r="M1264" s="1472">
        <v>2.462E-2</v>
      </c>
      <c r="N1264" s="1473">
        <v>1.4498602094427802</v>
      </c>
      <c r="O1264" s="1473"/>
    </row>
    <row r="1265" spans="11:15">
      <c r="K1265" s="1470">
        <v>43322</v>
      </c>
      <c r="L1265" s="1471" t="s">
        <v>2129</v>
      </c>
      <c r="M1265" s="1472">
        <v>2.462E-2</v>
      </c>
      <c r="N1265" s="1473">
        <v>1.4502171650263451</v>
      </c>
      <c r="O1265" s="1473"/>
    </row>
    <row r="1266" spans="11:15">
      <c r="K1266" s="1470">
        <v>43323</v>
      </c>
      <c r="L1266" s="1471"/>
      <c r="M1266" s="1472">
        <v>0</v>
      </c>
      <c r="N1266" s="1473">
        <v>1.4502171650263451</v>
      </c>
      <c r="O1266" s="1473"/>
    </row>
    <row r="1267" spans="11:15">
      <c r="K1267" s="1470">
        <v>43324</v>
      </c>
      <c r="L1267" s="1471"/>
      <c r="M1267" s="1472">
        <v>0</v>
      </c>
      <c r="N1267" s="1473">
        <v>1.4502171650263451</v>
      </c>
      <c r="O1267" s="1473"/>
    </row>
    <row r="1268" spans="11:15">
      <c r="K1268" s="1470">
        <v>43325</v>
      </c>
      <c r="L1268" s="1471" t="s">
        <v>2129</v>
      </c>
      <c r="M1268" s="1472">
        <v>2.462E-2</v>
      </c>
      <c r="N1268" s="1473">
        <v>1.4505742084923747</v>
      </c>
      <c r="O1268" s="1473"/>
    </row>
    <row r="1269" spans="11:15">
      <c r="K1269" s="1470">
        <v>43326</v>
      </c>
      <c r="L1269" s="1471" t="s">
        <v>2129</v>
      </c>
      <c r="M1269" s="1472">
        <v>2.462E-2</v>
      </c>
      <c r="N1269" s="1473">
        <v>1.4509313398625057</v>
      </c>
      <c r="O1269" s="1473"/>
    </row>
    <row r="1270" spans="11:15">
      <c r="K1270" s="1470">
        <v>43327</v>
      </c>
      <c r="L1270" s="1471" t="s">
        <v>2129</v>
      </c>
      <c r="M1270" s="1472">
        <v>2.462E-2</v>
      </c>
      <c r="N1270" s="1473">
        <v>1.45128855915838</v>
      </c>
      <c r="O1270" s="1473"/>
    </row>
    <row r="1271" spans="11:15">
      <c r="K1271" s="1470">
        <v>43328</v>
      </c>
      <c r="L1271" s="1471" t="s">
        <v>2129</v>
      </c>
      <c r="M1271" s="1472">
        <v>2.462E-2</v>
      </c>
      <c r="N1271" s="1473">
        <v>1.4516458664016449</v>
      </c>
      <c r="O1271" s="1473"/>
    </row>
    <row r="1272" spans="11:15">
      <c r="K1272" s="1470">
        <v>43329</v>
      </c>
      <c r="L1272" s="1471" t="s">
        <v>2129</v>
      </c>
      <c r="M1272" s="1472">
        <v>2.462E-2</v>
      </c>
      <c r="N1272" s="1473">
        <v>1.4520032616139531</v>
      </c>
      <c r="O1272" s="1473"/>
    </row>
    <row r="1273" spans="11:15">
      <c r="K1273" s="1470">
        <v>43330</v>
      </c>
      <c r="L1273" s="1471"/>
      <c r="M1273" s="1472">
        <v>0</v>
      </c>
      <c r="N1273" s="1473">
        <v>1.4520032616139531</v>
      </c>
      <c r="O1273" s="1473"/>
    </row>
    <row r="1274" spans="11:15">
      <c r="K1274" s="1470">
        <v>43331</v>
      </c>
      <c r="L1274" s="1471"/>
      <c r="M1274" s="1472">
        <v>0</v>
      </c>
      <c r="N1274" s="1473">
        <v>1.4520032616139531</v>
      </c>
      <c r="O1274" s="1473"/>
    </row>
    <row r="1275" spans="11:15">
      <c r="K1275" s="1470">
        <v>43332</v>
      </c>
      <c r="L1275" s="1471" t="s">
        <v>2129</v>
      </c>
      <c r="M1275" s="1472">
        <v>2.462E-2</v>
      </c>
      <c r="N1275" s="1473">
        <v>1.4523607448169626</v>
      </c>
      <c r="O1275" s="1473"/>
    </row>
    <row r="1276" spans="11:15">
      <c r="K1276" s="1470">
        <v>43333</v>
      </c>
      <c r="L1276" s="1471" t="s">
        <v>2129</v>
      </c>
      <c r="M1276" s="1472">
        <v>2.462E-2</v>
      </c>
      <c r="N1276" s="1473">
        <v>1.4527183160323367</v>
      </c>
      <c r="O1276" s="1473"/>
    </row>
    <row r="1277" spans="11:15">
      <c r="K1277" s="1470">
        <v>43334</v>
      </c>
      <c r="L1277" s="1471" t="s">
        <v>2129</v>
      </c>
      <c r="M1277" s="1472">
        <v>2.462E-2</v>
      </c>
      <c r="N1277" s="1473">
        <v>1.4530759752817439</v>
      </c>
      <c r="O1277" s="1473"/>
    </row>
    <row r="1278" spans="11:15">
      <c r="K1278" s="1470">
        <v>43335</v>
      </c>
      <c r="L1278" s="1471" t="s">
        <v>2129</v>
      </c>
      <c r="M1278" s="1472">
        <v>2.462E-2</v>
      </c>
      <c r="N1278" s="1473">
        <v>1.4534337225868583</v>
      </c>
      <c r="O1278" s="1473"/>
    </row>
    <row r="1279" spans="11:15">
      <c r="K1279" s="1470">
        <v>43336</v>
      </c>
      <c r="L1279" s="1471" t="s">
        <v>2129</v>
      </c>
      <c r="M1279" s="1472">
        <v>2.462E-2</v>
      </c>
      <c r="N1279" s="1473">
        <v>1.4537915579693594</v>
      </c>
      <c r="O1279" s="1473"/>
    </row>
    <row r="1280" spans="11:15">
      <c r="K1280" s="1470">
        <v>43337</v>
      </c>
      <c r="L1280" s="1471"/>
      <c r="M1280" s="1472">
        <v>0</v>
      </c>
      <c r="N1280" s="1473">
        <v>1.4537915579693594</v>
      </c>
      <c r="O1280" s="1473"/>
    </row>
    <row r="1281" spans="11:15">
      <c r="K1281" s="1470">
        <v>43338</v>
      </c>
      <c r="L1281" s="1471"/>
      <c r="M1281" s="1472">
        <v>0</v>
      </c>
      <c r="N1281" s="1473">
        <v>1.4537915579693594</v>
      </c>
      <c r="O1281" s="1473"/>
    </row>
    <row r="1282" spans="11:15">
      <c r="K1282" s="1470">
        <v>43339</v>
      </c>
      <c r="L1282" s="1471" t="s">
        <v>2129</v>
      </c>
      <c r="M1282" s="1472">
        <v>2.462E-2</v>
      </c>
      <c r="N1282" s="1473">
        <v>1.4541494814509317</v>
      </c>
      <c r="O1282" s="1473"/>
    </row>
    <row r="1283" spans="11:15">
      <c r="K1283" s="1470">
        <v>43340</v>
      </c>
      <c r="L1283" s="1471" t="s">
        <v>2129</v>
      </c>
      <c r="M1283" s="1472">
        <v>2.462E-2</v>
      </c>
      <c r="N1283" s="1473">
        <v>1.4545074930532651</v>
      </c>
      <c r="O1283" s="1473"/>
    </row>
    <row r="1284" spans="11:15">
      <c r="K1284" s="1470">
        <v>43341</v>
      </c>
      <c r="L1284" s="1471" t="s">
        <v>2129</v>
      </c>
      <c r="M1284" s="1472">
        <v>2.462E-2</v>
      </c>
      <c r="N1284" s="1473">
        <v>1.4548655927980549</v>
      </c>
      <c r="O1284" s="1473"/>
    </row>
    <row r="1285" spans="11:15">
      <c r="K1285" s="1470">
        <v>43342</v>
      </c>
      <c r="L1285" s="1471" t="s">
        <v>2129</v>
      </c>
      <c r="M1285" s="1472">
        <v>2.462E-2</v>
      </c>
      <c r="N1285" s="1473">
        <v>1.4552237807070019</v>
      </c>
      <c r="O1285" s="1473"/>
    </row>
    <row r="1286" spans="11:15">
      <c r="K1286" s="1470">
        <v>43343</v>
      </c>
      <c r="L1286" s="1471" t="s">
        <v>2129</v>
      </c>
      <c r="M1286" s="1472">
        <v>2.462E-2</v>
      </c>
      <c r="N1286" s="1473">
        <v>1.4555820568018121</v>
      </c>
      <c r="O1286" s="1473"/>
    </row>
    <row r="1287" spans="11:15">
      <c r="K1287" s="1470">
        <v>43344</v>
      </c>
      <c r="L1287" s="1471"/>
      <c r="M1287" s="1472">
        <v>0</v>
      </c>
      <c r="N1287" s="1473">
        <v>1.4555820568018121</v>
      </c>
      <c r="O1287" s="1473"/>
    </row>
    <row r="1288" spans="11:15">
      <c r="K1288" s="1470">
        <v>43345</v>
      </c>
      <c r="L1288" s="1471"/>
      <c r="M1288" s="1472">
        <v>0</v>
      </c>
      <c r="N1288" s="1473">
        <v>1.4555820568018121</v>
      </c>
      <c r="O1288" s="1473"/>
    </row>
    <row r="1289" spans="11:15">
      <c r="K1289" s="1470">
        <v>43346</v>
      </c>
      <c r="L1289" s="1471" t="s">
        <v>2129</v>
      </c>
      <c r="M1289" s="1472">
        <v>2.462E-2</v>
      </c>
      <c r="N1289" s="1473">
        <v>1.4559404211041969</v>
      </c>
      <c r="O1289" s="1473"/>
    </row>
    <row r="1290" spans="11:15">
      <c r="K1290" s="1470">
        <v>43347</v>
      </c>
      <c r="L1290" s="1471" t="s">
        <v>2129</v>
      </c>
      <c r="M1290" s="1472">
        <v>2.462E-2</v>
      </c>
      <c r="N1290" s="1473">
        <v>1.4562988736358728</v>
      </c>
      <c r="O1290" s="1473"/>
    </row>
    <row r="1291" spans="11:15">
      <c r="K1291" s="1470">
        <v>43348</v>
      </c>
      <c r="L1291" s="1471" t="s">
        <v>2129</v>
      </c>
      <c r="M1291" s="1472">
        <v>2.462E-2</v>
      </c>
      <c r="N1291" s="1473">
        <v>1.4566574144185622</v>
      </c>
      <c r="O1291" s="1473"/>
    </row>
    <row r="1292" spans="11:15">
      <c r="K1292" s="1470">
        <v>43349</v>
      </c>
      <c r="L1292" s="1471" t="s">
        <v>2129</v>
      </c>
      <c r="M1292" s="1472">
        <v>2.462E-2</v>
      </c>
      <c r="N1292" s="1473">
        <v>1.4570160434739923</v>
      </c>
      <c r="O1292" s="1473"/>
    </row>
    <row r="1293" spans="11:15">
      <c r="K1293" s="1470">
        <v>43350</v>
      </c>
      <c r="L1293" s="1471"/>
      <c r="M1293" s="1472">
        <v>0</v>
      </c>
      <c r="N1293" s="1473">
        <v>1.4570160434739923</v>
      </c>
      <c r="O1293" s="1473"/>
    </row>
    <row r="1294" spans="11:15">
      <c r="K1294" s="1470">
        <v>43351</v>
      </c>
      <c r="L1294" s="1471"/>
      <c r="M1294" s="1472">
        <v>0</v>
      </c>
      <c r="N1294" s="1473">
        <v>1.4570160434739923</v>
      </c>
      <c r="O1294" s="1473"/>
    </row>
    <row r="1295" spans="11:15">
      <c r="K1295" s="1470">
        <v>43352</v>
      </c>
      <c r="L1295" s="1471"/>
      <c r="M1295" s="1472">
        <v>0</v>
      </c>
      <c r="N1295" s="1473">
        <v>1.4570160434739923</v>
      </c>
      <c r="O1295" s="1473"/>
    </row>
    <row r="1296" spans="11:15">
      <c r="K1296" s="1470">
        <v>43353</v>
      </c>
      <c r="L1296" s="1471" t="s">
        <v>2129</v>
      </c>
      <c r="M1296" s="1472">
        <v>2.462E-2</v>
      </c>
      <c r="N1296" s="1473">
        <v>1.4573747608238956</v>
      </c>
      <c r="O1296" s="1473"/>
    </row>
    <row r="1297" spans="11:15">
      <c r="K1297" s="1470">
        <v>43354</v>
      </c>
      <c r="L1297" s="1471" t="s">
        <v>2129</v>
      </c>
      <c r="M1297" s="1472">
        <v>2.462E-2</v>
      </c>
      <c r="N1297" s="1473">
        <v>1.4577335664900106</v>
      </c>
      <c r="O1297" s="1473"/>
    </row>
    <row r="1298" spans="11:15">
      <c r="K1298" s="1470">
        <v>43355</v>
      </c>
      <c r="L1298" s="1471" t="s">
        <v>2129</v>
      </c>
      <c r="M1298" s="1472">
        <v>2.462E-2</v>
      </c>
      <c r="N1298" s="1473">
        <v>1.4580924604940806</v>
      </c>
      <c r="O1298" s="1473"/>
    </row>
    <row r="1299" spans="11:15">
      <c r="K1299" s="1470">
        <v>43356</v>
      </c>
      <c r="L1299" s="1471" t="s">
        <v>2129</v>
      </c>
      <c r="M1299" s="1472">
        <v>2.462E-2</v>
      </c>
      <c r="N1299" s="1473">
        <v>1.4584514428578543</v>
      </c>
      <c r="O1299" s="1473"/>
    </row>
    <row r="1300" spans="11:15">
      <c r="K1300" s="1470">
        <v>43357</v>
      </c>
      <c r="L1300" s="1471" t="s">
        <v>2129</v>
      </c>
      <c r="M1300" s="1472">
        <v>2.462E-2</v>
      </c>
      <c r="N1300" s="1473">
        <v>1.458810513603086</v>
      </c>
      <c r="O1300" s="1473"/>
    </row>
    <row r="1301" spans="11:15">
      <c r="K1301" s="1470">
        <v>43358</v>
      </c>
      <c r="L1301" s="1471"/>
      <c r="M1301" s="1472">
        <v>0</v>
      </c>
      <c r="N1301" s="1473">
        <v>1.458810513603086</v>
      </c>
      <c r="O1301" s="1473"/>
    </row>
    <row r="1302" spans="11:15">
      <c r="K1302" s="1470">
        <v>43359</v>
      </c>
      <c r="L1302" s="1471"/>
      <c r="M1302" s="1472">
        <v>0</v>
      </c>
      <c r="N1302" s="1473">
        <v>1.458810513603086</v>
      </c>
      <c r="O1302" s="1473"/>
    </row>
    <row r="1303" spans="11:15">
      <c r="K1303" s="1470">
        <v>43360</v>
      </c>
      <c r="L1303" s="1471" t="s">
        <v>2129</v>
      </c>
      <c r="M1303" s="1472">
        <v>2.462E-2</v>
      </c>
      <c r="N1303" s="1473">
        <v>1.4591696727515353</v>
      </c>
      <c r="O1303" s="1473"/>
    </row>
    <row r="1304" spans="11:15">
      <c r="K1304" s="1470">
        <v>43361</v>
      </c>
      <c r="L1304" s="1471" t="s">
        <v>2129</v>
      </c>
      <c r="M1304" s="1472">
        <v>2.462E-2</v>
      </c>
      <c r="N1304" s="1473">
        <v>1.4595289203249668</v>
      </c>
      <c r="O1304" s="1473"/>
    </row>
    <row r="1305" spans="11:15">
      <c r="K1305" s="1470">
        <v>43362</v>
      </c>
      <c r="L1305" s="1471" t="s">
        <v>2129</v>
      </c>
      <c r="M1305" s="1472">
        <v>2.462E-2</v>
      </c>
      <c r="N1305" s="1473">
        <v>1.459888256345151</v>
      </c>
      <c r="O1305" s="1473"/>
    </row>
    <row r="1306" spans="11:15">
      <c r="K1306" s="1470">
        <v>43363</v>
      </c>
      <c r="L1306" s="1471" t="s">
        <v>2129</v>
      </c>
      <c r="M1306" s="1472">
        <v>2.462E-2</v>
      </c>
      <c r="N1306" s="1473">
        <v>1.4602476808338634</v>
      </c>
      <c r="O1306" s="1473"/>
    </row>
    <row r="1307" spans="11:15">
      <c r="K1307" s="1470">
        <v>43364</v>
      </c>
      <c r="L1307" s="1471" t="s">
        <v>2129</v>
      </c>
      <c r="M1307" s="1472">
        <v>2.462E-2</v>
      </c>
      <c r="N1307" s="1473">
        <v>1.4606071938128848</v>
      </c>
      <c r="O1307" s="1473"/>
    </row>
    <row r="1308" spans="11:15">
      <c r="K1308" s="1470">
        <v>43365</v>
      </c>
      <c r="L1308" s="1471"/>
      <c r="M1308" s="1472">
        <v>0</v>
      </c>
      <c r="N1308" s="1473">
        <v>1.4606071938128848</v>
      </c>
      <c r="O1308" s="1473"/>
    </row>
    <row r="1309" spans="11:15">
      <c r="K1309" s="1470">
        <v>43366</v>
      </c>
      <c r="L1309" s="1471"/>
      <c r="M1309" s="1472">
        <v>0</v>
      </c>
      <c r="N1309" s="1473">
        <v>1.4606071938128848</v>
      </c>
      <c r="O1309" s="1473"/>
    </row>
    <row r="1310" spans="11:15">
      <c r="K1310" s="1470">
        <v>43367</v>
      </c>
      <c r="L1310" s="1471" t="s">
        <v>2129</v>
      </c>
      <c r="M1310" s="1472">
        <v>2.462E-2</v>
      </c>
      <c r="N1310" s="1473">
        <v>1.4609667953040018</v>
      </c>
      <c r="O1310" s="1473"/>
    </row>
    <row r="1311" spans="11:15">
      <c r="K1311" s="1470">
        <v>43368</v>
      </c>
      <c r="L1311" s="1471" t="s">
        <v>2129</v>
      </c>
      <c r="M1311" s="1472">
        <v>2.462E-2</v>
      </c>
      <c r="N1311" s="1473">
        <v>1.4613264853290058</v>
      </c>
      <c r="O1311" s="1473"/>
    </row>
    <row r="1312" spans="11:15">
      <c r="K1312" s="1470">
        <v>43369</v>
      </c>
      <c r="L1312" s="1471" t="s">
        <v>2129</v>
      </c>
      <c r="M1312" s="1472">
        <v>2.462E-2</v>
      </c>
      <c r="N1312" s="1473">
        <v>1.4616862639096939</v>
      </c>
      <c r="O1312" s="1473"/>
    </row>
    <row r="1313" spans="11:15">
      <c r="K1313" s="1470">
        <v>43370</v>
      </c>
      <c r="L1313" s="1471" t="s">
        <v>2129</v>
      </c>
      <c r="M1313" s="1472">
        <v>2.462E-2</v>
      </c>
      <c r="N1313" s="1473">
        <v>1.4620461310678685</v>
      </c>
      <c r="O1313" s="1473"/>
    </row>
    <row r="1314" spans="11:15">
      <c r="K1314" s="1470">
        <v>43371</v>
      </c>
      <c r="L1314" s="1471" t="s">
        <v>2129</v>
      </c>
      <c r="M1314" s="1472">
        <v>2.462E-2</v>
      </c>
      <c r="N1314" s="1473">
        <v>1.4624060868253375</v>
      </c>
      <c r="O1314" s="1473"/>
    </row>
    <row r="1315" spans="11:15">
      <c r="K1315" s="1470">
        <v>43372</v>
      </c>
      <c r="L1315" s="1471"/>
      <c r="M1315" s="1472">
        <v>0</v>
      </c>
      <c r="N1315" s="1473">
        <v>1.4624060868253375</v>
      </c>
      <c r="O1315" s="1473"/>
    </row>
    <row r="1316" spans="11:15">
      <c r="K1316" s="1470">
        <v>43373</v>
      </c>
      <c r="L1316" s="1471"/>
      <c r="M1316" s="1472">
        <v>0</v>
      </c>
      <c r="N1316" s="1473">
        <v>1.4624060868253375</v>
      </c>
      <c r="O1316" s="1473"/>
    </row>
    <row r="1317" spans="11:15">
      <c r="K1317" s="1470">
        <v>43374</v>
      </c>
      <c r="L1317" s="1471" t="s">
        <v>2129</v>
      </c>
      <c r="M1317" s="1472">
        <v>2.462E-2</v>
      </c>
      <c r="N1317" s="1473">
        <v>1.462766131203914</v>
      </c>
      <c r="O1317" s="1473"/>
    </row>
    <row r="1318" spans="11:15">
      <c r="K1318" s="1470">
        <v>43375</v>
      </c>
      <c r="L1318" s="1471" t="s">
        <v>2129</v>
      </c>
      <c r="M1318" s="1472">
        <v>2.462E-2</v>
      </c>
      <c r="N1318" s="1473">
        <v>1.4631262642254166</v>
      </c>
      <c r="O1318" s="1473"/>
    </row>
    <row r="1319" spans="11:15">
      <c r="K1319" s="1470">
        <v>43376</v>
      </c>
      <c r="L1319" s="1471" t="s">
        <v>2129</v>
      </c>
      <c r="M1319" s="1472">
        <v>2.462E-2</v>
      </c>
      <c r="N1319" s="1473">
        <v>1.463486485911669</v>
      </c>
      <c r="O1319" s="1473"/>
    </row>
    <row r="1320" spans="11:15">
      <c r="K1320" s="1470">
        <v>43377</v>
      </c>
      <c r="L1320" s="1471" t="s">
        <v>2129</v>
      </c>
      <c r="M1320" s="1472">
        <v>2.462E-2</v>
      </c>
      <c r="N1320" s="1473">
        <v>1.4638467962845005</v>
      </c>
      <c r="O1320" s="1473"/>
    </row>
    <row r="1321" spans="11:15">
      <c r="K1321" s="1470">
        <v>43378</v>
      </c>
      <c r="L1321" s="1471" t="s">
        <v>2129</v>
      </c>
      <c r="M1321" s="1472">
        <v>2.462E-2</v>
      </c>
      <c r="N1321" s="1473">
        <v>1.4642071953657458</v>
      </c>
      <c r="O1321" s="1473"/>
    </row>
    <row r="1322" spans="11:15">
      <c r="K1322" s="1470">
        <v>43379</v>
      </c>
      <c r="L1322" s="1471"/>
      <c r="M1322" s="1472">
        <v>0</v>
      </c>
      <c r="N1322" s="1473">
        <v>1.4642071953657458</v>
      </c>
      <c r="O1322" s="1473"/>
    </row>
    <row r="1323" spans="11:15">
      <c r="K1323" s="1470">
        <v>43380</v>
      </c>
      <c r="L1323" s="1471"/>
      <c r="M1323" s="1472">
        <v>0</v>
      </c>
      <c r="N1323" s="1473">
        <v>1.4642071953657458</v>
      </c>
      <c r="O1323" s="1473"/>
    </row>
    <row r="1324" spans="11:15">
      <c r="K1324" s="1470">
        <v>43381</v>
      </c>
      <c r="L1324" s="1471" t="s">
        <v>2129</v>
      </c>
      <c r="M1324" s="1472">
        <v>2.462E-2</v>
      </c>
      <c r="N1324" s="1473">
        <v>1.4645676831772449</v>
      </c>
      <c r="O1324" s="1473"/>
    </row>
    <row r="1325" spans="11:15">
      <c r="K1325" s="1470">
        <v>43382</v>
      </c>
      <c r="L1325" s="1471" t="s">
        <v>2129</v>
      </c>
      <c r="M1325" s="1472">
        <v>2.462E-2</v>
      </c>
      <c r="N1325" s="1473">
        <v>1.4649282597408433</v>
      </c>
      <c r="O1325" s="1473"/>
    </row>
    <row r="1326" spans="11:15">
      <c r="K1326" s="1470">
        <v>43383</v>
      </c>
      <c r="L1326" s="1471" t="s">
        <v>2129</v>
      </c>
      <c r="M1326" s="1472">
        <v>2.462E-2</v>
      </c>
      <c r="N1326" s="1473">
        <v>1.4652889250783916</v>
      </c>
      <c r="O1326" s="1473"/>
    </row>
    <row r="1327" spans="11:15">
      <c r="K1327" s="1470">
        <v>43384</v>
      </c>
      <c r="L1327" s="1471" t="s">
        <v>2129</v>
      </c>
      <c r="M1327" s="1472">
        <v>2.462E-2</v>
      </c>
      <c r="N1327" s="1473">
        <v>1.4656496792117459</v>
      </c>
      <c r="O1327" s="1473"/>
    </row>
    <row r="1328" spans="11:15">
      <c r="K1328" s="1470">
        <v>43385</v>
      </c>
      <c r="L1328" s="1471"/>
      <c r="M1328" s="1472">
        <v>0</v>
      </c>
      <c r="N1328" s="1473">
        <v>1.4656496792117459</v>
      </c>
      <c r="O1328" s="1473"/>
    </row>
    <row r="1329" spans="11:15">
      <c r="K1329" s="1470">
        <v>43386</v>
      </c>
      <c r="L1329" s="1471"/>
      <c r="M1329" s="1472">
        <v>0</v>
      </c>
      <c r="N1329" s="1473">
        <v>1.4656496792117459</v>
      </c>
      <c r="O1329" s="1473"/>
    </row>
    <row r="1330" spans="11:15">
      <c r="K1330" s="1470">
        <v>43387</v>
      </c>
      <c r="L1330" s="1471"/>
      <c r="M1330" s="1472">
        <v>0</v>
      </c>
      <c r="N1330" s="1473">
        <v>1.4656496792117459</v>
      </c>
      <c r="O1330" s="1473"/>
    </row>
    <row r="1331" spans="11:15">
      <c r="K1331" s="1470">
        <v>43388</v>
      </c>
      <c r="L1331" s="1471" t="s">
        <v>2129</v>
      </c>
      <c r="M1331" s="1472">
        <v>2.462E-2</v>
      </c>
      <c r="N1331" s="1473">
        <v>1.4660105221627679</v>
      </c>
      <c r="O1331" s="1473"/>
    </row>
    <row r="1332" spans="11:15">
      <c r="K1332" s="1470">
        <v>43389</v>
      </c>
      <c r="L1332" s="1471" t="s">
        <v>2129</v>
      </c>
      <c r="M1332" s="1472">
        <v>2.462E-2</v>
      </c>
      <c r="N1332" s="1473">
        <v>1.4663714539533246</v>
      </c>
      <c r="O1332" s="1473"/>
    </row>
    <row r="1333" spans="11:15">
      <c r="K1333" s="1470">
        <v>43390</v>
      </c>
      <c r="L1333" s="1471" t="s">
        <v>2129</v>
      </c>
      <c r="M1333" s="1472">
        <v>2.462E-2</v>
      </c>
      <c r="N1333" s="1473">
        <v>1.4667324746052881</v>
      </c>
      <c r="O1333" s="1473"/>
    </row>
    <row r="1334" spans="11:15">
      <c r="K1334" s="1470">
        <v>43391</v>
      </c>
      <c r="L1334" s="1471" t="s">
        <v>2129</v>
      </c>
      <c r="M1334" s="1472">
        <v>2.462E-2</v>
      </c>
      <c r="N1334" s="1473">
        <v>1.4670935841405361</v>
      </c>
      <c r="O1334" s="1473"/>
    </row>
    <row r="1335" spans="11:15">
      <c r="K1335" s="1470">
        <v>43392</v>
      </c>
      <c r="L1335" s="1471" t="s">
        <v>2129</v>
      </c>
      <c r="M1335" s="1472">
        <v>2.462E-2</v>
      </c>
      <c r="N1335" s="1473">
        <v>1.4674547825809516</v>
      </c>
      <c r="O1335" s="1473"/>
    </row>
    <row r="1336" spans="11:15">
      <c r="K1336" s="1470">
        <v>43393</v>
      </c>
      <c r="L1336" s="1471"/>
      <c r="M1336" s="1472">
        <v>0</v>
      </c>
      <c r="N1336" s="1473">
        <v>1.4674547825809516</v>
      </c>
      <c r="O1336" s="1473"/>
    </row>
    <row r="1337" spans="11:15">
      <c r="K1337" s="1470">
        <v>43394</v>
      </c>
      <c r="L1337" s="1471"/>
      <c r="M1337" s="1472">
        <v>0</v>
      </c>
      <c r="N1337" s="1473">
        <v>1.4674547825809516</v>
      </c>
      <c r="O1337" s="1473"/>
    </row>
    <row r="1338" spans="11:15">
      <c r="K1338" s="1470">
        <v>43395</v>
      </c>
      <c r="L1338" s="1471" t="s">
        <v>2129</v>
      </c>
      <c r="M1338" s="1472">
        <v>2.462E-2</v>
      </c>
      <c r="N1338" s="1473">
        <v>1.4678160699484233</v>
      </c>
      <c r="O1338" s="1473"/>
    </row>
    <row r="1339" spans="11:15">
      <c r="K1339" s="1470">
        <v>43396</v>
      </c>
      <c r="L1339" s="1471" t="s">
        <v>2129</v>
      </c>
      <c r="M1339" s="1472">
        <v>2.462E-2</v>
      </c>
      <c r="N1339" s="1473">
        <v>1.4681774462648447</v>
      </c>
      <c r="O1339" s="1473"/>
    </row>
    <row r="1340" spans="11:15">
      <c r="K1340" s="1470">
        <v>43397</v>
      </c>
      <c r="L1340" s="1471" t="s">
        <v>2129</v>
      </c>
      <c r="M1340" s="1472">
        <v>2.462E-2</v>
      </c>
      <c r="N1340" s="1473">
        <v>1.4685389115521152</v>
      </c>
      <c r="O1340" s="1473"/>
    </row>
    <row r="1341" spans="11:15">
      <c r="K1341" s="1470">
        <v>43398</v>
      </c>
      <c r="L1341" s="1471" t="s">
        <v>2129</v>
      </c>
      <c r="M1341" s="1472">
        <v>2.462E-2</v>
      </c>
      <c r="N1341" s="1473">
        <v>1.4689004658321394</v>
      </c>
      <c r="O1341" s="1473"/>
    </row>
    <row r="1342" spans="11:15">
      <c r="K1342" s="1470">
        <v>43399</v>
      </c>
      <c r="L1342" s="1471" t="s">
        <v>2129</v>
      </c>
      <c r="M1342" s="1472">
        <v>2.462E-2</v>
      </c>
      <c r="N1342" s="1473">
        <v>1.4692621091268274</v>
      </c>
      <c r="O1342" s="1473"/>
    </row>
    <row r="1343" spans="11:15">
      <c r="K1343" s="1470">
        <v>43400</v>
      </c>
      <c r="L1343" s="1471"/>
      <c r="M1343" s="1472">
        <v>0</v>
      </c>
      <c r="N1343" s="1473">
        <v>1.4692621091268274</v>
      </c>
      <c r="O1343" s="1473"/>
    </row>
    <row r="1344" spans="11:15">
      <c r="K1344" s="1470">
        <v>43401</v>
      </c>
      <c r="L1344" s="1471"/>
      <c r="M1344" s="1472">
        <v>0</v>
      </c>
      <c r="N1344" s="1473">
        <v>1.4692621091268274</v>
      </c>
      <c r="O1344" s="1473"/>
    </row>
    <row r="1345" spans="11:15">
      <c r="K1345" s="1470">
        <v>43402</v>
      </c>
      <c r="L1345" s="1471" t="s">
        <v>2129</v>
      </c>
      <c r="M1345" s="1472">
        <v>2.462E-2</v>
      </c>
      <c r="N1345" s="1473">
        <v>1.4696238414580947</v>
      </c>
      <c r="O1345" s="1473"/>
    </row>
    <row r="1346" spans="11:15">
      <c r="K1346" s="1470">
        <v>43403</v>
      </c>
      <c r="L1346" s="1471" t="s">
        <v>2129</v>
      </c>
      <c r="M1346" s="1472">
        <v>2.462E-2</v>
      </c>
      <c r="N1346" s="1473">
        <v>1.4699856628478618</v>
      </c>
      <c r="O1346" s="1473"/>
    </row>
    <row r="1347" spans="11:15">
      <c r="K1347" s="1470">
        <v>43404</v>
      </c>
      <c r="L1347" s="1471" t="s">
        <v>2129</v>
      </c>
      <c r="M1347" s="1472">
        <v>2.462E-2</v>
      </c>
      <c r="N1347" s="1473">
        <v>1.4703475733180551</v>
      </c>
      <c r="O1347" s="1473"/>
    </row>
    <row r="1348" spans="11:15">
      <c r="K1348" s="1470">
        <v>43405</v>
      </c>
      <c r="L1348" s="1471" t="s">
        <v>2129</v>
      </c>
      <c r="M1348" s="1472">
        <v>2.462E-2</v>
      </c>
      <c r="N1348" s="1473">
        <v>1.4707095728906061</v>
      </c>
      <c r="O1348" s="1473"/>
    </row>
    <row r="1349" spans="11:15">
      <c r="K1349" s="1470">
        <v>43406</v>
      </c>
      <c r="L1349" s="1471"/>
      <c r="M1349" s="1472">
        <v>0</v>
      </c>
      <c r="N1349" s="1473">
        <v>1.4707095728906061</v>
      </c>
      <c r="O1349" s="1473"/>
    </row>
    <row r="1350" spans="11:15">
      <c r="K1350" s="1470">
        <v>43407</v>
      </c>
      <c r="L1350" s="1471"/>
      <c r="M1350" s="1472">
        <v>0</v>
      </c>
      <c r="N1350" s="1473">
        <v>1.4707095728906061</v>
      </c>
      <c r="O1350" s="1473"/>
    </row>
    <row r="1351" spans="11:15">
      <c r="K1351" s="1470">
        <v>43408</v>
      </c>
      <c r="L1351" s="1471"/>
      <c r="M1351" s="1472">
        <v>0</v>
      </c>
      <c r="N1351" s="1473">
        <v>1.4707095728906061</v>
      </c>
      <c r="O1351" s="1473"/>
    </row>
    <row r="1352" spans="11:15">
      <c r="K1352" s="1470">
        <v>43409</v>
      </c>
      <c r="L1352" s="1471" t="s">
        <v>2129</v>
      </c>
      <c r="M1352" s="1472">
        <v>2.462E-2</v>
      </c>
      <c r="N1352" s="1473">
        <v>1.471071661587452</v>
      </c>
      <c r="O1352" s="1473"/>
    </row>
    <row r="1353" spans="11:15">
      <c r="K1353" s="1470">
        <v>43410</v>
      </c>
      <c r="L1353" s="1471" t="s">
        <v>2129</v>
      </c>
      <c r="M1353" s="1472">
        <v>2.462E-2</v>
      </c>
      <c r="N1353" s="1473">
        <v>1.4714338394305349</v>
      </c>
      <c r="O1353" s="1473"/>
    </row>
    <row r="1354" spans="11:15">
      <c r="K1354" s="1470">
        <v>43411</v>
      </c>
      <c r="L1354" s="1471" t="s">
        <v>2129</v>
      </c>
      <c r="M1354" s="1472">
        <v>2.462E-2</v>
      </c>
      <c r="N1354" s="1473">
        <v>1.4717961064418028</v>
      </c>
      <c r="O1354" s="1473"/>
    </row>
    <row r="1355" spans="11:15">
      <c r="K1355" s="1470">
        <v>43412</v>
      </c>
      <c r="L1355" s="1471" t="s">
        <v>2129</v>
      </c>
      <c r="M1355" s="1472">
        <v>2.462E-2</v>
      </c>
      <c r="N1355" s="1473">
        <v>1.4721584626432089</v>
      </c>
      <c r="O1355" s="1473"/>
    </row>
    <row r="1356" spans="11:15">
      <c r="K1356" s="1470">
        <v>43413</v>
      </c>
      <c r="L1356" s="1471" t="s">
        <v>2129</v>
      </c>
      <c r="M1356" s="1472">
        <v>2.462E-2</v>
      </c>
      <c r="N1356" s="1473">
        <v>1.4725209080567119</v>
      </c>
      <c r="O1356" s="1473"/>
    </row>
    <row r="1357" spans="11:15">
      <c r="K1357" s="1470">
        <v>43414</v>
      </c>
      <c r="L1357" s="1471"/>
      <c r="M1357" s="1472">
        <v>0</v>
      </c>
      <c r="N1357" s="1473">
        <v>1.4725209080567119</v>
      </c>
      <c r="O1357" s="1473"/>
    </row>
    <row r="1358" spans="11:15">
      <c r="K1358" s="1470">
        <v>43415</v>
      </c>
      <c r="L1358" s="1471"/>
      <c r="M1358" s="1472">
        <v>0</v>
      </c>
      <c r="N1358" s="1473">
        <v>1.4725209080567119</v>
      </c>
      <c r="O1358" s="1473"/>
    </row>
    <row r="1359" spans="11:15">
      <c r="K1359" s="1470">
        <v>43416</v>
      </c>
      <c r="L1359" s="1471" t="s">
        <v>2129</v>
      </c>
      <c r="M1359" s="1472">
        <v>2.462E-2</v>
      </c>
      <c r="N1359" s="1473">
        <v>1.4728834427042756</v>
      </c>
      <c r="O1359" s="1473"/>
    </row>
    <row r="1360" spans="11:15">
      <c r="K1360" s="1470">
        <v>43417</v>
      </c>
      <c r="L1360" s="1471" t="s">
        <v>2129</v>
      </c>
      <c r="M1360" s="1472">
        <v>2.462E-2</v>
      </c>
      <c r="N1360" s="1473">
        <v>1.4732460666078695</v>
      </c>
      <c r="O1360" s="1473"/>
    </row>
    <row r="1361" spans="11:15">
      <c r="K1361" s="1470">
        <v>43418</v>
      </c>
      <c r="L1361" s="1471" t="s">
        <v>2129</v>
      </c>
      <c r="M1361" s="1472">
        <v>2.462E-2</v>
      </c>
      <c r="N1361" s="1473">
        <v>1.4736087797894686</v>
      </c>
      <c r="O1361" s="1473"/>
    </row>
    <row r="1362" spans="11:15">
      <c r="K1362" s="1470">
        <v>43419</v>
      </c>
      <c r="L1362" s="1471"/>
      <c r="M1362" s="1472">
        <v>0</v>
      </c>
      <c r="N1362" s="1473">
        <v>1.4736087797894686</v>
      </c>
      <c r="O1362" s="1473"/>
    </row>
    <row r="1363" spans="11:15">
      <c r="K1363" s="1470">
        <v>43420</v>
      </c>
      <c r="L1363" s="1471" t="s">
        <v>2129</v>
      </c>
      <c r="M1363" s="1472">
        <v>2.462E-2</v>
      </c>
      <c r="N1363" s="1473">
        <v>1.4739715822710528</v>
      </c>
      <c r="O1363" s="1473"/>
    </row>
    <row r="1364" spans="11:15">
      <c r="K1364" s="1470">
        <v>43421</v>
      </c>
      <c r="L1364" s="1471"/>
      <c r="M1364" s="1472">
        <v>0</v>
      </c>
      <c r="N1364" s="1473">
        <v>1.4739715822710528</v>
      </c>
      <c r="O1364" s="1473"/>
    </row>
    <row r="1365" spans="11:15">
      <c r="K1365" s="1470">
        <v>43422</v>
      </c>
      <c r="L1365" s="1471"/>
      <c r="M1365" s="1472">
        <v>0</v>
      </c>
      <c r="N1365" s="1473">
        <v>1.4739715822710528</v>
      </c>
      <c r="O1365" s="1473"/>
    </row>
    <row r="1366" spans="11:15">
      <c r="K1366" s="1470">
        <v>43423</v>
      </c>
      <c r="L1366" s="1471" t="s">
        <v>2129</v>
      </c>
      <c r="M1366" s="1472">
        <v>2.462E-2</v>
      </c>
      <c r="N1366" s="1473">
        <v>1.474334474074608</v>
      </c>
      <c r="O1366" s="1473"/>
    </row>
    <row r="1367" spans="11:15">
      <c r="K1367" s="1470">
        <v>43424</v>
      </c>
      <c r="L1367" s="1471" t="s">
        <v>2129</v>
      </c>
      <c r="M1367" s="1472">
        <v>2.462E-2</v>
      </c>
      <c r="N1367" s="1473">
        <v>1.4746974552221253</v>
      </c>
      <c r="O1367" s="1473"/>
    </row>
    <row r="1368" spans="11:15">
      <c r="K1368" s="1470">
        <v>43425</v>
      </c>
      <c r="L1368" s="1471" t="s">
        <v>2129</v>
      </c>
      <c r="M1368" s="1472">
        <v>2.462E-2</v>
      </c>
      <c r="N1368" s="1473">
        <v>1.4750605257356011</v>
      </c>
      <c r="O1368" s="1473"/>
    </row>
    <row r="1369" spans="11:15">
      <c r="K1369" s="1470">
        <v>43426</v>
      </c>
      <c r="L1369" s="1471" t="s">
        <v>2129</v>
      </c>
      <c r="M1369" s="1472">
        <v>2.462E-2</v>
      </c>
      <c r="N1369" s="1473">
        <v>1.4754236856370373</v>
      </c>
      <c r="O1369" s="1473"/>
    </row>
    <row r="1370" spans="11:15">
      <c r="K1370" s="1470">
        <v>43427</v>
      </c>
      <c r="L1370" s="1471" t="s">
        <v>2129</v>
      </c>
      <c r="M1370" s="1472">
        <v>2.462E-2</v>
      </c>
      <c r="N1370" s="1473">
        <v>1.4757869349484412</v>
      </c>
      <c r="O1370" s="1473"/>
    </row>
    <row r="1371" spans="11:15">
      <c r="K1371" s="1470">
        <v>43428</v>
      </c>
      <c r="L1371" s="1471"/>
      <c r="M1371" s="1472">
        <v>0</v>
      </c>
      <c r="N1371" s="1473">
        <v>1.4757869349484412</v>
      </c>
      <c r="O1371" s="1473"/>
    </row>
    <row r="1372" spans="11:15">
      <c r="K1372" s="1470">
        <v>43429</v>
      </c>
      <c r="L1372" s="1471"/>
      <c r="M1372" s="1472">
        <v>0</v>
      </c>
      <c r="N1372" s="1473">
        <v>1.4757869349484412</v>
      </c>
      <c r="O1372" s="1473"/>
    </row>
    <row r="1373" spans="11:15">
      <c r="K1373" s="1470">
        <v>43430</v>
      </c>
      <c r="L1373" s="1471" t="s">
        <v>2129</v>
      </c>
      <c r="M1373" s="1472">
        <v>2.462E-2</v>
      </c>
      <c r="N1373" s="1473">
        <v>1.4761502736918255</v>
      </c>
      <c r="O1373" s="1473"/>
    </row>
    <row r="1374" spans="11:15">
      <c r="K1374" s="1470">
        <v>43431</v>
      </c>
      <c r="L1374" s="1471" t="s">
        <v>2129</v>
      </c>
      <c r="M1374" s="1472">
        <v>2.462E-2</v>
      </c>
      <c r="N1374" s="1473">
        <v>1.4765137018892085</v>
      </c>
      <c r="O1374" s="1473"/>
    </row>
    <row r="1375" spans="11:15">
      <c r="K1375" s="1470">
        <v>43432</v>
      </c>
      <c r="L1375" s="1471" t="s">
        <v>2129</v>
      </c>
      <c r="M1375" s="1472">
        <v>2.462E-2</v>
      </c>
      <c r="N1375" s="1473">
        <v>1.4768772195626136</v>
      </c>
      <c r="O1375" s="1473"/>
    </row>
    <row r="1376" spans="11:15">
      <c r="K1376" s="1470">
        <v>43433</v>
      </c>
      <c r="L1376" s="1471" t="s">
        <v>2129</v>
      </c>
      <c r="M1376" s="1472">
        <v>2.462E-2</v>
      </c>
      <c r="N1376" s="1473">
        <v>1.47724082673407</v>
      </c>
      <c r="O1376" s="1473"/>
    </row>
    <row r="1377" spans="11:15">
      <c r="K1377" s="1470">
        <v>43434</v>
      </c>
      <c r="L1377" s="1471" t="s">
        <v>2129</v>
      </c>
      <c r="M1377" s="1472">
        <v>2.462E-2</v>
      </c>
      <c r="N1377" s="1473">
        <v>1.4776045234256121</v>
      </c>
      <c r="O1377" s="1473"/>
    </row>
    <row r="1378" spans="11:15">
      <c r="K1378" s="1470">
        <v>43435</v>
      </c>
      <c r="L1378" s="1471"/>
      <c r="M1378" s="1472">
        <v>0</v>
      </c>
      <c r="N1378" s="1473">
        <v>1.4776045234256121</v>
      </c>
      <c r="O1378" s="1473"/>
    </row>
    <row r="1379" spans="11:15">
      <c r="K1379" s="1470">
        <v>43436</v>
      </c>
      <c r="L1379" s="1471"/>
      <c r="M1379" s="1472">
        <v>0</v>
      </c>
      <c r="N1379" s="1473">
        <v>1.4776045234256121</v>
      </c>
      <c r="O1379" s="1473"/>
    </row>
    <row r="1380" spans="11:15">
      <c r="K1380" s="1470">
        <v>43437</v>
      </c>
      <c r="L1380" s="1471" t="s">
        <v>2129</v>
      </c>
      <c r="M1380" s="1472">
        <v>2.462E-2</v>
      </c>
      <c r="N1380" s="1473">
        <v>1.4779683096592797</v>
      </c>
      <c r="O1380" s="1473"/>
    </row>
    <row r="1381" spans="11:15">
      <c r="K1381" s="1470">
        <v>43438</v>
      </c>
      <c r="L1381" s="1471" t="s">
        <v>2129</v>
      </c>
      <c r="M1381" s="1472">
        <v>2.462E-2</v>
      </c>
      <c r="N1381" s="1473">
        <v>1.4783321854571179</v>
      </c>
      <c r="O1381" s="1473"/>
    </row>
    <row r="1382" spans="11:15">
      <c r="K1382" s="1470">
        <v>43439</v>
      </c>
      <c r="L1382" s="1471" t="s">
        <v>2129</v>
      </c>
      <c r="M1382" s="1472">
        <v>2.462E-2</v>
      </c>
      <c r="N1382" s="1473">
        <v>1.4786961508411776</v>
      </c>
      <c r="O1382" s="1473"/>
    </row>
    <row r="1383" spans="11:15">
      <c r="K1383" s="1470">
        <v>43440</v>
      </c>
      <c r="L1383" s="1471" t="s">
        <v>2129</v>
      </c>
      <c r="M1383" s="1472">
        <v>2.462E-2</v>
      </c>
      <c r="N1383" s="1473">
        <v>1.4790602058335147</v>
      </c>
      <c r="O1383" s="1473"/>
    </row>
    <row r="1384" spans="11:15">
      <c r="K1384" s="1470">
        <v>43441</v>
      </c>
      <c r="L1384" s="1471" t="s">
        <v>2129</v>
      </c>
      <c r="M1384" s="1472">
        <v>2.462E-2</v>
      </c>
      <c r="N1384" s="1473">
        <v>1.479424350456191</v>
      </c>
      <c r="O1384" s="1473"/>
    </row>
    <row r="1385" spans="11:15">
      <c r="K1385" s="1470">
        <v>43442</v>
      </c>
      <c r="L1385" s="1471"/>
      <c r="M1385" s="1472">
        <v>0</v>
      </c>
      <c r="N1385" s="1473">
        <v>1.479424350456191</v>
      </c>
      <c r="O1385" s="1473"/>
    </row>
    <row r="1386" spans="11:15">
      <c r="K1386" s="1470">
        <v>43443</v>
      </c>
      <c r="L1386" s="1471"/>
      <c r="M1386" s="1472">
        <v>0</v>
      </c>
      <c r="N1386" s="1473">
        <v>1.479424350456191</v>
      </c>
      <c r="O1386" s="1473"/>
    </row>
    <row r="1387" spans="11:15">
      <c r="K1387" s="1470">
        <v>43444</v>
      </c>
      <c r="L1387" s="1471" t="s">
        <v>2129</v>
      </c>
      <c r="M1387" s="1472">
        <v>2.462E-2</v>
      </c>
      <c r="N1387" s="1473">
        <v>1.4797885847312735</v>
      </c>
      <c r="O1387" s="1473"/>
    </row>
    <row r="1388" spans="11:15">
      <c r="K1388" s="1470">
        <v>43445</v>
      </c>
      <c r="L1388" s="1471" t="s">
        <v>2129</v>
      </c>
      <c r="M1388" s="1472">
        <v>2.462E-2</v>
      </c>
      <c r="N1388" s="1473">
        <v>1.4801529086808345</v>
      </c>
      <c r="O1388" s="1473"/>
    </row>
    <row r="1389" spans="11:15">
      <c r="K1389" s="1470">
        <v>43446</v>
      </c>
      <c r="L1389" s="1471" t="s">
        <v>2129</v>
      </c>
      <c r="M1389" s="1472">
        <v>2.462E-2</v>
      </c>
      <c r="N1389" s="1473">
        <v>1.4805173223269519</v>
      </c>
      <c r="O1389" s="1473"/>
    </row>
    <row r="1390" spans="11:15">
      <c r="K1390" s="1470">
        <v>43447</v>
      </c>
      <c r="L1390" s="1471" t="s">
        <v>2129</v>
      </c>
      <c r="M1390" s="1472">
        <v>2.462E-2</v>
      </c>
      <c r="N1390" s="1473">
        <v>1.4808818256917089</v>
      </c>
      <c r="O1390" s="1473"/>
    </row>
    <row r="1391" spans="11:15">
      <c r="K1391" s="1470">
        <v>43448</v>
      </c>
      <c r="L1391" s="1471" t="s">
        <v>2129</v>
      </c>
      <c r="M1391" s="1472">
        <v>2.462E-2</v>
      </c>
      <c r="N1391" s="1473">
        <v>1.4812464187971943</v>
      </c>
      <c r="O1391" s="1473"/>
    </row>
    <row r="1392" spans="11:15">
      <c r="K1392" s="1470">
        <v>43449</v>
      </c>
      <c r="L1392" s="1471"/>
      <c r="M1392" s="1472">
        <v>0</v>
      </c>
      <c r="N1392" s="1473">
        <v>1.4812464187971943</v>
      </c>
      <c r="O1392" s="1473"/>
    </row>
    <row r="1393" spans="11:15">
      <c r="K1393" s="1470">
        <v>43450</v>
      </c>
      <c r="L1393" s="1471"/>
      <c r="M1393" s="1472">
        <v>0</v>
      </c>
      <c r="N1393" s="1473">
        <v>1.4812464187971943</v>
      </c>
      <c r="O1393" s="1473"/>
    </row>
    <row r="1394" spans="11:15">
      <c r="K1394" s="1470">
        <v>43451</v>
      </c>
      <c r="L1394" s="1471" t="s">
        <v>2129</v>
      </c>
      <c r="M1394" s="1472">
        <v>2.462E-2</v>
      </c>
      <c r="N1394" s="1473">
        <v>1.4816111016655023</v>
      </c>
      <c r="O1394" s="1473"/>
    </row>
    <row r="1395" spans="11:15">
      <c r="K1395" s="1470">
        <v>43452</v>
      </c>
      <c r="L1395" s="1471" t="s">
        <v>2129</v>
      </c>
      <c r="M1395" s="1472">
        <v>2.462E-2</v>
      </c>
      <c r="N1395" s="1473">
        <v>1.4819758743187323</v>
      </c>
      <c r="O1395" s="1473"/>
    </row>
    <row r="1396" spans="11:15">
      <c r="K1396" s="1470">
        <v>43453</v>
      </c>
      <c r="L1396" s="1471" t="s">
        <v>2129</v>
      </c>
      <c r="M1396" s="1472">
        <v>2.462E-2</v>
      </c>
      <c r="N1396" s="1473">
        <v>1.4823407367789898</v>
      </c>
      <c r="O1396" s="1473"/>
    </row>
    <row r="1397" spans="11:15">
      <c r="K1397" s="1470">
        <v>43454</v>
      </c>
      <c r="L1397" s="1471" t="s">
        <v>2129</v>
      </c>
      <c r="M1397" s="1472">
        <v>2.462E-2</v>
      </c>
      <c r="N1397" s="1473">
        <v>1.482705689068385</v>
      </c>
      <c r="O1397" s="1473"/>
    </row>
    <row r="1398" spans="11:15">
      <c r="K1398" s="1470">
        <v>43455</v>
      </c>
      <c r="L1398" s="1471" t="s">
        <v>2129</v>
      </c>
      <c r="M1398" s="1472">
        <v>2.462E-2</v>
      </c>
      <c r="N1398" s="1473">
        <v>1.4830707312090337</v>
      </c>
      <c r="O1398" s="1473"/>
    </row>
    <row r="1399" spans="11:15">
      <c r="K1399" s="1470">
        <v>43456</v>
      </c>
      <c r="L1399" s="1471"/>
      <c r="M1399" s="1472">
        <v>0</v>
      </c>
      <c r="N1399" s="1473">
        <v>1.4830707312090337</v>
      </c>
      <c r="O1399" s="1473"/>
    </row>
    <row r="1400" spans="11:15">
      <c r="K1400" s="1470">
        <v>43457</v>
      </c>
      <c r="L1400" s="1471"/>
      <c r="M1400" s="1472">
        <v>0</v>
      </c>
      <c r="N1400" s="1473">
        <v>1.4830707312090337</v>
      </c>
      <c r="O1400" s="1473"/>
    </row>
    <row r="1401" spans="11:15">
      <c r="K1401" s="1470">
        <v>43458</v>
      </c>
      <c r="L1401" s="1471" t="s">
        <v>2129</v>
      </c>
      <c r="M1401" s="1472">
        <v>2.462E-2</v>
      </c>
      <c r="N1401" s="1473">
        <v>1.4834358632230575</v>
      </c>
      <c r="O1401" s="1473"/>
    </row>
    <row r="1402" spans="11:15">
      <c r="K1402" s="1470">
        <v>43459</v>
      </c>
      <c r="L1402" s="1471"/>
      <c r="M1402" s="1472">
        <v>0</v>
      </c>
      <c r="N1402" s="1473">
        <v>1.4834358632230575</v>
      </c>
      <c r="O1402" s="1473"/>
    </row>
    <row r="1403" spans="11:15">
      <c r="K1403" s="1470">
        <v>43460</v>
      </c>
      <c r="L1403" s="1471" t="s">
        <v>2129</v>
      </c>
      <c r="M1403" s="1472">
        <v>2.462E-2</v>
      </c>
      <c r="N1403" s="1473">
        <v>1.4838010851325831</v>
      </c>
      <c r="O1403" s="1473"/>
    </row>
    <row r="1404" spans="11:15">
      <c r="K1404" s="1470">
        <v>43461</v>
      </c>
      <c r="L1404" s="1471" t="s">
        <v>2129</v>
      </c>
      <c r="M1404" s="1472">
        <v>2.462E-2</v>
      </c>
      <c r="N1404" s="1473">
        <v>1.484166396959743</v>
      </c>
      <c r="O1404" s="1473"/>
    </row>
    <row r="1405" spans="11:15">
      <c r="K1405" s="1470">
        <v>43462</v>
      </c>
      <c r="L1405" s="1471" t="s">
        <v>2129</v>
      </c>
      <c r="M1405" s="1472">
        <v>2.462E-2</v>
      </c>
      <c r="N1405" s="1473">
        <v>1.4845317987266746</v>
      </c>
      <c r="O1405" s="1473"/>
    </row>
    <row r="1406" spans="11:15">
      <c r="K1406" s="1470">
        <v>43463</v>
      </c>
      <c r="L1406" s="1471"/>
      <c r="M1406" s="1472">
        <v>0</v>
      </c>
      <c r="N1406" s="1473">
        <v>1.4845317987266746</v>
      </c>
      <c r="O1406" s="1473"/>
    </row>
    <row r="1407" spans="11:15">
      <c r="K1407" s="1470">
        <v>43464</v>
      </c>
      <c r="L1407" s="1471"/>
      <c r="M1407" s="1472">
        <v>0</v>
      </c>
      <c r="N1407" s="1473">
        <v>1.4845317987266746</v>
      </c>
      <c r="O1407" s="1473"/>
    </row>
    <row r="1408" spans="11:15">
      <c r="K1408" s="1470">
        <v>43465</v>
      </c>
      <c r="L1408" s="1471" t="s">
        <v>2129</v>
      </c>
      <c r="M1408" s="1472">
        <v>2.462E-2</v>
      </c>
      <c r="N1408" s="1473">
        <v>1.4848972904555213</v>
      </c>
      <c r="O1408" s="1473"/>
    </row>
    <row r="1409" spans="11:15">
      <c r="K1409" s="1470">
        <v>43466</v>
      </c>
      <c r="L1409" s="1471"/>
      <c r="M1409" s="1472">
        <v>0</v>
      </c>
      <c r="N1409" s="1473">
        <v>1.4848972904555213</v>
      </c>
      <c r="O1409" s="1473"/>
    </row>
    <row r="1410" spans="11:15">
      <c r="K1410" s="1470">
        <v>43467</v>
      </c>
      <c r="L1410" s="1471" t="s">
        <v>2129</v>
      </c>
      <c r="M1410" s="1472">
        <v>2.462E-2</v>
      </c>
      <c r="N1410" s="1473">
        <v>1.4852628721684316</v>
      </c>
      <c r="O1410" s="1473"/>
    </row>
    <row r="1411" spans="11:15">
      <c r="K1411" s="1470">
        <v>43468</v>
      </c>
      <c r="L1411" s="1471" t="s">
        <v>2129</v>
      </c>
      <c r="M1411" s="1472">
        <v>2.462E-2</v>
      </c>
      <c r="N1411" s="1473">
        <v>1.4856285438875596</v>
      </c>
      <c r="O1411" s="1473"/>
    </row>
    <row r="1412" spans="11:15">
      <c r="K1412" s="1470">
        <v>43469</v>
      </c>
      <c r="L1412" s="1471" t="s">
        <v>2129</v>
      </c>
      <c r="M1412" s="1472">
        <v>2.462E-2</v>
      </c>
      <c r="N1412" s="1473">
        <v>1.4859943056350648</v>
      </c>
      <c r="O1412" s="1473"/>
    </row>
    <row r="1413" spans="11:15">
      <c r="K1413" s="1470">
        <v>43470</v>
      </c>
      <c r="L1413" s="1471"/>
      <c r="M1413" s="1472">
        <v>0</v>
      </c>
      <c r="N1413" s="1473">
        <v>1.4859943056350648</v>
      </c>
      <c r="O1413" s="1473"/>
    </row>
    <row r="1414" spans="11:15">
      <c r="K1414" s="1470">
        <v>43471</v>
      </c>
      <c r="L1414" s="1471"/>
      <c r="M1414" s="1472">
        <v>0</v>
      </c>
      <c r="N1414" s="1473">
        <v>1.4859943056350648</v>
      </c>
      <c r="O1414" s="1473"/>
    </row>
    <row r="1415" spans="11:15">
      <c r="K1415" s="1470">
        <v>43472</v>
      </c>
      <c r="L1415" s="1471" t="s">
        <v>2129</v>
      </c>
      <c r="M1415" s="1472">
        <v>2.462E-2</v>
      </c>
      <c r="N1415" s="1473">
        <v>1.4863601574331122</v>
      </c>
      <c r="O1415" s="1473"/>
    </row>
    <row r="1416" spans="11:15">
      <c r="K1416" s="1470">
        <v>43473</v>
      </c>
      <c r="L1416" s="1471" t="s">
        <v>2129</v>
      </c>
      <c r="M1416" s="1472">
        <v>2.462E-2</v>
      </c>
      <c r="N1416" s="1473">
        <v>1.4867260993038725</v>
      </c>
      <c r="O1416" s="1473"/>
    </row>
    <row r="1417" spans="11:15">
      <c r="K1417" s="1470">
        <v>43474</v>
      </c>
      <c r="L1417" s="1471" t="s">
        <v>2129</v>
      </c>
      <c r="M1417" s="1472">
        <v>2.462E-2</v>
      </c>
      <c r="N1417" s="1473">
        <v>1.4870921312695211</v>
      </c>
      <c r="O1417" s="1473"/>
    </row>
    <row r="1418" spans="11:15">
      <c r="K1418" s="1470">
        <v>43475</v>
      </c>
      <c r="L1418" s="1471" t="s">
        <v>2129</v>
      </c>
      <c r="M1418" s="1472">
        <v>2.462E-2</v>
      </c>
      <c r="N1418" s="1473">
        <v>1.4874582533522398</v>
      </c>
      <c r="O1418" s="1473"/>
    </row>
    <row r="1419" spans="11:15">
      <c r="K1419" s="1470">
        <v>43476</v>
      </c>
      <c r="L1419" s="1471" t="s">
        <v>2129</v>
      </c>
      <c r="M1419" s="1472">
        <v>2.462E-2</v>
      </c>
      <c r="N1419" s="1473">
        <v>1.4878244655742152</v>
      </c>
      <c r="O1419" s="1473"/>
    </row>
    <row r="1420" spans="11:15">
      <c r="K1420" s="1470">
        <v>43477</v>
      </c>
      <c r="L1420" s="1471"/>
      <c r="M1420" s="1472">
        <v>0</v>
      </c>
      <c r="N1420" s="1473">
        <v>1.4878244655742152</v>
      </c>
      <c r="O1420" s="1473"/>
    </row>
    <row r="1421" spans="11:15">
      <c r="K1421" s="1470">
        <v>43478</v>
      </c>
      <c r="L1421" s="1471"/>
      <c r="M1421" s="1472">
        <v>0</v>
      </c>
      <c r="N1421" s="1473">
        <v>1.4878244655742152</v>
      </c>
      <c r="O1421" s="1473"/>
    </row>
    <row r="1422" spans="11:15">
      <c r="K1422" s="1470">
        <v>43479</v>
      </c>
      <c r="L1422" s="1471" t="s">
        <v>2129</v>
      </c>
      <c r="M1422" s="1472">
        <v>2.462E-2</v>
      </c>
      <c r="N1422" s="1473">
        <v>1.4881907679576396</v>
      </c>
      <c r="O1422" s="1473"/>
    </row>
    <row r="1423" spans="11:15">
      <c r="K1423" s="1470">
        <v>43480</v>
      </c>
      <c r="L1423" s="1471" t="s">
        <v>2129</v>
      </c>
      <c r="M1423" s="1472">
        <v>2.462E-2</v>
      </c>
      <c r="N1423" s="1473">
        <v>1.488557160524711</v>
      </c>
      <c r="O1423" s="1473"/>
    </row>
    <row r="1424" spans="11:15">
      <c r="K1424" s="1470">
        <v>43481</v>
      </c>
      <c r="L1424" s="1471" t="s">
        <v>2129</v>
      </c>
      <c r="M1424" s="1472">
        <v>2.462E-2</v>
      </c>
      <c r="N1424" s="1473">
        <v>1.4889236432976323</v>
      </c>
      <c r="O1424" s="1473"/>
    </row>
    <row r="1425" spans="11:15">
      <c r="K1425" s="1470">
        <v>43482</v>
      </c>
      <c r="L1425" s="1471" t="s">
        <v>2129</v>
      </c>
      <c r="M1425" s="1472">
        <v>2.462E-2</v>
      </c>
      <c r="N1425" s="1473">
        <v>1.4892902162986124</v>
      </c>
      <c r="O1425" s="1473"/>
    </row>
    <row r="1426" spans="11:15">
      <c r="K1426" s="1470">
        <v>43483</v>
      </c>
      <c r="L1426" s="1471" t="s">
        <v>2129</v>
      </c>
      <c r="M1426" s="1472">
        <v>2.462E-2</v>
      </c>
      <c r="N1426" s="1473">
        <v>1.4896568795498653</v>
      </c>
      <c r="O1426" s="1473"/>
    </row>
    <row r="1427" spans="11:15">
      <c r="K1427" s="1470">
        <v>43484</v>
      </c>
      <c r="L1427" s="1471"/>
      <c r="M1427" s="1472">
        <v>0</v>
      </c>
      <c r="N1427" s="1473">
        <v>1.4896568795498653</v>
      </c>
      <c r="O1427" s="1473"/>
    </row>
    <row r="1428" spans="11:15">
      <c r="K1428" s="1470">
        <v>43485</v>
      </c>
      <c r="L1428" s="1471"/>
      <c r="M1428" s="1472">
        <v>0</v>
      </c>
      <c r="N1428" s="1473">
        <v>1.4896568795498653</v>
      </c>
      <c r="O1428" s="1473"/>
    </row>
    <row r="1429" spans="11:15">
      <c r="K1429" s="1470">
        <v>43486</v>
      </c>
      <c r="L1429" s="1471" t="s">
        <v>2129</v>
      </c>
      <c r="M1429" s="1472">
        <v>2.462E-2</v>
      </c>
      <c r="N1429" s="1473">
        <v>1.4900236330736105</v>
      </c>
      <c r="O1429" s="1473"/>
    </row>
    <row r="1430" spans="11:15">
      <c r="K1430" s="1470">
        <v>43487</v>
      </c>
      <c r="L1430" s="1471" t="s">
        <v>2129</v>
      </c>
      <c r="M1430" s="1472">
        <v>2.462E-2</v>
      </c>
      <c r="N1430" s="1473">
        <v>1.4903904768920733</v>
      </c>
      <c r="O1430" s="1473"/>
    </row>
    <row r="1431" spans="11:15">
      <c r="K1431" s="1470">
        <v>43488</v>
      </c>
      <c r="L1431" s="1471" t="s">
        <v>2129</v>
      </c>
      <c r="M1431" s="1472">
        <v>2.462E-2</v>
      </c>
      <c r="N1431" s="1473">
        <v>1.4907574110274842</v>
      </c>
      <c r="O1431" s="1473"/>
    </row>
    <row r="1432" spans="11:15">
      <c r="K1432" s="1470">
        <v>43489</v>
      </c>
      <c r="L1432" s="1471" t="s">
        <v>2129</v>
      </c>
      <c r="M1432" s="1472">
        <v>2.462E-2</v>
      </c>
      <c r="N1432" s="1473">
        <v>1.4911244355020792</v>
      </c>
      <c r="O1432" s="1473"/>
    </row>
    <row r="1433" spans="11:15">
      <c r="K1433" s="1470">
        <v>43490</v>
      </c>
      <c r="L1433" s="1471" t="s">
        <v>2129</v>
      </c>
      <c r="M1433" s="1472">
        <v>2.462E-2</v>
      </c>
      <c r="N1433" s="1473">
        <v>1.4914915503380999</v>
      </c>
      <c r="O1433" s="1473"/>
    </row>
    <row r="1434" spans="11:15">
      <c r="K1434" s="1470">
        <v>43491</v>
      </c>
      <c r="L1434" s="1471"/>
      <c r="M1434" s="1472">
        <v>0</v>
      </c>
      <c r="N1434" s="1473">
        <v>1.4914915503380999</v>
      </c>
      <c r="O1434" s="1473"/>
    </row>
    <row r="1435" spans="11:15">
      <c r="K1435" s="1470">
        <v>43492</v>
      </c>
      <c r="L1435" s="1471"/>
      <c r="M1435" s="1472">
        <v>0</v>
      </c>
      <c r="N1435" s="1473">
        <v>1.4914915503380999</v>
      </c>
      <c r="O1435" s="1473"/>
    </row>
    <row r="1436" spans="11:15">
      <c r="K1436" s="1470">
        <v>43493</v>
      </c>
      <c r="L1436" s="1471" t="s">
        <v>2129</v>
      </c>
      <c r="M1436" s="1472">
        <v>2.462E-2</v>
      </c>
      <c r="N1436" s="1473">
        <v>1.4918587555577933</v>
      </c>
      <c r="O1436" s="1473"/>
    </row>
    <row r="1437" spans="11:15">
      <c r="K1437" s="1470">
        <v>43494</v>
      </c>
      <c r="L1437" s="1471" t="s">
        <v>2129</v>
      </c>
      <c r="M1437" s="1472">
        <v>2.462E-2</v>
      </c>
      <c r="N1437" s="1473">
        <v>1.4922260511834118</v>
      </c>
      <c r="O1437" s="1473"/>
    </row>
    <row r="1438" spans="11:15">
      <c r="K1438" s="1470">
        <v>43495</v>
      </c>
      <c r="L1438" s="1471" t="s">
        <v>2129</v>
      </c>
      <c r="M1438" s="1472">
        <v>2.462E-2</v>
      </c>
      <c r="N1438" s="1473">
        <v>1.4925934372372132</v>
      </c>
      <c r="O1438" s="1473"/>
    </row>
    <row r="1439" spans="11:15">
      <c r="K1439" s="1470">
        <v>43496</v>
      </c>
      <c r="L1439" s="1471" t="s">
        <v>2129</v>
      </c>
      <c r="M1439" s="1472">
        <v>2.462E-2</v>
      </c>
      <c r="N1439" s="1473">
        <v>1.492960913741461</v>
      </c>
      <c r="O1439" s="1473"/>
    </row>
    <row r="1440" spans="11:15">
      <c r="K1440" s="1470">
        <v>43497</v>
      </c>
      <c r="L1440" s="1471" t="s">
        <v>2129</v>
      </c>
      <c r="M1440" s="1472">
        <v>2.462E-2</v>
      </c>
      <c r="N1440" s="1473">
        <v>1.4933284807184244</v>
      </c>
      <c r="O1440" s="1473"/>
    </row>
    <row r="1441" spans="11:15">
      <c r="K1441" s="1470">
        <v>43498</v>
      </c>
      <c r="L1441" s="1471"/>
      <c r="M1441" s="1472">
        <v>0</v>
      </c>
      <c r="N1441" s="1473">
        <v>1.4933284807184244</v>
      </c>
      <c r="O1441" s="1473"/>
    </row>
    <row r="1442" spans="11:15">
      <c r="K1442" s="1470">
        <v>43499</v>
      </c>
      <c r="L1442" s="1471"/>
      <c r="M1442" s="1472">
        <v>0</v>
      </c>
      <c r="N1442" s="1473">
        <v>1.4933284807184244</v>
      </c>
      <c r="O1442" s="1473"/>
    </row>
    <row r="1443" spans="11:15">
      <c r="K1443" s="1470">
        <v>43500</v>
      </c>
      <c r="L1443" s="1471" t="s">
        <v>2129</v>
      </c>
      <c r="M1443" s="1472">
        <v>2.462E-2</v>
      </c>
      <c r="N1443" s="1473">
        <v>1.4936961381903775</v>
      </c>
      <c r="O1443" s="1473"/>
    </row>
    <row r="1444" spans="11:15">
      <c r="K1444" s="1470">
        <v>43501</v>
      </c>
      <c r="L1444" s="1471" t="s">
        <v>2129</v>
      </c>
      <c r="M1444" s="1472">
        <v>2.462E-2</v>
      </c>
      <c r="N1444" s="1473">
        <v>1.4940638861796001</v>
      </c>
      <c r="O1444" s="1473"/>
    </row>
    <row r="1445" spans="11:15">
      <c r="K1445" s="1470">
        <v>43502</v>
      </c>
      <c r="L1445" s="1471" t="s">
        <v>2129</v>
      </c>
      <c r="M1445" s="1472">
        <v>2.462E-2</v>
      </c>
      <c r="N1445" s="1473">
        <v>1.4944317247083776</v>
      </c>
      <c r="O1445" s="1473"/>
    </row>
    <row r="1446" spans="11:15">
      <c r="K1446" s="1470">
        <v>43503</v>
      </c>
      <c r="L1446" s="1471" t="s">
        <v>2129</v>
      </c>
      <c r="M1446" s="1472">
        <v>2.462E-2</v>
      </c>
      <c r="N1446" s="1473">
        <v>1.4947996537990009</v>
      </c>
      <c r="O1446" s="1473"/>
    </row>
    <row r="1447" spans="11:15">
      <c r="K1447" s="1470">
        <v>43504</v>
      </c>
      <c r="L1447" s="1471" t="s">
        <v>2129</v>
      </c>
      <c r="M1447" s="1472">
        <v>2.462E-2</v>
      </c>
      <c r="N1447" s="1473">
        <v>1.4951676734737664</v>
      </c>
      <c r="O1447" s="1473"/>
    </row>
    <row r="1448" spans="11:15">
      <c r="K1448" s="1470">
        <v>43505</v>
      </c>
      <c r="L1448" s="1471"/>
      <c r="M1448" s="1472">
        <v>0</v>
      </c>
      <c r="N1448" s="1473">
        <v>1.4951676734737664</v>
      </c>
      <c r="O1448" s="1473"/>
    </row>
    <row r="1449" spans="11:15">
      <c r="K1449" s="1470">
        <v>43506</v>
      </c>
      <c r="L1449" s="1471"/>
      <c r="M1449" s="1472">
        <v>0</v>
      </c>
      <c r="N1449" s="1473">
        <v>1.4951676734737664</v>
      </c>
      <c r="O1449" s="1473"/>
    </row>
    <row r="1450" spans="11:15">
      <c r="K1450" s="1470">
        <v>43507</v>
      </c>
      <c r="L1450" s="1471" t="s">
        <v>2129</v>
      </c>
      <c r="M1450" s="1472">
        <v>2.462E-2</v>
      </c>
      <c r="N1450" s="1473">
        <v>1.4955357837549759</v>
      </c>
      <c r="O1450" s="1473"/>
    </row>
    <row r="1451" spans="11:15">
      <c r="K1451" s="1470">
        <v>43508</v>
      </c>
      <c r="L1451" s="1471" t="s">
        <v>2129</v>
      </c>
      <c r="M1451" s="1472">
        <v>2.462E-2</v>
      </c>
      <c r="N1451" s="1473">
        <v>1.4959039846649365</v>
      </c>
      <c r="O1451" s="1473"/>
    </row>
    <row r="1452" spans="11:15">
      <c r="K1452" s="1470">
        <v>43509</v>
      </c>
      <c r="L1452" s="1471" t="s">
        <v>2129</v>
      </c>
      <c r="M1452" s="1472">
        <v>2.462E-2</v>
      </c>
      <c r="N1452" s="1473">
        <v>1.496272276225961</v>
      </c>
      <c r="O1452" s="1473"/>
    </row>
    <row r="1453" spans="11:15">
      <c r="K1453" s="1470">
        <v>43510</v>
      </c>
      <c r="L1453" s="1471" t="s">
        <v>2129</v>
      </c>
      <c r="M1453" s="1472">
        <v>2.462E-2</v>
      </c>
      <c r="N1453" s="1473">
        <v>1.496640658460368</v>
      </c>
      <c r="O1453" s="1473"/>
    </row>
    <row r="1454" spans="11:15">
      <c r="K1454" s="1470">
        <v>43511</v>
      </c>
      <c r="L1454" s="1471" t="s">
        <v>2129</v>
      </c>
      <c r="M1454" s="1472">
        <v>2.462E-2</v>
      </c>
      <c r="N1454" s="1473">
        <v>1.497009131390481</v>
      </c>
      <c r="O1454" s="1473"/>
    </row>
    <row r="1455" spans="11:15">
      <c r="K1455" s="1470">
        <v>43512</v>
      </c>
      <c r="L1455" s="1471"/>
      <c r="M1455" s="1472">
        <v>0</v>
      </c>
      <c r="N1455" s="1473">
        <v>1.497009131390481</v>
      </c>
      <c r="O1455" s="1473"/>
    </row>
    <row r="1456" spans="11:15">
      <c r="K1456" s="1470">
        <v>43513</v>
      </c>
      <c r="L1456" s="1471"/>
      <c r="M1456" s="1472">
        <v>0</v>
      </c>
      <c r="N1456" s="1473">
        <v>1.497009131390481</v>
      </c>
      <c r="O1456" s="1473"/>
    </row>
    <row r="1457" spans="11:15">
      <c r="K1457" s="1470">
        <v>43514</v>
      </c>
      <c r="L1457" s="1471" t="s">
        <v>2129</v>
      </c>
      <c r="M1457" s="1472">
        <v>2.462E-2</v>
      </c>
      <c r="N1457" s="1473">
        <v>1.4973776950386295</v>
      </c>
      <c r="O1457" s="1473"/>
    </row>
    <row r="1458" spans="11:15">
      <c r="K1458" s="1470">
        <v>43515</v>
      </c>
      <c r="L1458" s="1471" t="s">
        <v>2129</v>
      </c>
      <c r="M1458" s="1472">
        <v>2.462E-2</v>
      </c>
      <c r="N1458" s="1473">
        <v>1.4977463494271481</v>
      </c>
      <c r="O1458" s="1473"/>
    </row>
    <row r="1459" spans="11:15">
      <c r="K1459" s="1470">
        <v>43516</v>
      </c>
      <c r="L1459" s="1471" t="s">
        <v>2129</v>
      </c>
      <c r="M1459" s="1472">
        <v>2.462E-2</v>
      </c>
      <c r="N1459" s="1473">
        <v>1.4981150945783772</v>
      </c>
      <c r="O1459" s="1473"/>
    </row>
    <row r="1460" spans="11:15">
      <c r="K1460" s="1470">
        <v>43517</v>
      </c>
      <c r="L1460" s="1471" t="s">
        <v>2129</v>
      </c>
      <c r="M1460" s="1472">
        <v>2.462E-2</v>
      </c>
      <c r="N1460" s="1473">
        <v>1.4984839305146624</v>
      </c>
      <c r="O1460" s="1473"/>
    </row>
    <row r="1461" spans="11:15">
      <c r="K1461" s="1470">
        <v>43518</v>
      </c>
      <c r="L1461" s="1471" t="s">
        <v>2129</v>
      </c>
      <c r="M1461" s="1472">
        <v>2.462E-2</v>
      </c>
      <c r="N1461" s="1473">
        <v>1.4988528572583553</v>
      </c>
      <c r="O1461" s="1473"/>
    </row>
    <row r="1462" spans="11:15">
      <c r="K1462" s="1470">
        <v>43519</v>
      </c>
      <c r="L1462" s="1471"/>
      <c r="M1462" s="1472">
        <v>0</v>
      </c>
      <c r="N1462" s="1473">
        <v>1.4988528572583553</v>
      </c>
      <c r="O1462" s="1473"/>
    </row>
    <row r="1463" spans="11:15">
      <c r="K1463" s="1470">
        <v>43520</v>
      </c>
      <c r="L1463" s="1471"/>
      <c r="M1463" s="1472">
        <v>0</v>
      </c>
      <c r="N1463" s="1473">
        <v>1.4988528572583553</v>
      </c>
      <c r="O1463" s="1473"/>
    </row>
    <row r="1464" spans="11:15">
      <c r="K1464" s="1470">
        <v>43521</v>
      </c>
      <c r="L1464" s="1471" t="s">
        <v>2129</v>
      </c>
      <c r="M1464" s="1472">
        <v>2.462E-2</v>
      </c>
      <c r="N1464" s="1473">
        <v>1.4992218748318125</v>
      </c>
      <c r="O1464" s="1473"/>
    </row>
    <row r="1465" spans="11:15">
      <c r="K1465" s="1470">
        <v>43522</v>
      </c>
      <c r="L1465" s="1471" t="s">
        <v>2129</v>
      </c>
      <c r="M1465" s="1472">
        <v>2.462E-2</v>
      </c>
      <c r="N1465" s="1473">
        <v>1.4995909832573961</v>
      </c>
      <c r="O1465" s="1473"/>
    </row>
    <row r="1466" spans="11:15">
      <c r="K1466" s="1470">
        <v>43523</v>
      </c>
      <c r="L1466" s="1471" t="s">
        <v>2129</v>
      </c>
      <c r="M1466" s="1472">
        <v>2.462E-2</v>
      </c>
      <c r="N1466" s="1473">
        <v>1.4999601825574742</v>
      </c>
      <c r="O1466" s="1473"/>
    </row>
    <row r="1467" spans="11:15">
      <c r="K1467" s="1470">
        <v>43524</v>
      </c>
      <c r="L1467" s="1471" t="s">
        <v>2129</v>
      </c>
      <c r="M1467" s="1472">
        <v>2.462E-2</v>
      </c>
      <c r="N1467" s="1473">
        <v>1.5003294727544201</v>
      </c>
      <c r="O1467" s="1473"/>
    </row>
    <row r="1468" spans="11:15">
      <c r="K1468" s="1470">
        <v>43525</v>
      </c>
      <c r="L1468" s="1471" t="s">
        <v>2129</v>
      </c>
      <c r="M1468" s="1472">
        <v>2.462E-2</v>
      </c>
      <c r="N1468" s="1473">
        <v>1.5006988538706123</v>
      </c>
      <c r="O1468" s="1473"/>
    </row>
    <row r="1469" spans="11:15">
      <c r="K1469" s="1470">
        <v>43526</v>
      </c>
      <c r="L1469" s="1471"/>
      <c r="M1469" s="1472">
        <v>0</v>
      </c>
      <c r="N1469" s="1473">
        <v>1.5006988538706123</v>
      </c>
      <c r="O1469" s="1473"/>
    </row>
    <row r="1470" spans="11:15">
      <c r="K1470" s="1470">
        <v>43527</v>
      </c>
      <c r="L1470" s="1471"/>
      <c r="M1470" s="1472">
        <v>0</v>
      </c>
      <c r="N1470" s="1473">
        <v>1.5006988538706123</v>
      </c>
      <c r="O1470" s="1473"/>
    </row>
    <row r="1471" spans="11:15">
      <c r="K1471" s="1470">
        <v>43528</v>
      </c>
      <c r="L1471" s="1471"/>
      <c r="M1471" s="1472">
        <v>0</v>
      </c>
      <c r="N1471" s="1473">
        <v>1.5006988538706123</v>
      </c>
      <c r="O1471" s="1473"/>
    </row>
    <row r="1472" spans="11:15">
      <c r="K1472" s="1470">
        <v>43529</v>
      </c>
      <c r="L1472" s="1471"/>
      <c r="M1472" s="1472">
        <v>0</v>
      </c>
      <c r="N1472" s="1473">
        <v>1.5006988538706123</v>
      </c>
      <c r="O1472" s="1473"/>
    </row>
    <row r="1473" spans="11:15">
      <c r="K1473" s="1470">
        <v>43530</v>
      </c>
      <c r="L1473" s="1471" t="s">
        <v>2129</v>
      </c>
      <c r="M1473" s="1472">
        <v>2.462E-2</v>
      </c>
      <c r="N1473" s="1473">
        <v>1.5010683259284354</v>
      </c>
      <c r="O1473" s="1473"/>
    </row>
    <row r="1474" spans="11:15">
      <c r="K1474" s="1470">
        <v>43531</v>
      </c>
      <c r="L1474" s="1471" t="s">
        <v>2129</v>
      </c>
      <c r="M1474" s="1472">
        <v>2.462E-2</v>
      </c>
      <c r="N1474" s="1473">
        <v>1.5014378889502791</v>
      </c>
      <c r="O1474" s="1473"/>
    </row>
    <row r="1475" spans="11:15">
      <c r="K1475" s="1470">
        <v>43532</v>
      </c>
      <c r="L1475" s="1471" t="s">
        <v>2129</v>
      </c>
      <c r="M1475" s="1472">
        <v>2.462E-2</v>
      </c>
      <c r="N1475" s="1473">
        <v>1.5018075429585387</v>
      </c>
      <c r="O1475" s="1473"/>
    </row>
    <row r="1476" spans="11:15">
      <c r="K1476" s="1470">
        <v>43533</v>
      </c>
      <c r="L1476" s="1471"/>
      <c r="M1476" s="1472">
        <v>0</v>
      </c>
      <c r="N1476" s="1473">
        <v>1.5018075429585387</v>
      </c>
      <c r="O1476" s="1473"/>
    </row>
    <row r="1477" spans="11:15">
      <c r="K1477" s="1470">
        <v>43534</v>
      </c>
      <c r="L1477" s="1471"/>
      <c r="M1477" s="1472">
        <v>0</v>
      </c>
      <c r="N1477" s="1473">
        <v>1.5018075429585387</v>
      </c>
      <c r="O1477" s="1473"/>
    </row>
    <row r="1478" spans="11:15">
      <c r="K1478" s="1470">
        <v>43535</v>
      </c>
      <c r="L1478" s="1471" t="s">
        <v>2129</v>
      </c>
      <c r="M1478" s="1472">
        <v>2.462E-2</v>
      </c>
      <c r="N1478" s="1473">
        <v>1.5021772879756152</v>
      </c>
      <c r="O1478" s="1473"/>
    </row>
    <row r="1479" spans="11:15">
      <c r="K1479" s="1470">
        <v>43536</v>
      </c>
      <c r="L1479" s="1471" t="s">
        <v>2129</v>
      </c>
      <c r="M1479" s="1472">
        <v>2.462E-2</v>
      </c>
      <c r="N1479" s="1473">
        <v>1.502547124023915</v>
      </c>
      <c r="O1479" s="1473"/>
    </row>
    <row r="1480" spans="11:15">
      <c r="K1480" s="1470">
        <v>43537</v>
      </c>
      <c r="L1480" s="1471" t="s">
        <v>2129</v>
      </c>
      <c r="M1480" s="1472">
        <v>2.462E-2</v>
      </c>
      <c r="N1480" s="1473">
        <v>1.5029170511258498</v>
      </c>
      <c r="O1480" s="1473"/>
    </row>
    <row r="1481" spans="11:15">
      <c r="K1481" s="1470">
        <v>43538</v>
      </c>
      <c r="L1481" s="1471" t="s">
        <v>2129</v>
      </c>
      <c r="M1481" s="1472">
        <v>2.462E-2</v>
      </c>
      <c r="N1481" s="1473">
        <v>1.5032870693038372</v>
      </c>
      <c r="O1481" s="1473"/>
    </row>
    <row r="1482" spans="11:15">
      <c r="K1482" s="1470">
        <v>43539</v>
      </c>
      <c r="L1482" s="1471" t="s">
        <v>2129</v>
      </c>
      <c r="M1482" s="1472">
        <v>2.462E-2</v>
      </c>
      <c r="N1482" s="1473">
        <v>1.5036571785802999</v>
      </c>
      <c r="O1482" s="1473"/>
    </row>
    <row r="1483" spans="11:15">
      <c r="K1483" s="1470">
        <v>43540</v>
      </c>
      <c r="L1483" s="1471"/>
      <c r="M1483" s="1472">
        <v>0</v>
      </c>
      <c r="N1483" s="1473">
        <v>1.5036571785802999</v>
      </c>
      <c r="O1483" s="1473"/>
    </row>
    <row r="1484" spans="11:15">
      <c r="K1484" s="1470">
        <v>43541</v>
      </c>
      <c r="L1484" s="1471"/>
      <c r="M1484" s="1472">
        <v>0</v>
      </c>
      <c r="N1484" s="1473">
        <v>1.5036571785802999</v>
      </c>
      <c r="O1484" s="1473"/>
    </row>
    <row r="1485" spans="11:15">
      <c r="K1485" s="1470">
        <v>43542</v>
      </c>
      <c r="L1485" s="1471" t="s">
        <v>2129</v>
      </c>
      <c r="M1485" s="1472">
        <v>2.462E-2</v>
      </c>
      <c r="N1485" s="1473">
        <v>1.5040273789776666</v>
      </c>
      <c r="O1485" s="1473"/>
    </row>
    <row r="1486" spans="11:15">
      <c r="K1486" s="1470">
        <v>43543</v>
      </c>
      <c r="L1486" s="1471" t="s">
        <v>2129</v>
      </c>
      <c r="M1486" s="1472">
        <v>2.462E-2</v>
      </c>
      <c r="N1486" s="1473">
        <v>1.504397670518371</v>
      </c>
      <c r="O1486" s="1473"/>
    </row>
    <row r="1487" spans="11:15">
      <c r="K1487" s="1470">
        <v>43544</v>
      </c>
      <c r="L1487" s="1471" t="s">
        <v>2129</v>
      </c>
      <c r="M1487" s="1472">
        <v>2.462E-2</v>
      </c>
      <c r="N1487" s="1473">
        <v>1.5047680532248529</v>
      </c>
      <c r="O1487" s="1473"/>
    </row>
    <row r="1488" spans="11:15">
      <c r="K1488" s="1470">
        <v>43545</v>
      </c>
      <c r="L1488" s="1471" t="s">
        <v>2129</v>
      </c>
      <c r="M1488" s="1472">
        <v>2.462E-2</v>
      </c>
      <c r="N1488" s="1473">
        <v>1.505138527119557</v>
      </c>
      <c r="O1488" s="1473"/>
    </row>
    <row r="1489" spans="11:15">
      <c r="K1489" s="1470">
        <v>43546</v>
      </c>
      <c r="L1489" s="1471" t="s">
        <v>2129</v>
      </c>
      <c r="M1489" s="1472">
        <v>2.462E-2</v>
      </c>
      <c r="N1489" s="1473">
        <v>1.5055090922249339</v>
      </c>
      <c r="O1489" s="1473"/>
    </row>
    <row r="1490" spans="11:15">
      <c r="K1490" s="1470">
        <v>43547</v>
      </c>
      <c r="L1490" s="1471"/>
      <c r="M1490" s="1472">
        <v>0</v>
      </c>
      <c r="N1490" s="1473">
        <v>1.5055090922249339</v>
      </c>
      <c r="O1490" s="1473"/>
    </row>
    <row r="1491" spans="11:15">
      <c r="K1491" s="1470">
        <v>43548</v>
      </c>
      <c r="L1491" s="1471"/>
      <c r="M1491" s="1472">
        <v>0</v>
      </c>
      <c r="N1491" s="1473">
        <v>1.5055090922249339</v>
      </c>
      <c r="O1491" s="1473"/>
    </row>
    <row r="1492" spans="11:15">
      <c r="K1492" s="1470">
        <v>43549</v>
      </c>
      <c r="L1492" s="1471" t="s">
        <v>2129</v>
      </c>
      <c r="M1492" s="1472">
        <v>2.462E-2</v>
      </c>
      <c r="N1492" s="1473">
        <v>1.5058797485634399</v>
      </c>
      <c r="O1492" s="1473"/>
    </row>
    <row r="1493" spans="11:15">
      <c r="K1493" s="1470">
        <v>43550</v>
      </c>
      <c r="L1493" s="1471" t="s">
        <v>2129</v>
      </c>
      <c r="M1493" s="1472">
        <v>2.462E-2</v>
      </c>
      <c r="N1493" s="1473">
        <v>1.5062504961575363</v>
      </c>
      <c r="O1493" s="1473"/>
    </row>
    <row r="1494" spans="11:15">
      <c r="K1494" s="1470">
        <v>43551</v>
      </c>
      <c r="L1494" s="1471" t="s">
        <v>2129</v>
      </c>
      <c r="M1494" s="1472">
        <v>2.462E-2</v>
      </c>
      <c r="N1494" s="1473">
        <v>1.5066213350296904</v>
      </c>
      <c r="O1494" s="1473"/>
    </row>
    <row r="1495" spans="11:15">
      <c r="K1495" s="1470">
        <v>43552</v>
      </c>
      <c r="L1495" s="1471" t="s">
        <v>2129</v>
      </c>
      <c r="M1495" s="1472">
        <v>2.462E-2</v>
      </c>
      <c r="N1495" s="1473">
        <v>1.5069922652023748</v>
      </c>
      <c r="O1495" s="1473"/>
    </row>
    <row r="1496" spans="11:15">
      <c r="K1496" s="1470">
        <v>43553</v>
      </c>
      <c r="L1496" s="1471" t="s">
        <v>2129</v>
      </c>
      <c r="M1496" s="1472">
        <v>2.462E-2</v>
      </c>
      <c r="N1496" s="1473">
        <v>1.5073632866980677</v>
      </c>
      <c r="O1496" s="1473"/>
    </row>
    <row r="1497" spans="11:15">
      <c r="K1497" s="1470">
        <v>43554</v>
      </c>
      <c r="L1497" s="1471"/>
      <c r="M1497" s="1472">
        <v>0</v>
      </c>
      <c r="N1497" s="1473">
        <v>1.5073632866980677</v>
      </c>
      <c r="O1497" s="1473"/>
    </row>
    <row r="1498" spans="11:15">
      <c r="K1498" s="1470">
        <v>43555</v>
      </c>
      <c r="L1498" s="1471"/>
      <c r="M1498" s="1472">
        <v>0</v>
      </c>
      <c r="N1498" s="1473">
        <v>1.5073632866980677</v>
      </c>
      <c r="O1498" s="1473"/>
    </row>
    <row r="1499" spans="11:15">
      <c r="K1499" s="1470">
        <v>43556</v>
      </c>
      <c r="L1499" s="1471" t="s">
        <v>2129</v>
      </c>
      <c r="M1499" s="1472">
        <v>2.462E-2</v>
      </c>
      <c r="N1499" s="1473">
        <v>1.5077343995392529</v>
      </c>
      <c r="O1499" s="1473"/>
    </row>
    <row r="1500" spans="11:15">
      <c r="K1500" s="1470">
        <v>43557</v>
      </c>
      <c r="L1500" s="1471" t="s">
        <v>2129</v>
      </c>
      <c r="M1500" s="1472">
        <v>2.462E-2</v>
      </c>
      <c r="N1500" s="1473">
        <v>1.5081056037484195</v>
      </c>
      <c r="O1500" s="1473"/>
    </row>
    <row r="1501" spans="11:15">
      <c r="K1501" s="1470">
        <v>43558</v>
      </c>
      <c r="L1501" s="1471" t="s">
        <v>2129</v>
      </c>
      <c r="M1501" s="1472">
        <v>2.462E-2</v>
      </c>
      <c r="N1501" s="1473">
        <v>1.5084768993480624</v>
      </c>
      <c r="O1501" s="1473"/>
    </row>
    <row r="1502" spans="11:15">
      <c r="K1502" s="1470">
        <v>43559</v>
      </c>
      <c r="L1502" s="1471" t="s">
        <v>2129</v>
      </c>
      <c r="M1502" s="1472">
        <v>2.462E-2</v>
      </c>
      <c r="N1502" s="1473">
        <v>1.508848286360682</v>
      </c>
      <c r="O1502" s="1473"/>
    </row>
    <row r="1503" spans="11:15">
      <c r="K1503" s="1470">
        <v>43560</v>
      </c>
      <c r="L1503" s="1471" t="s">
        <v>2129</v>
      </c>
      <c r="M1503" s="1472">
        <v>2.462E-2</v>
      </c>
      <c r="N1503" s="1473">
        <v>1.5092197648087842</v>
      </c>
      <c r="O1503" s="1473"/>
    </row>
    <row r="1504" spans="11:15">
      <c r="K1504" s="1470">
        <v>43561</v>
      </c>
      <c r="L1504" s="1471"/>
      <c r="M1504" s="1472">
        <v>0</v>
      </c>
      <c r="N1504" s="1473">
        <v>1.5092197648087842</v>
      </c>
      <c r="O1504" s="1473"/>
    </row>
    <row r="1505" spans="11:15">
      <c r="K1505" s="1470">
        <v>43562</v>
      </c>
      <c r="L1505" s="1471"/>
      <c r="M1505" s="1472">
        <v>0</v>
      </c>
      <c r="N1505" s="1473">
        <v>1.5092197648087842</v>
      </c>
      <c r="O1505" s="1473"/>
    </row>
    <row r="1506" spans="11:15">
      <c r="K1506" s="1470">
        <v>43563</v>
      </c>
      <c r="L1506" s="1471" t="s">
        <v>2129</v>
      </c>
      <c r="M1506" s="1472">
        <v>2.462E-2</v>
      </c>
      <c r="N1506" s="1473">
        <v>1.5095913347148802</v>
      </c>
      <c r="O1506" s="1473"/>
    </row>
    <row r="1507" spans="11:15">
      <c r="K1507" s="1470">
        <v>43564</v>
      </c>
      <c r="L1507" s="1471" t="s">
        <v>2129</v>
      </c>
      <c r="M1507" s="1472">
        <v>2.462E-2</v>
      </c>
      <c r="N1507" s="1473">
        <v>1.5099629961014871</v>
      </c>
      <c r="O1507" s="1473"/>
    </row>
    <row r="1508" spans="11:15">
      <c r="K1508" s="1470">
        <v>43565</v>
      </c>
      <c r="L1508" s="1471" t="s">
        <v>2129</v>
      </c>
      <c r="M1508" s="1472">
        <v>2.462E-2</v>
      </c>
      <c r="N1508" s="1473">
        <v>1.5103347489911274</v>
      </c>
      <c r="O1508" s="1473"/>
    </row>
    <row r="1509" spans="11:15">
      <c r="K1509" s="1470">
        <v>43566</v>
      </c>
      <c r="L1509" s="1471" t="s">
        <v>2129</v>
      </c>
      <c r="M1509" s="1472">
        <v>2.462E-2</v>
      </c>
      <c r="N1509" s="1473">
        <v>1.5107065934063291</v>
      </c>
      <c r="O1509" s="1473"/>
    </row>
    <row r="1510" spans="11:15">
      <c r="K1510" s="1470">
        <v>43567</v>
      </c>
      <c r="L1510" s="1471" t="s">
        <v>2129</v>
      </c>
      <c r="M1510" s="1472">
        <v>2.462E-2</v>
      </c>
      <c r="N1510" s="1473">
        <v>1.5110785293696258</v>
      </c>
      <c r="O1510" s="1473"/>
    </row>
    <row r="1511" spans="11:15">
      <c r="K1511" s="1470">
        <v>43568</v>
      </c>
      <c r="L1511" s="1471"/>
      <c r="M1511" s="1472">
        <v>0</v>
      </c>
      <c r="N1511" s="1473">
        <v>1.5110785293696258</v>
      </c>
      <c r="O1511" s="1473"/>
    </row>
    <row r="1512" spans="11:15">
      <c r="K1512" s="1470">
        <v>43569</v>
      </c>
      <c r="L1512" s="1471"/>
      <c r="M1512" s="1472">
        <v>0</v>
      </c>
      <c r="N1512" s="1473">
        <v>1.5110785293696258</v>
      </c>
      <c r="O1512" s="1473"/>
    </row>
    <row r="1513" spans="11:15">
      <c r="K1513" s="1470">
        <v>43570</v>
      </c>
      <c r="L1513" s="1471" t="s">
        <v>2129</v>
      </c>
      <c r="M1513" s="1472">
        <v>2.462E-2</v>
      </c>
      <c r="N1513" s="1473">
        <v>1.5114505569035568</v>
      </c>
      <c r="O1513" s="1473"/>
    </row>
    <row r="1514" spans="11:15">
      <c r="K1514" s="1470">
        <v>43571</v>
      </c>
      <c r="L1514" s="1471" t="s">
        <v>2129</v>
      </c>
      <c r="M1514" s="1472">
        <v>2.462E-2</v>
      </c>
      <c r="N1514" s="1473">
        <v>1.5118226760306666</v>
      </c>
      <c r="O1514" s="1473"/>
    </row>
    <row r="1515" spans="11:15">
      <c r="K1515" s="1470">
        <v>43572</v>
      </c>
      <c r="L1515" s="1471" t="s">
        <v>2129</v>
      </c>
      <c r="M1515" s="1472">
        <v>2.462E-2</v>
      </c>
      <c r="N1515" s="1473">
        <v>1.5121948867735053</v>
      </c>
      <c r="O1515" s="1473"/>
    </row>
    <row r="1516" spans="11:15">
      <c r="K1516" s="1470">
        <v>43573</v>
      </c>
      <c r="L1516" s="1471" t="s">
        <v>2129</v>
      </c>
      <c r="M1516" s="1472">
        <v>2.462E-2</v>
      </c>
      <c r="N1516" s="1473">
        <v>1.5125671891546291</v>
      </c>
      <c r="O1516" s="1473"/>
    </row>
    <row r="1517" spans="11:15">
      <c r="K1517" s="1470">
        <v>43574</v>
      </c>
      <c r="L1517" s="1471"/>
      <c r="M1517" s="1472">
        <v>0</v>
      </c>
      <c r="N1517" s="1473">
        <v>1.5125671891546291</v>
      </c>
      <c r="O1517" s="1473"/>
    </row>
    <row r="1518" spans="11:15">
      <c r="K1518" s="1470">
        <v>43575</v>
      </c>
      <c r="L1518" s="1471"/>
      <c r="M1518" s="1472">
        <v>0</v>
      </c>
      <c r="N1518" s="1473">
        <v>1.5125671891546291</v>
      </c>
      <c r="O1518" s="1473"/>
    </row>
    <row r="1519" spans="11:15">
      <c r="K1519" s="1470">
        <v>43576</v>
      </c>
      <c r="L1519" s="1471"/>
      <c r="M1519" s="1472">
        <v>0</v>
      </c>
      <c r="N1519" s="1473">
        <v>1.5125671891546291</v>
      </c>
      <c r="O1519" s="1473"/>
    </row>
    <row r="1520" spans="11:15">
      <c r="K1520" s="1470">
        <v>43577</v>
      </c>
      <c r="L1520" s="1471" t="s">
        <v>2129</v>
      </c>
      <c r="M1520" s="1472">
        <v>2.462E-2</v>
      </c>
      <c r="N1520" s="1473">
        <v>1.512939583196599</v>
      </c>
      <c r="O1520" s="1473"/>
    </row>
    <row r="1521" spans="11:15">
      <c r="K1521" s="1470">
        <v>43578</v>
      </c>
      <c r="L1521" s="1471" t="s">
        <v>2129</v>
      </c>
      <c r="M1521" s="1472">
        <v>2.462E-2</v>
      </c>
      <c r="N1521" s="1473">
        <v>1.5133120689219821</v>
      </c>
      <c r="O1521" s="1473"/>
    </row>
    <row r="1522" spans="11:15">
      <c r="K1522" s="1470">
        <v>43579</v>
      </c>
      <c r="L1522" s="1471" t="s">
        <v>2129</v>
      </c>
      <c r="M1522" s="1472">
        <v>2.462E-2</v>
      </c>
      <c r="N1522" s="1473">
        <v>1.5136846463533509</v>
      </c>
      <c r="O1522" s="1473"/>
    </row>
    <row r="1523" spans="11:15">
      <c r="K1523" s="1470">
        <v>43580</v>
      </c>
      <c r="L1523" s="1471" t="s">
        <v>2129</v>
      </c>
      <c r="M1523" s="1472">
        <v>2.462E-2</v>
      </c>
      <c r="N1523" s="1473">
        <v>1.5140573155132833</v>
      </c>
      <c r="O1523" s="1473"/>
    </row>
    <row r="1524" spans="11:15">
      <c r="K1524" s="1470">
        <v>43581</v>
      </c>
      <c r="L1524" s="1471" t="s">
        <v>2129</v>
      </c>
      <c r="M1524" s="1472">
        <v>2.462E-2</v>
      </c>
      <c r="N1524" s="1473">
        <v>1.5144300764243628</v>
      </c>
      <c r="O1524" s="1473"/>
    </row>
    <row r="1525" spans="11:15">
      <c r="K1525" s="1470">
        <v>43582</v>
      </c>
      <c r="L1525" s="1471"/>
      <c r="M1525" s="1472">
        <v>0</v>
      </c>
      <c r="N1525" s="1473">
        <v>1.5144300764243628</v>
      </c>
      <c r="O1525" s="1473"/>
    </row>
    <row r="1526" spans="11:15">
      <c r="K1526" s="1470">
        <v>43583</v>
      </c>
      <c r="L1526" s="1471"/>
      <c r="M1526" s="1472">
        <v>0</v>
      </c>
      <c r="N1526" s="1473">
        <v>1.5144300764243628</v>
      </c>
      <c r="O1526" s="1473"/>
    </row>
    <row r="1527" spans="11:15">
      <c r="K1527" s="1470">
        <v>43584</v>
      </c>
      <c r="L1527" s="1471" t="s">
        <v>2129</v>
      </c>
      <c r="M1527" s="1472">
        <v>2.462E-2</v>
      </c>
      <c r="N1527" s="1473">
        <v>1.5148029291091787</v>
      </c>
      <c r="O1527" s="1473"/>
    </row>
    <row r="1528" spans="11:15">
      <c r="K1528" s="1470">
        <v>43585</v>
      </c>
      <c r="L1528" s="1471" t="s">
        <v>2129</v>
      </c>
      <c r="M1528" s="1472">
        <v>2.462E-2</v>
      </c>
      <c r="N1528" s="1473">
        <v>1.5151758735903256</v>
      </c>
      <c r="O1528" s="1473"/>
    </row>
    <row r="1529" spans="11:15">
      <c r="K1529" s="1470">
        <v>43586</v>
      </c>
      <c r="L1529" s="1471"/>
      <c r="M1529" s="1472">
        <v>0</v>
      </c>
      <c r="N1529" s="1473">
        <v>1.5151758735903256</v>
      </c>
      <c r="O1529" s="1473"/>
    </row>
    <row r="1530" spans="11:15">
      <c r="K1530" s="1470">
        <v>43587</v>
      </c>
      <c r="L1530" s="1471" t="s">
        <v>2129</v>
      </c>
      <c r="M1530" s="1472">
        <v>2.462E-2</v>
      </c>
      <c r="N1530" s="1473">
        <v>1.5155489098904036</v>
      </c>
      <c r="O1530" s="1473"/>
    </row>
    <row r="1531" spans="11:15">
      <c r="K1531" s="1470">
        <v>43588</v>
      </c>
      <c r="L1531" s="1471" t="s">
        <v>2129</v>
      </c>
      <c r="M1531" s="1472">
        <v>2.462E-2</v>
      </c>
      <c r="N1531" s="1473">
        <v>1.5159220380320186</v>
      </c>
      <c r="O1531" s="1473"/>
    </row>
    <row r="1532" spans="11:15">
      <c r="K1532" s="1470">
        <v>43589</v>
      </c>
      <c r="L1532" s="1471"/>
      <c r="M1532" s="1472">
        <v>0</v>
      </c>
      <c r="N1532" s="1473">
        <v>1.5159220380320186</v>
      </c>
      <c r="O1532" s="1473"/>
    </row>
    <row r="1533" spans="11:15">
      <c r="K1533" s="1470">
        <v>43590</v>
      </c>
      <c r="L1533" s="1471"/>
      <c r="M1533" s="1472">
        <v>0</v>
      </c>
      <c r="N1533" s="1473">
        <v>1.5159220380320186</v>
      </c>
      <c r="O1533" s="1473"/>
    </row>
    <row r="1534" spans="11:15">
      <c r="K1534" s="1470">
        <v>43591</v>
      </c>
      <c r="L1534" s="1471" t="s">
        <v>2129</v>
      </c>
      <c r="M1534" s="1472">
        <v>2.462E-2</v>
      </c>
      <c r="N1534" s="1473">
        <v>1.5162952580377822</v>
      </c>
      <c r="O1534" s="1473"/>
    </row>
    <row r="1535" spans="11:15">
      <c r="K1535" s="1470">
        <v>43592</v>
      </c>
      <c r="L1535" s="1471" t="s">
        <v>2129</v>
      </c>
      <c r="M1535" s="1472">
        <v>2.462E-2</v>
      </c>
      <c r="N1535" s="1473">
        <v>1.5166685699303113</v>
      </c>
      <c r="O1535" s="1473"/>
    </row>
    <row r="1536" spans="11:15">
      <c r="K1536" s="1470">
        <v>43593</v>
      </c>
      <c r="L1536" s="1471" t="s">
        <v>2129</v>
      </c>
      <c r="M1536" s="1472">
        <v>2.462E-2</v>
      </c>
      <c r="N1536" s="1473">
        <v>1.5170419737322283</v>
      </c>
      <c r="O1536" s="1473"/>
    </row>
    <row r="1537" spans="11:15">
      <c r="K1537" s="1470">
        <v>43594</v>
      </c>
      <c r="L1537" s="1471" t="s">
        <v>2129</v>
      </c>
      <c r="M1537" s="1472">
        <v>2.462E-2</v>
      </c>
      <c r="N1537" s="1473">
        <v>1.5174154694661612</v>
      </c>
      <c r="O1537" s="1473"/>
    </row>
    <row r="1538" spans="11:15">
      <c r="K1538" s="1470">
        <v>43595</v>
      </c>
      <c r="L1538" s="1471" t="s">
        <v>2129</v>
      </c>
      <c r="M1538" s="1472">
        <v>2.462E-2</v>
      </c>
      <c r="N1538" s="1473">
        <v>1.5177890571547439</v>
      </c>
      <c r="O1538" s="1473"/>
    </row>
    <row r="1539" spans="11:15">
      <c r="K1539" s="1470">
        <v>43596</v>
      </c>
      <c r="L1539" s="1471"/>
      <c r="M1539" s="1472">
        <v>0</v>
      </c>
      <c r="N1539" s="1473">
        <v>1.5177890571547439</v>
      </c>
      <c r="O1539" s="1473"/>
    </row>
    <row r="1540" spans="11:15">
      <c r="K1540" s="1470">
        <v>43597</v>
      </c>
      <c r="L1540" s="1471"/>
      <c r="M1540" s="1472">
        <v>0</v>
      </c>
      <c r="N1540" s="1473">
        <v>1.5177890571547439</v>
      </c>
      <c r="O1540" s="1473"/>
    </row>
    <row r="1541" spans="11:15">
      <c r="K1541" s="1470">
        <v>43598</v>
      </c>
      <c r="L1541" s="1471" t="s">
        <v>2129</v>
      </c>
      <c r="M1541" s="1472">
        <v>2.462E-2</v>
      </c>
      <c r="N1541" s="1473">
        <v>1.5181627368206154</v>
      </c>
      <c r="O1541" s="1473"/>
    </row>
    <row r="1542" spans="11:15">
      <c r="K1542" s="1470">
        <v>43599</v>
      </c>
      <c r="L1542" s="1471" t="s">
        <v>2129</v>
      </c>
      <c r="M1542" s="1472">
        <v>2.462E-2</v>
      </c>
      <c r="N1542" s="1473">
        <v>1.5185365084864209</v>
      </c>
      <c r="O1542" s="1473"/>
    </row>
    <row r="1543" spans="11:15">
      <c r="K1543" s="1470">
        <v>43600</v>
      </c>
      <c r="L1543" s="1471" t="s">
        <v>2129</v>
      </c>
      <c r="M1543" s="1472">
        <v>2.462E-2</v>
      </c>
      <c r="N1543" s="1473">
        <v>1.5189103721748103</v>
      </c>
      <c r="O1543" s="1473"/>
    </row>
    <row r="1544" spans="11:15">
      <c r="K1544" s="1470">
        <v>43601</v>
      </c>
      <c r="L1544" s="1471" t="s">
        <v>2129</v>
      </c>
      <c r="M1544" s="1472">
        <v>2.462E-2</v>
      </c>
      <c r="N1544" s="1473">
        <v>1.5192843279084398</v>
      </c>
      <c r="O1544" s="1473"/>
    </row>
    <row r="1545" spans="11:15">
      <c r="K1545" s="1470">
        <v>43602</v>
      </c>
      <c r="L1545" s="1471" t="s">
        <v>2129</v>
      </c>
      <c r="M1545" s="1472">
        <v>2.462E-2</v>
      </c>
      <c r="N1545" s="1473">
        <v>1.5196583757099711</v>
      </c>
      <c r="O1545" s="1473"/>
    </row>
    <row r="1546" spans="11:15">
      <c r="K1546" s="1470">
        <v>43603</v>
      </c>
      <c r="L1546" s="1471"/>
      <c r="M1546" s="1472">
        <v>0</v>
      </c>
      <c r="N1546" s="1473">
        <v>1.5196583757099711</v>
      </c>
      <c r="O1546" s="1473"/>
    </row>
    <row r="1547" spans="11:15">
      <c r="K1547" s="1470">
        <v>43604</v>
      </c>
      <c r="L1547" s="1471"/>
      <c r="M1547" s="1472">
        <v>0</v>
      </c>
      <c r="N1547" s="1473">
        <v>1.5196583757099711</v>
      </c>
      <c r="O1547" s="1473"/>
    </row>
    <row r="1548" spans="11:15">
      <c r="K1548" s="1470">
        <v>43605</v>
      </c>
      <c r="L1548" s="1471" t="s">
        <v>2129</v>
      </c>
      <c r="M1548" s="1472">
        <v>2.462E-2</v>
      </c>
      <c r="N1548" s="1473">
        <v>1.5200325156020711</v>
      </c>
      <c r="O1548" s="1473"/>
    </row>
    <row r="1549" spans="11:15">
      <c r="K1549" s="1470">
        <v>43606</v>
      </c>
      <c r="L1549" s="1471" t="s">
        <v>2129</v>
      </c>
      <c r="M1549" s="1472">
        <v>2.462E-2</v>
      </c>
      <c r="N1549" s="1473">
        <v>1.5204067476074123</v>
      </c>
      <c r="O1549" s="1473"/>
    </row>
    <row r="1550" spans="11:15">
      <c r="K1550" s="1470">
        <v>43607</v>
      </c>
      <c r="L1550" s="1471" t="s">
        <v>2129</v>
      </c>
      <c r="M1550" s="1472">
        <v>2.462E-2</v>
      </c>
      <c r="N1550" s="1473">
        <v>1.5207810717486734</v>
      </c>
      <c r="O1550" s="1473"/>
    </row>
    <row r="1551" spans="11:15">
      <c r="K1551" s="1470">
        <v>43608</v>
      </c>
      <c r="L1551" s="1471" t="s">
        <v>2129</v>
      </c>
      <c r="M1551" s="1472">
        <v>2.462E-2</v>
      </c>
      <c r="N1551" s="1473">
        <v>1.5211554880485381</v>
      </c>
      <c r="O1551" s="1473"/>
    </row>
    <row r="1552" spans="11:15">
      <c r="K1552" s="1470">
        <v>43609</v>
      </c>
      <c r="L1552" s="1471" t="s">
        <v>2129</v>
      </c>
      <c r="M1552" s="1472">
        <v>2.462E-2</v>
      </c>
      <c r="N1552" s="1473">
        <v>1.5215299965296958</v>
      </c>
      <c r="O1552" s="1473"/>
    </row>
    <row r="1553" spans="11:15">
      <c r="K1553" s="1470">
        <v>43610</v>
      </c>
      <c r="L1553" s="1471"/>
      <c r="M1553" s="1472">
        <v>0</v>
      </c>
      <c r="N1553" s="1473">
        <v>1.5215299965296958</v>
      </c>
      <c r="O1553" s="1473"/>
    </row>
    <row r="1554" spans="11:15">
      <c r="K1554" s="1470">
        <v>43611</v>
      </c>
      <c r="L1554" s="1471"/>
      <c r="M1554" s="1472">
        <v>0</v>
      </c>
      <c r="N1554" s="1473">
        <v>1.5215299965296958</v>
      </c>
      <c r="O1554" s="1473"/>
    </row>
    <row r="1555" spans="11:15">
      <c r="K1555" s="1470">
        <v>43612</v>
      </c>
      <c r="L1555" s="1471" t="s">
        <v>2129</v>
      </c>
      <c r="M1555" s="1472">
        <v>2.462E-2</v>
      </c>
      <c r="N1555" s="1473">
        <v>1.5219045972148415</v>
      </c>
      <c r="O1555" s="1473"/>
    </row>
    <row r="1556" spans="11:15">
      <c r="K1556" s="1470">
        <v>43613</v>
      </c>
      <c r="L1556" s="1471" t="s">
        <v>2129</v>
      </c>
      <c r="M1556" s="1472">
        <v>2.462E-2</v>
      </c>
      <c r="N1556" s="1473">
        <v>1.522279290126676</v>
      </c>
      <c r="O1556" s="1473"/>
    </row>
    <row r="1557" spans="11:15">
      <c r="K1557" s="1470">
        <v>43614</v>
      </c>
      <c r="L1557" s="1471" t="s">
        <v>2129</v>
      </c>
      <c r="M1557" s="1472">
        <v>2.462E-2</v>
      </c>
      <c r="N1557" s="1473">
        <v>1.5226540752879052</v>
      </c>
      <c r="O1557" s="1473"/>
    </row>
    <row r="1558" spans="11:15">
      <c r="K1558" s="1470">
        <v>43615</v>
      </c>
      <c r="L1558" s="1471" t="s">
        <v>2129</v>
      </c>
      <c r="M1558" s="1472">
        <v>2.462E-2</v>
      </c>
      <c r="N1558" s="1473">
        <v>1.5230289527212413</v>
      </c>
      <c r="O1558" s="1473"/>
    </row>
    <row r="1559" spans="11:15">
      <c r="K1559" s="1470">
        <v>43616</v>
      </c>
      <c r="L1559" s="1471" t="s">
        <v>2129</v>
      </c>
      <c r="M1559" s="1472">
        <v>2.462E-2</v>
      </c>
      <c r="N1559" s="1473">
        <v>1.5234039224494014</v>
      </c>
      <c r="O1559" s="1473"/>
    </row>
    <row r="1560" spans="11:15">
      <c r="K1560" s="1470">
        <v>43617</v>
      </c>
      <c r="L1560" s="1471"/>
      <c r="M1560" s="1472">
        <v>0</v>
      </c>
      <c r="N1560" s="1473">
        <v>1.5234039224494014</v>
      </c>
      <c r="O1560" s="1473"/>
    </row>
    <row r="1561" spans="11:15">
      <c r="K1561" s="1470">
        <v>43618</v>
      </c>
      <c r="L1561" s="1471"/>
      <c r="M1561" s="1472">
        <v>0</v>
      </c>
      <c r="N1561" s="1473">
        <v>1.5234039224494014</v>
      </c>
      <c r="O1561" s="1473"/>
    </row>
    <row r="1562" spans="11:15">
      <c r="K1562" s="1470">
        <v>43619</v>
      </c>
      <c r="L1562" s="1471" t="s">
        <v>2129</v>
      </c>
      <c r="M1562" s="1472">
        <v>2.462E-2</v>
      </c>
      <c r="N1562" s="1473">
        <v>1.5237789844951086</v>
      </c>
      <c r="O1562" s="1473"/>
    </row>
    <row r="1563" spans="11:15">
      <c r="K1563" s="1470">
        <v>43620</v>
      </c>
      <c r="L1563" s="1471" t="s">
        <v>2129</v>
      </c>
      <c r="M1563" s="1472">
        <v>2.462E-2</v>
      </c>
      <c r="N1563" s="1473">
        <v>1.5241541388810915</v>
      </c>
      <c r="O1563" s="1473"/>
    </row>
    <row r="1564" spans="11:15">
      <c r="K1564" s="1470">
        <v>43621</v>
      </c>
      <c r="L1564" s="1471" t="s">
        <v>2129</v>
      </c>
      <c r="M1564" s="1472">
        <v>2.462E-2</v>
      </c>
      <c r="N1564" s="1473">
        <v>1.5245293856300841</v>
      </c>
      <c r="O1564" s="1473"/>
    </row>
    <row r="1565" spans="11:15">
      <c r="K1565" s="1470">
        <v>43622</v>
      </c>
      <c r="L1565" s="1471" t="s">
        <v>2129</v>
      </c>
      <c r="M1565" s="1472">
        <v>2.462E-2</v>
      </c>
      <c r="N1565" s="1473">
        <v>1.5249047247648264</v>
      </c>
      <c r="O1565" s="1473"/>
    </row>
    <row r="1566" spans="11:15">
      <c r="K1566" s="1470">
        <v>43623</v>
      </c>
      <c r="L1566" s="1471" t="s">
        <v>2129</v>
      </c>
      <c r="M1566" s="1472">
        <v>2.462E-2</v>
      </c>
      <c r="N1566" s="1473">
        <v>1.5252801563080636</v>
      </c>
      <c r="O1566" s="1473"/>
    </row>
    <row r="1567" spans="11:15">
      <c r="K1567" s="1470">
        <v>43624</v>
      </c>
      <c r="L1567" s="1471"/>
      <c r="M1567" s="1472">
        <v>0</v>
      </c>
      <c r="N1567" s="1473">
        <v>1.5252801563080636</v>
      </c>
      <c r="O1567" s="1473"/>
    </row>
    <row r="1568" spans="11:15">
      <c r="K1568" s="1470">
        <v>43625</v>
      </c>
      <c r="L1568" s="1471"/>
      <c r="M1568" s="1472">
        <v>0</v>
      </c>
      <c r="N1568" s="1473">
        <v>1.5252801563080636</v>
      </c>
      <c r="O1568" s="1473"/>
    </row>
    <row r="1569" spans="11:15">
      <c r="K1569" s="1470">
        <v>43626</v>
      </c>
      <c r="L1569" s="1471" t="s">
        <v>2129</v>
      </c>
      <c r="M1569" s="1472">
        <v>2.462E-2</v>
      </c>
      <c r="N1569" s="1473">
        <v>1.5256556802825467</v>
      </c>
      <c r="O1569" s="1473"/>
    </row>
    <row r="1570" spans="11:15">
      <c r="K1570" s="1470">
        <v>43627</v>
      </c>
      <c r="L1570" s="1471" t="s">
        <v>2129</v>
      </c>
      <c r="M1570" s="1472">
        <v>2.462E-2</v>
      </c>
      <c r="N1570" s="1473">
        <v>1.5260312967110323</v>
      </c>
      <c r="O1570" s="1473"/>
    </row>
    <row r="1571" spans="11:15">
      <c r="K1571" s="1470">
        <v>43628</v>
      </c>
      <c r="L1571" s="1471" t="s">
        <v>2129</v>
      </c>
      <c r="M1571" s="1472">
        <v>2.462E-2</v>
      </c>
      <c r="N1571" s="1473">
        <v>1.5264070056162826</v>
      </c>
      <c r="O1571" s="1473"/>
    </row>
    <row r="1572" spans="11:15">
      <c r="K1572" s="1470">
        <v>43629</v>
      </c>
      <c r="L1572" s="1471" t="s">
        <v>2129</v>
      </c>
      <c r="M1572" s="1472">
        <v>2.462E-2</v>
      </c>
      <c r="N1572" s="1473">
        <v>1.5267828070210654</v>
      </c>
      <c r="O1572" s="1473"/>
    </row>
    <row r="1573" spans="11:15">
      <c r="K1573" s="1470">
        <v>43630</v>
      </c>
      <c r="L1573" s="1471" t="s">
        <v>2129</v>
      </c>
      <c r="M1573" s="1472">
        <v>2.462E-2</v>
      </c>
      <c r="N1573" s="1473">
        <v>1.5271587009481542</v>
      </c>
      <c r="O1573" s="1473"/>
    </row>
    <row r="1574" spans="11:15">
      <c r="K1574" s="1470">
        <v>43631</v>
      </c>
      <c r="L1574" s="1471"/>
      <c r="M1574" s="1472">
        <v>0</v>
      </c>
      <c r="N1574" s="1473">
        <v>1.5271587009481542</v>
      </c>
      <c r="O1574" s="1473"/>
    </row>
    <row r="1575" spans="11:15">
      <c r="K1575" s="1470">
        <v>43632</v>
      </c>
      <c r="L1575" s="1471"/>
      <c r="M1575" s="1472">
        <v>0</v>
      </c>
      <c r="N1575" s="1473">
        <v>1.5271587009481542</v>
      </c>
      <c r="O1575" s="1473"/>
    </row>
    <row r="1576" spans="11:15">
      <c r="K1576" s="1470">
        <v>43633</v>
      </c>
      <c r="L1576" s="1471" t="s">
        <v>2129</v>
      </c>
      <c r="M1576" s="1472">
        <v>2.462E-2</v>
      </c>
      <c r="N1576" s="1473">
        <v>1.5275346874203277</v>
      </c>
      <c r="O1576" s="1473"/>
    </row>
    <row r="1577" spans="11:15">
      <c r="K1577" s="1470">
        <v>43634</v>
      </c>
      <c r="L1577" s="1471" t="s">
        <v>2129</v>
      </c>
      <c r="M1577" s="1472">
        <v>2.462E-2</v>
      </c>
      <c r="N1577" s="1473">
        <v>1.5279107664603708</v>
      </c>
      <c r="O1577" s="1473"/>
    </row>
    <row r="1578" spans="11:15">
      <c r="K1578" s="1470">
        <v>43635</v>
      </c>
      <c r="L1578" s="1471" t="s">
        <v>2129</v>
      </c>
      <c r="M1578" s="1472">
        <v>2.462E-2</v>
      </c>
      <c r="N1578" s="1473">
        <v>1.5282869380910735</v>
      </c>
      <c r="O1578" s="1473"/>
    </row>
    <row r="1579" spans="11:15">
      <c r="K1579" s="1470">
        <v>43636</v>
      </c>
      <c r="L1579" s="1471"/>
      <c r="M1579" s="1472">
        <v>0</v>
      </c>
      <c r="N1579" s="1473">
        <v>1.5282869380910735</v>
      </c>
      <c r="O1579" s="1473"/>
    </row>
    <row r="1580" spans="11:15">
      <c r="K1580" s="1470">
        <v>43637</v>
      </c>
      <c r="L1580" s="1471" t="s">
        <v>2129</v>
      </c>
      <c r="M1580" s="1472">
        <v>2.462E-2</v>
      </c>
      <c r="N1580" s="1473">
        <v>1.5286632023352316</v>
      </c>
      <c r="O1580" s="1473"/>
    </row>
    <row r="1581" spans="11:15">
      <c r="K1581" s="1470">
        <v>43638</v>
      </c>
      <c r="L1581" s="1471"/>
      <c r="M1581" s="1472">
        <v>0</v>
      </c>
      <c r="N1581" s="1473">
        <v>1.5286632023352316</v>
      </c>
      <c r="O1581" s="1473"/>
    </row>
    <row r="1582" spans="11:15">
      <c r="K1582" s="1470">
        <v>43639</v>
      </c>
      <c r="L1582" s="1471"/>
      <c r="M1582" s="1472">
        <v>0</v>
      </c>
      <c r="N1582" s="1473">
        <v>1.5286632023352316</v>
      </c>
      <c r="O1582" s="1473"/>
    </row>
    <row r="1583" spans="11:15">
      <c r="K1583" s="1470">
        <v>43640</v>
      </c>
      <c r="L1583" s="1471" t="s">
        <v>2129</v>
      </c>
      <c r="M1583" s="1472">
        <v>2.462E-2</v>
      </c>
      <c r="N1583" s="1473">
        <v>1.5290395592156467</v>
      </c>
      <c r="O1583" s="1473"/>
    </row>
    <row r="1584" spans="11:15">
      <c r="K1584" s="1470">
        <v>43641</v>
      </c>
      <c r="L1584" s="1471" t="s">
        <v>2129</v>
      </c>
      <c r="M1584" s="1472">
        <v>2.462E-2</v>
      </c>
      <c r="N1584" s="1473">
        <v>1.5294160087551258</v>
      </c>
      <c r="O1584" s="1473"/>
    </row>
    <row r="1585" spans="11:15">
      <c r="K1585" s="1470">
        <v>43642</v>
      </c>
      <c r="L1585" s="1471" t="s">
        <v>2129</v>
      </c>
      <c r="M1585" s="1472">
        <v>2.462E-2</v>
      </c>
      <c r="N1585" s="1473">
        <v>1.5297925509764816</v>
      </c>
      <c r="O1585" s="1473"/>
    </row>
    <row r="1586" spans="11:15">
      <c r="K1586" s="1470">
        <v>43643</v>
      </c>
      <c r="L1586" s="1471" t="s">
        <v>2129</v>
      </c>
      <c r="M1586" s="1472">
        <v>2.462E-2</v>
      </c>
      <c r="N1586" s="1473">
        <v>1.5301691859025321</v>
      </c>
      <c r="O1586" s="1473"/>
    </row>
    <row r="1587" spans="11:15">
      <c r="K1587" s="1470">
        <v>43644</v>
      </c>
      <c r="L1587" s="1471" t="s">
        <v>2129</v>
      </c>
      <c r="M1587" s="1472">
        <v>2.462E-2</v>
      </c>
      <c r="N1587" s="1473">
        <v>1.5305459135561015</v>
      </c>
      <c r="O1587" s="1473"/>
    </row>
    <row r="1588" spans="11:15">
      <c r="K1588" s="1470">
        <v>43645</v>
      </c>
      <c r="L1588" s="1471"/>
      <c r="M1588" s="1472">
        <v>0</v>
      </c>
      <c r="N1588" s="1473">
        <v>1.5305459135561015</v>
      </c>
      <c r="O1588" s="1473"/>
    </row>
    <row r="1589" spans="11:15">
      <c r="K1589" s="1470">
        <v>43646</v>
      </c>
      <c r="L1589" s="1471"/>
      <c r="M1589" s="1472">
        <v>0</v>
      </c>
      <c r="N1589" s="1473">
        <v>1.5305459135561015</v>
      </c>
      <c r="O1589" s="1473"/>
    </row>
    <row r="1590" spans="11:15">
      <c r="K1590" s="1470">
        <v>43647</v>
      </c>
      <c r="L1590" s="1471" t="s">
        <v>2129</v>
      </c>
      <c r="M1590" s="1472">
        <v>2.462E-2</v>
      </c>
      <c r="N1590" s="1473">
        <v>1.5309227339600191</v>
      </c>
      <c r="O1590" s="1473"/>
    </row>
    <row r="1591" spans="11:15">
      <c r="K1591" s="1470">
        <v>43648</v>
      </c>
      <c r="L1591" s="1471" t="s">
        <v>2129</v>
      </c>
      <c r="M1591" s="1472">
        <v>2.462E-2</v>
      </c>
      <c r="N1591" s="1473">
        <v>1.5312996471371201</v>
      </c>
      <c r="O1591" s="1473"/>
    </row>
    <row r="1592" spans="11:15">
      <c r="K1592" s="1470">
        <v>43649</v>
      </c>
      <c r="L1592" s="1471" t="s">
        <v>2129</v>
      </c>
      <c r="M1592" s="1472">
        <v>2.462E-2</v>
      </c>
      <c r="N1592" s="1473">
        <v>1.5316766531102455</v>
      </c>
      <c r="O1592" s="1473"/>
    </row>
    <row r="1593" spans="11:15">
      <c r="K1593" s="1470">
        <v>43650</v>
      </c>
      <c r="L1593" s="1471" t="s">
        <v>2129</v>
      </c>
      <c r="M1593" s="1472">
        <v>2.462E-2</v>
      </c>
      <c r="N1593" s="1473">
        <v>1.5320537519022412</v>
      </c>
      <c r="O1593" s="1473"/>
    </row>
    <row r="1594" spans="11:15">
      <c r="K1594" s="1470">
        <v>43651</v>
      </c>
      <c r="L1594" s="1471" t="s">
        <v>2129</v>
      </c>
      <c r="M1594" s="1472">
        <v>2.462E-2</v>
      </c>
      <c r="N1594" s="1473">
        <v>1.5324309435359598</v>
      </c>
      <c r="O1594" s="1473"/>
    </row>
    <row r="1595" spans="11:15">
      <c r="K1595" s="1470">
        <v>43652</v>
      </c>
      <c r="L1595" s="1471"/>
      <c r="M1595" s="1472">
        <v>0</v>
      </c>
      <c r="N1595" s="1473">
        <v>1.5324309435359598</v>
      </c>
      <c r="O1595" s="1473"/>
    </row>
    <row r="1596" spans="11:15">
      <c r="K1596" s="1470">
        <v>43653</v>
      </c>
      <c r="L1596" s="1471"/>
      <c r="M1596" s="1472">
        <v>0</v>
      </c>
      <c r="N1596" s="1473">
        <v>1.5324309435359598</v>
      </c>
      <c r="O1596" s="1473"/>
    </row>
    <row r="1597" spans="11:15">
      <c r="K1597" s="1470">
        <v>43654</v>
      </c>
      <c r="L1597" s="1471" t="s">
        <v>2129</v>
      </c>
      <c r="M1597" s="1472">
        <v>2.462E-2</v>
      </c>
      <c r="N1597" s="1473">
        <v>1.5328082280342585</v>
      </c>
      <c r="O1597" s="1473"/>
    </row>
    <row r="1598" spans="11:15">
      <c r="K1598" s="1470">
        <v>43655</v>
      </c>
      <c r="L1598" s="1471" t="s">
        <v>2129</v>
      </c>
      <c r="M1598" s="1472">
        <v>2.462E-2</v>
      </c>
      <c r="N1598" s="1473">
        <v>1.5331856054200006</v>
      </c>
      <c r="O1598" s="1473"/>
    </row>
    <row r="1599" spans="11:15">
      <c r="K1599" s="1470">
        <v>43656</v>
      </c>
      <c r="L1599" s="1471" t="s">
        <v>2129</v>
      </c>
      <c r="M1599" s="1472">
        <v>2.462E-2</v>
      </c>
      <c r="N1599" s="1473">
        <v>1.5335630757160552</v>
      </c>
      <c r="O1599" s="1473"/>
    </row>
    <row r="1600" spans="11:15">
      <c r="K1600" s="1470">
        <v>43657</v>
      </c>
      <c r="L1600" s="1471" t="s">
        <v>2129</v>
      </c>
      <c r="M1600" s="1472">
        <v>2.462E-2</v>
      </c>
      <c r="N1600" s="1473">
        <v>1.5339406389452965</v>
      </c>
      <c r="O1600" s="1473"/>
    </row>
    <row r="1601" spans="11:15">
      <c r="K1601" s="1470">
        <v>43658</v>
      </c>
      <c r="L1601" s="1471" t="s">
        <v>2129</v>
      </c>
      <c r="M1601" s="1472">
        <v>2.462E-2</v>
      </c>
      <c r="N1601" s="1473">
        <v>1.5343182951306049</v>
      </c>
      <c r="O1601" s="1473"/>
    </row>
    <row r="1602" spans="11:15">
      <c r="K1602" s="1470">
        <v>43659</v>
      </c>
      <c r="L1602" s="1471"/>
      <c r="M1602" s="1472">
        <v>0</v>
      </c>
      <c r="N1602" s="1473">
        <v>1.5343182951306049</v>
      </c>
      <c r="O1602" s="1473"/>
    </row>
    <row r="1603" spans="11:15">
      <c r="K1603" s="1470">
        <v>43660</v>
      </c>
      <c r="L1603" s="1471"/>
      <c r="M1603" s="1472">
        <v>0</v>
      </c>
      <c r="N1603" s="1473">
        <v>1.5343182951306049</v>
      </c>
      <c r="O1603" s="1473"/>
    </row>
    <row r="1604" spans="11:15">
      <c r="K1604" s="1470">
        <v>43661</v>
      </c>
      <c r="L1604" s="1471" t="s">
        <v>2129</v>
      </c>
      <c r="M1604" s="1472">
        <v>2.462E-2</v>
      </c>
      <c r="N1604" s="1473">
        <v>1.5346960442948663</v>
      </c>
      <c r="O1604" s="1473"/>
    </row>
    <row r="1605" spans="11:15">
      <c r="K1605" s="1470">
        <v>43662</v>
      </c>
      <c r="L1605" s="1471" t="s">
        <v>2129</v>
      </c>
      <c r="M1605" s="1472">
        <v>2.462E-2</v>
      </c>
      <c r="N1605" s="1473">
        <v>1.5350738864609719</v>
      </c>
      <c r="O1605" s="1473"/>
    </row>
    <row r="1606" spans="11:15">
      <c r="K1606" s="1470">
        <v>43663</v>
      </c>
      <c r="L1606" s="1471" t="s">
        <v>2129</v>
      </c>
      <c r="M1606" s="1472">
        <v>2.462E-2</v>
      </c>
      <c r="N1606" s="1473">
        <v>1.5354518216518187</v>
      </c>
      <c r="O1606" s="1473"/>
    </row>
    <row r="1607" spans="11:15">
      <c r="K1607" s="1470">
        <v>43664</v>
      </c>
      <c r="L1607" s="1471" t="s">
        <v>2129</v>
      </c>
      <c r="M1607" s="1472">
        <v>2.462E-2</v>
      </c>
      <c r="N1607" s="1473">
        <v>1.5358298498903096</v>
      </c>
      <c r="O1607" s="1473"/>
    </row>
    <row r="1608" spans="11:15">
      <c r="K1608" s="1470">
        <v>43665</v>
      </c>
      <c r="L1608" s="1471" t="s">
        <v>2129</v>
      </c>
      <c r="M1608" s="1472">
        <v>2.462E-2</v>
      </c>
      <c r="N1608" s="1473">
        <v>1.5362079711993526</v>
      </c>
      <c r="O1608" s="1473"/>
    </row>
    <row r="1609" spans="11:15">
      <c r="K1609" s="1470">
        <v>43666</v>
      </c>
      <c r="L1609" s="1471"/>
      <c r="M1609" s="1472">
        <v>0</v>
      </c>
      <c r="N1609" s="1473">
        <v>1.5362079711993526</v>
      </c>
      <c r="O1609" s="1473"/>
    </row>
    <row r="1610" spans="11:15">
      <c r="K1610" s="1470">
        <v>43667</v>
      </c>
      <c r="L1610" s="1471"/>
      <c r="M1610" s="1472">
        <v>0</v>
      </c>
      <c r="N1610" s="1473">
        <v>1.5362079711993526</v>
      </c>
      <c r="O1610" s="1473"/>
    </row>
    <row r="1611" spans="11:15">
      <c r="K1611" s="1470">
        <v>43668</v>
      </c>
      <c r="L1611" s="1471" t="s">
        <v>2129</v>
      </c>
      <c r="M1611" s="1472">
        <v>2.462E-2</v>
      </c>
      <c r="N1611" s="1473">
        <v>1.5365861856018621</v>
      </c>
      <c r="O1611" s="1473"/>
    </row>
    <row r="1612" spans="11:15">
      <c r="K1612" s="1470">
        <v>43669</v>
      </c>
      <c r="L1612" s="1471" t="s">
        <v>2129</v>
      </c>
      <c r="M1612" s="1472">
        <v>2.462E-2</v>
      </c>
      <c r="N1612" s="1473">
        <v>1.5369644931207573</v>
      </c>
      <c r="O1612" s="1473"/>
    </row>
    <row r="1613" spans="11:15">
      <c r="K1613" s="1470">
        <v>43670</v>
      </c>
      <c r="L1613" s="1471" t="s">
        <v>2129</v>
      </c>
      <c r="M1613" s="1472">
        <v>2.462E-2</v>
      </c>
      <c r="N1613" s="1473">
        <v>1.5373428937789637</v>
      </c>
      <c r="O1613" s="1473"/>
    </row>
    <row r="1614" spans="11:15">
      <c r="K1614" s="1470">
        <v>43671</v>
      </c>
      <c r="L1614" s="1471" t="s">
        <v>2129</v>
      </c>
      <c r="M1614" s="1472">
        <v>2.462E-2</v>
      </c>
      <c r="N1614" s="1473">
        <v>1.5377213875994122</v>
      </c>
      <c r="O1614" s="1473"/>
    </row>
    <row r="1615" spans="11:15">
      <c r="K1615" s="1470">
        <v>43672</v>
      </c>
      <c r="L1615" s="1471" t="s">
        <v>2129</v>
      </c>
      <c r="M1615" s="1472">
        <v>2.462E-2</v>
      </c>
      <c r="N1615" s="1473">
        <v>1.5380999746050394</v>
      </c>
      <c r="O1615" s="1473"/>
    </row>
    <row r="1616" spans="11:15">
      <c r="K1616" s="1470">
        <v>43673</v>
      </c>
      <c r="L1616" s="1471"/>
      <c r="M1616" s="1472">
        <v>0</v>
      </c>
      <c r="N1616" s="1473">
        <v>1.5380999746050394</v>
      </c>
      <c r="O1616" s="1473"/>
    </row>
    <row r="1617" spans="11:15">
      <c r="K1617" s="1470">
        <v>43674</v>
      </c>
      <c r="L1617" s="1471"/>
      <c r="M1617" s="1472">
        <v>0</v>
      </c>
      <c r="N1617" s="1473">
        <v>1.5380999746050394</v>
      </c>
      <c r="O1617" s="1473"/>
    </row>
    <row r="1618" spans="11:15">
      <c r="K1618" s="1470">
        <v>43675</v>
      </c>
      <c r="L1618" s="1471" t="s">
        <v>2129</v>
      </c>
      <c r="M1618" s="1472">
        <v>2.462E-2</v>
      </c>
      <c r="N1618" s="1473">
        <v>1.5384786548187874</v>
      </c>
      <c r="O1618" s="1473"/>
    </row>
    <row r="1619" spans="11:15">
      <c r="K1619" s="1470">
        <v>43676</v>
      </c>
      <c r="L1619" s="1471" t="s">
        <v>2129</v>
      </c>
      <c r="M1619" s="1472">
        <v>2.462E-2</v>
      </c>
      <c r="N1619" s="1473">
        <v>1.5388574282636041</v>
      </c>
      <c r="O1619" s="1473"/>
    </row>
    <row r="1620" spans="11:15">
      <c r="K1620" s="1470">
        <v>43677</v>
      </c>
      <c r="L1620" s="1471" t="s">
        <v>2129</v>
      </c>
      <c r="M1620" s="1472">
        <v>2.462E-2</v>
      </c>
      <c r="N1620" s="1473">
        <v>1.5392362949624427</v>
      </c>
      <c r="O1620" s="1473"/>
    </row>
    <row r="1621" spans="11:15">
      <c r="K1621" s="1470">
        <v>43678</v>
      </c>
      <c r="L1621" s="1471" t="s">
        <v>2129</v>
      </c>
      <c r="M1621" s="1472">
        <v>2.2751E-2</v>
      </c>
      <c r="N1621" s="1473">
        <v>1.5395864866119096</v>
      </c>
      <c r="O1621" s="1473"/>
    </row>
    <row r="1622" spans="11:15">
      <c r="K1622" s="1470">
        <v>43679</v>
      </c>
      <c r="L1622" s="1471" t="s">
        <v>2129</v>
      </c>
      <c r="M1622" s="1472">
        <v>2.2751E-2</v>
      </c>
      <c r="N1622" s="1473">
        <v>1.5399367579334786</v>
      </c>
      <c r="O1622" s="1473"/>
    </row>
    <row r="1623" spans="11:15">
      <c r="K1623" s="1470">
        <v>43680</v>
      </c>
      <c r="L1623" s="1471"/>
      <c r="M1623" s="1472">
        <v>0</v>
      </c>
      <c r="N1623" s="1473">
        <v>1.5399367579334786</v>
      </c>
      <c r="O1623" s="1473"/>
    </row>
    <row r="1624" spans="11:15">
      <c r="K1624" s="1470">
        <v>43681</v>
      </c>
      <c r="L1624" s="1471"/>
      <c r="M1624" s="1472">
        <v>0</v>
      </c>
      <c r="N1624" s="1473">
        <v>1.5399367579334786</v>
      </c>
      <c r="O1624" s="1473"/>
    </row>
    <row r="1625" spans="11:15">
      <c r="K1625" s="1470">
        <v>43682</v>
      </c>
      <c r="L1625" s="1471" t="s">
        <v>2129</v>
      </c>
      <c r="M1625" s="1472">
        <v>2.2751E-2</v>
      </c>
      <c r="N1625" s="1473">
        <v>1.5402871089452761</v>
      </c>
      <c r="O1625" s="1473"/>
    </row>
    <row r="1626" spans="11:15">
      <c r="K1626" s="1470">
        <v>43683</v>
      </c>
      <c r="L1626" s="1471" t="s">
        <v>2129</v>
      </c>
      <c r="M1626" s="1472">
        <v>2.2751E-2</v>
      </c>
      <c r="N1626" s="1473">
        <v>1.5406375396654322</v>
      </c>
      <c r="O1626" s="1473"/>
    </row>
    <row r="1627" spans="11:15">
      <c r="K1627" s="1470">
        <v>43684</v>
      </c>
      <c r="L1627" s="1471" t="s">
        <v>2129</v>
      </c>
      <c r="M1627" s="1472">
        <v>2.2751E-2</v>
      </c>
      <c r="N1627" s="1473">
        <v>1.5409880501120814</v>
      </c>
      <c r="O1627" s="1473"/>
    </row>
    <row r="1628" spans="11:15">
      <c r="K1628" s="1470">
        <v>43685</v>
      </c>
      <c r="L1628" s="1471" t="s">
        <v>2129</v>
      </c>
      <c r="M1628" s="1472">
        <v>2.2751E-2</v>
      </c>
      <c r="N1628" s="1473">
        <v>1.5413386403033624</v>
      </c>
      <c r="O1628" s="1473"/>
    </row>
    <row r="1629" spans="11:15">
      <c r="K1629" s="1470">
        <v>43686</v>
      </c>
      <c r="L1629" s="1471" t="s">
        <v>2129</v>
      </c>
      <c r="M1629" s="1472">
        <v>2.2751E-2</v>
      </c>
      <c r="N1629" s="1473">
        <v>1.5416893102574178</v>
      </c>
      <c r="O1629" s="1473"/>
    </row>
    <row r="1630" spans="11:15">
      <c r="K1630" s="1470">
        <v>43687</v>
      </c>
      <c r="L1630" s="1471"/>
      <c r="M1630" s="1472">
        <v>0</v>
      </c>
      <c r="N1630" s="1473">
        <v>1.5416893102574178</v>
      </c>
      <c r="O1630" s="1473"/>
    </row>
    <row r="1631" spans="11:15">
      <c r="K1631" s="1470">
        <v>43688</v>
      </c>
      <c r="L1631" s="1471"/>
      <c r="M1631" s="1472">
        <v>0</v>
      </c>
      <c r="N1631" s="1473">
        <v>1.5416893102574178</v>
      </c>
      <c r="O1631" s="1473"/>
    </row>
    <row r="1632" spans="11:15">
      <c r="K1632" s="1470">
        <v>43689</v>
      </c>
      <c r="L1632" s="1471" t="s">
        <v>2129</v>
      </c>
      <c r="M1632" s="1472">
        <v>2.2751E-2</v>
      </c>
      <c r="N1632" s="1473">
        <v>1.5420400599923945</v>
      </c>
      <c r="O1632" s="1473"/>
    </row>
    <row r="1633" spans="11:15">
      <c r="K1633" s="1470">
        <v>43690</v>
      </c>
      <c r="L1633" s="1471" t="s">
        <v>2129</v>
      </c>
      <c r="M1633" s="1472">
        <v>2.2751E-2</v>
      </c>
      <c r="N1633" s="1473">
        <v>1.5423908895264433</v>
      </c>
      <c r="O1633" s="1473"/>
    </row>
    <row r="1634" spans="11:15">
      <c r="K1634" s="1470">
        <v>43691</v>
      </c>
      <c r="L1634" s="1471" t="s">
        <v>2129</v>
      </c>
      <c r="M1634" s="1472">
        <v>2.2751E-2</v>
      </c>
      <c r="N1634" s="1473">
        <v>1.5427417988777195</v>
      </c>
      <c r="O1634" s="1473"/>
    </row>
    <row r="1635" spans="11:15">
      <c r="K1635" s="1470">
        <v>43692</v>
      </c>
      <c r="L1635" s="1471" t="s">
        <v>2129</v>
      </c>
      <c r="M1635" s="1472">
        <v>2.2751E-2</v>
      </c>
      <c r="N1635" s="1473">
        <v>1.5430927880643821</v>
      </c>
      <c r="O1635" s="1473"/>
    </row>
    <row r="1636" spans="11:15">
      <c r="K1636" s="1470">
        <v>43693</v>
      </c>
      <c r="L1636" s="1471" t="s">
        <v>2129</v>
      </c>
      <c r="M1636" s="1472">
        <v>2.2751E-2</v>
      </c>
      <c r="N1636" s="1473">
        <v>1.5434438571045945</v>
      </c>
      <c r="O1636" s="1473"/>
    </row>
    <row r="1637" spans="11:15">
      <c r="K1637" s="1470">
        <v>43694</v>
      </c>
      <c r="L1637" s="1471"/>
      <c r="M1637" s="1472">
        <v>0</v>
      </c>
      <c r="N1637" s="1473">
        <v>1.5434438571045945</v>
      </c>
      <c r="O1637" s="1473"/>
    </row>
    <row r="1638" spans="11:15">
      <c r="K1638" s="1470">
        <v>43695</v>
      </c>
      <c r="L1638" s="1471"/>
      <c r="M1638" s="1472">
        <v>0</v>
      </c>
      <c r="N1638" s="1473">
        <v>1.5434438571045945</v>
      </c>
      <c r="O1638" s="1473"/>
    </row>
    <row r="1639" spans="11:15">
      <c r="K1639" s="1470">
        <v>43696</v>
      </c>
      <c r="L1639" s="1471" t="s">
        <v>2129</v>
      </c>
      <c r="M1639" s="1472">
        <v>2.2751E-2</v>
      </c>
      <c r="N1639" s="1473">
        <v>1.5437950060165244</v>
      </c>
      <c r="O1639" s="1473"/>
    </row>
    <row r="1640" spans="11:15">
      <c r="K1640" s="1470">
        <v>43697</v>
      </c>
      <c r="L1640" s="1471" t="s">
        <v>2129</v>
      </c>
      <c r="M1640" s="1472">
        <v>2.2751E-2</v>
      </c>
      <c r="N1640" s="1473">
        <v>1.5441462348183432</v>
      </c>
      <c r="O1640" s="1473"/>
    </row>
    <row r="1641" spans="11:15">
      <c r="K1641" s="1470">
        <v>43698</v>
      </c>
      <c r="L1641" s="1471" t="s">
        <v>2129</v>
      </c>
      <c r="M1641" s="1472">
        <v>2.2751E-2</v>
      </c>
      <c r="N1641" s="1473">
        <v>1.5444975435282267</v>
      </c>
      <c r="O1641" s="1473"/>
    </row>
    <row r="1642" spans="11:15">
      <c r="K1642" s="1470">
        <v>43699</v>
      </c>
      <c r="L1642" s="1471" t="s">
        <v>2129</v>
      </c>
      <c r="M1642" s="1472">
        <v>2.2751E-2</v>
      </c>
      <c r="N1642" s="1473">
        <v>1.5448489321643548</v>
      </c>
      <c r="O1642" s="1473"/>
    </row>
    <row r="1643" spans="11:15">
      <c r="K1643" s="1470">
        <v>43700</v>
      </c>
      <c r="L1643" s="1471" t="s">
        <v>2129</v>
      </c>
      <c r="M1643" s="1472">
        <v>2.2751E-2</v>
      </c>
      <c r="N1643" s="1473">
        <v>1.5452004007449116</v>
      </c>
      <c r="O1643" s="1473"/>
    </row>
    <row r="1644" spans="11:15">
      <c r="K1644" s="1470">
        <v>43701</v>
      </c>
      <c r="L1644" s="1471"/>
      <c r="M1644" s="1472">
        <v>0</v>
      </c>
      <c r="N1644" s="1473">
        <v>1.5452004007449116</v>
      </c>
      <c r="O1644" s="1473"/>
    </row>
    <row r="1645" spans="11:15">
      <c r="K1645" s="1470">
        <v>43702</v>
      </c>
      <c r="L1645" s="1471"/>
      <c r="M1645" s="1472">
        <v>0</v>
      </c>
      <c r="N1645" s="1473">
        <v>1.5452004007449116</v>
      </c>
      <c r="O1645" s="1473"/>
    </row>
    <row r="1646" spans="11:15">
      <c r="K1646" s="1470">
        <v>43703</v>
      </c>
      <c r="L1646" s="1471" t="s">
        <v>2129</v>
      </c>
      <c r="M1646" s="1472">
        <v>2.2751E-2</v>
      </c>
      <c r="N1646" s="1473">
        <v>1.5455519492880851</v>
      </c>
      <c r="O1646" s="1473"/>
    </row>
    <row r="1647" spans="11:15">
      <c r="K1647" s="1470">
        <v>43704</v>
      </c>
      <c r="L1647" s="1471" t="s">
        <v>2129</v>
      </c>
      <c r="M1647" s="1472">
        <v>2.2751E-2</v>
      </c>
      <c r="N1647" s="1473">
        <v>1.5459035778120676</v>
      </c>
      <c r="O1647" s="1473"/>
    </row>
    <row r="1648" spans="11:15">
      <c r="K1648" s="1470">
        <v>43705</v>
      </c>
      <c r="L1648" s="1471" t="s">
        <v>2129</v>
      </c>
      <c r="M1648" s="1472">
        <v>2.2751E-2</v>
      </c>
      <c r="N1648" s="1473">
        <v>1.5462552863350556</v>
      </c>
      <c r="O1648" s="1473"/>
    </row>
    <row r="1649" spans="11:15">
      <c r="K1649" s="1470">
        <v>43706</v>
      </c>
      <c r="L1649" s="1471" t="s">
        <v>2129</v>
      </c>
      <c r="M1649" s="1472">
        <v>2.2751E-2</v>
      </c>
      <c r="N1649" s="1473">
        <v>1.5466070748752496</v>
      </c>
      <c r="O1649" s="1473"/>
    </row>
    <row r="1650" spans="11:15">
      <c r="K1650" s="1470">
        <v>43707</v>
      </c>
      <c r="L1650" s="1471" t="s">
        <v>2129</v>
      </c>
      <c r="M1650" s="1472">
        <v>2.2751E-2</v>
      </c>
      <c r="N1650" s="1473">
        <v>1.5469589434508544</v>
      </c>
      <c r="O1650" s="1473"/>
    </row>
    <row r="1651" spans="11:15">
      <c r="K1651" s="1470">
        <v>43708</v>
      </c>
      <c r="L1651" s="1471"/>
      <c r="M1651" s="1472">
        <v>0</v>
      </c>
      <c r="N1651" s="1473">
        <v>1.5469589434508544</v>
      </c>
      <c r="O1651" s="1473"/>
    </row>
    <row r="1652" spans="11:15">
      <c r="K1652" s="1470">
        <v>43709</v>
      </c>
      <c r="L1652" s="1471"/>
      <c r="M1652" s="1472">
        <v>0</v>
      </c>
      <c r="N1652" s="1473">
        <v>1.5469589434508544</v>
      </c>
      <c r="O1652" s="1473"/>
    </row>
    <row r="1653" spans="11:15">
      <c r="K1653" s="1470">
        <v>43710</v>
      </c>
      <c r="L1653" s="1471" t="s">
        <v>2129</v>
      </c>
      <c r="M1653" s="1472">
        <v>2.2751E-2</v>
      </c>
      <c r="N1653" s="1473">
        <v>1.5473108920800789</v>
      </c>
      <c r="O1653" s="1473"/>
    </row>
    <row r="1654" spans="11:15">
      <c r="K1654" s="1470">
        <v>43711</v>
      </c>
      <c r="L1654" s="1471" t="s">
        <v>2129</v>
      </c>
      <c r="M1654" s="1472">
        <v>2.2751E-2</v>
      </c>
      <c r="N1654" s="1473">
        <v>1.5476629207811361</v>
      </c>
      <c r="O1654" s="1473"/>
    </row>
    <row r="1655" spans="11:15">
      <c r="K1655" s="1470">
        <v>43712</v>
      </c>
      <c r="L1655" s="1471" t="s">
        <v>2129</v>
      </c>
      <c r="M1655" s="1472">
        <v>2.2751E-2</v>
      </c>
      <c r="N1655" s="1473">
        <v>1.548015029572243</v>
      </c>
      <c r="O1655" s="1473"/>
    </row>
    <row r="1656" spans="11:15">
      <c r="K1656" s="1470">
        <v>43713</v>
      </c>
      <c r="L1656" s="1471" t="s">
        <v>2129</v>
      </c>
      <c r="M1656" s="1472">
        <v>2.2751E-2</v>
      </c>
      <c r="N1656" s="1473">
        <v>1.5483672184716211</v>
      </c>
      <c r="O1656" s="1473"/>
    </row>
    <row r="1657" spans="11:15">
      <c r="K1657" s="1470">
        <v>43714</v>
      </c>
      <c r="L1657" s="1471" t="s">
        <v>2129</v>
      </c>
      <c r="M1657" s="1472">
        <v>2.2751E-2</v>
      </c>
      <c r="N1657" s="1473">
        <v>1.5487194874974954</v>
      </c>
      <c r="O1657" s="1473"/>
    </row>
    <row r="1658" spans="11:15">
      <c r="K1658" s="1470">
        <v>43715</v>
      </c>
      <c r="L1658" s="1471"/>
      <c r="M1658" s="1472">
        <v>0</v>
      </c>
      <c r="N1658" s="1473">
        <v>1.5487194874974954</v>
      </c>
      <c r="O1658" s="1473"/>
    </row>
    <row r="1659" spans="11:15">
      <c r="K1659" s="1470">
        <v>43716</v>
      </c>
      <c r="L1659" s="1471"/>
      <c r="M1659" s="1472">
        <v>0</v>
      </c>
      <c r="N1659" s="1473">
        <v>1.5487194874974954</v>
      </c>
      <c r="O1659" s="1473"/>
    </row>
    <row r="1660" spans="11:15">
      <c r="K1660" s="1470">
        <v>43717</v>
      </c>
      <c r="L1660" s="1471" t="s">
        <v>2129</v>
      </c>
      <c r="M1660" s="1472">
        <v>2.2751E-2</v>
      </c>
      <c r="N1660" s="1473">
        <v>1.549071836668096</v>
      </c>
      <c r="O1660" s="1473"/>
    </row>
    <row r="1661" spans="11:15">
      <c r="K1661" s="1470">
        <v>43718</v>
      </c>
      <c r="L1661" s="1471" t="s">
        <v>2129</v>
      </c>
      <c r="M1661" s="1472">
        <v>2.2751E-2</v>
      </c>
      <c r="N1661" s="1473">
        <v>1.5494242660016564</v>
      </c>
      <c r="O1661" s="1473"/>
    </row>
    <row r="1662" spans="11:15">
      <c r="K1662" s="1470">
        <v>43719</v>
      </c>
      <c r="L1662" s="1471" t="s">
        <v>2129</v>
      </c>
      <c r="M1662" s="1472">
        <v>2.2751E-2</v>
      </c>
      <c r="N1662" s="1473">
        <v>1.5497767755164145</v>
      </c>
      <c r="O1662" s="1473"/>
    </row>
    <row r="1663" spans="11:15">
      <c r="K1663" s="1470">
        <v>43720</v>
      </c>
      <c r="L1663" s="1471" t="s">
        <v>2129</v>
      </c>
      <c r="M1663" s="1472">
        <v>2.2751E-2</v>
      </c>
      <c r="N1663" s="1473">
        <v>1.5501293652306123</v>
      </c>
      <c r="O1663" s="1473"/>
    </row>
    <row r="1664" spans="11:15">
      <c r="K1664" s="1470">
        <v>43721</v>
      </c>
      <c r="L1664" s="1471" t="s">
        <v>2129</v>
      </c>
      <c r="M1664" s="1472">
        <v>2.2751E-2</v>
      </c>
      <c r="N1664" s="1473">
        <v>1.5504820351624959</v>
      </c>
      <c r="O1664" s="1473"/>
    </row>
    <row r="1665" spans="11:15">
      <c r="K1665" s="1470">
        <v>43722</v>
      </c>
      <c r="L1665" s="1471"/>
      <c r="M1665" s="1472">
        <v>0</v>
      </c>
      <c r="N1665" s="1473">
        <v>1.5504820351624959</v>
      </c>
      <c r="O1665" s="1473"/>
    </row>
    <row r="1666" spans="11:15">
      <c r="K1666" s="1470">
        <v>43723</v>
      </c>
      <c r="L1666" s="1471"/>
      <c r="M1666" s="1472">
        <v>0</v>
      </c>
      <c r="N1666" s="1473">
        <v>1.5504820351624959</v>
      </c>
      <c r="O1666" s="1473"/>
    </row>
    <row r="1667" spans="11:15">
      <c r="K1667" s="1470">
        <v>43724</v>
      </c>
      <c r="L1667" s="1471" t="s">
        <v>2129</v>
      </c>
      <c r="M1667" s="1472">
        <v>2.2751E-2</v>
      </c>
      <c r="N1667" s="1473">
        <v>1.5508347853303157</v>
      </c>
      <c r="O1667" s="1473"/>
    </row>
    <row r="1668" spans="11:15">
      <c r="K1668" s="1470">
        <v>43725</v>
      </c>
      <c r="L1668" s="1471" t="s">
        <v>2129</v>
      </c>
      <c r="M1668" s="1472">
        <v>2.2751E-2</v>
      </c>
      <c r="N1668" s="1473">
        <v>1.5511876157523261</v>
      </c>
      <c r="O1668" s="1473"/>
    </row>
    <row r="1669" spans="11:15">
      <c r="K1669" s="1470">
        <v>43726</v>
      </c>
      <c r="L1669" s="1471" t="s">
        <v>2129</v>
      </c>
      <c r="M1669" s="1472">
        <v>2.2751E-2</v>
      </c>
      <c r="N1669" s="1473">
        <v>1.5515405264467859</v>
      </c>
      <c r="O1669" s="1473"/>
    </row>
    <row r="1670" spans="11:15">
      <c r="K1670" s="1470">
        <v>43727</v>
      </c>
      <c r="L1670" s="1471" t="s">
        <v>2129</v>
      </c>
      <c r="M1670" s="1472">
        <v>2.0872000000000002E-2</v>
      </c>
      <c r="N1670" s="1473">
        <v>1.5518643639854659</v>
      </c>
      <c r="O1670" s="1473"/>
    </row>
    <row r="1671" spans="11:15">
      <c r="K1671" s="1470">
        <v>43728</v>
      </c>
      <c r="L1671" s="1471" t="s">
        <v>2129</v>
      </c>
      <c r="M1671" s="1472">
        <v>2.0872000000000002E-2</v>
      </c>
      <c r="N1671" s="1473">
        <v>1.5521882691155171</v>
      </c>
      <c r="O1671" s="1473"/>
    </row>
    <row r="1672" spans="11:15">
      <c r="K1672" s="1470">
        <v>43729</v>
      </c>
      <c r="L1672" s="1471"/>
      <c r="M1672" s="1472">
        <v>0</v>
      </c>
      <c r="N1672" s="1473">
        <v>1.5521882691155171</v>
      </c>
      <c r="O1672" s="1473"/>
    </row>
    <row r="1673" spans="11:15">
      <c r="K1673" s="1470">
        <v>43730</v>
      </c>
      <c r="L1673" s="1471"/>
      <c r="M1673" s="1472">
        <v>0</v>
      </c>
      <c r="N1673" s="1473">
        <v>1.5521882691155171</v>
      </c>
      <c r="O1673" s="1473"/>
    </row>
    <row r="1674" spans="11:15">
      <c r="K1674" s="1470">
        <v>43731</v>
      </c>
      <c r="L1674" s="1471" t="s">
        <v>2129</v>
      </c>
      <c r="M1674" s="1472">
        <v>2.0872000000000002E-2</v>
      </c>
      <c r="N1674" s="1473">
        <v>1.5525122418510471</v>
      </c>
      <c r="O1674" s="1473"/>
    </row>
    <row r="1675" spans="11:15">
      <c r="K1675" s="1470">
        <v>43732</v>
      </c>
      <c r="L1675" s="1471" t="s">
        <v>2129</v>
      </c>
      <c r="M1675" s="1472">
        <v>2.0872000000000002E-2</v>
      </c>
      <c r="N1675" s="1473">
        <v>1.5528362822061663</v>
      </c>
      <c r="O1675" s="1473"/>
    </row>
    <row r="1676" spans="11:15">
      <c r="K1676" s="1470">
        <v>43733</v>
      </c>
      <c r="L1676" s="1471" t="s">
        <v>2129</v>
      </c>
      <c r="M1676" s="1472">
        <v>2.0872000000000002E-2</v>
      </c>
      <c r="N1676" s="1473">
        <v>1.5531603901949884</v>
      </c>
      <c r="O1676" s="1473"/>
    </row>
    <row r="1677" spans="11:15">
      <c r="K1677" s="1470">
        <v>43734</v>
      </c>
      <c r="L1677" s="1471" t="s">
        <v>2129</v>
      </c>
      <c r="M1677" s="1472">
        <v>2.0872000000000002E-2</v>
      </c>
      <c r="N1677" s="1473">
        <v>1.5534845658316301</v>
      </c>
      <c r="O1677" s="1473"/>
    </row>
    <row r="1678" spans="11:15">
      <c r="K1678" s="1470">
        <v>43735</v>
      </c>
      <c r="L1678" s="1471" t="s">
        <v>2129</v>
      </c>
      <c r="M1678" s="1472">
        <v>2.0872000000000002E-2</v>
      </c>
      <c r="N1678" s="1473">
        <v>1.5538088091302105</v>
      </c>
      <c r="O1678" s="1473"/>
    </row>
    <row r="1679" spans="11:15">
      <c r="K1679" s="1470">
        <v>43736</v>
      </c>
      <c r="L1679" s="1471"/>
      <c r="M1679" s="1472">
        <v>0</v>
      </c>
      <c r="N1679" s="1473">
        <v>1.5538088091302105</v>
      </c>
      <c r="O1679" s="1473"/>
    </row>
    <row r="1680" spans="11:15">
      <c r="K1680" s="1470">
        <v>43737</v>
      </c>
      <c r="L1680" s="1471"/>
      <c r="M1680" s="1472">
        <v>0</v>
      </c>
      <c r="N1680" s="1473">
        <v>1.5538088091302105</v>
      </c>
      <c r="O1680" s="1473"/>
    </row>
    <row r="1681" spans="11:15">
      <c r="K1681" s="1470">
        <v>43738</v>
      </c>
      <c r="L1681" s="1471" t="s">
        <v>2129</v>
      </c>
      <c r="M1681" s="1472">
        <v>2.0872000000000002E-2</v>
      </c>
      <c r="N1681" s="1473">
        <v>1.5541331201048523</v>
      </c>
      <c r="O1681" s="1473"/>
    </row>
    <row r="1682" spans="11:15">
      <c r="K1682" s="1470">
        <v>43739</v>
      </c>
      <c r="L1682" s="1471" t="s">
        <v>2129</v>
      </c>
      <c r="M1682" s="1472">
        <v>2.0872000000000002E-2</v>
      </c>
      <c r="N1682" s="1473">
        <v>1.5544574987696806</v>
      </c>
      <c r="O1682" s="1473"/>
    </row>
    <row r="1683" spans="11:15">
      <c r="K1683" s="1470">
        <v>43740</v>
      </c>
      <c r="L1683" s="1471" t="s">
        <v>2129</v>
      </c>
      <c r="M1683" s="1472">
        <v>2.0872000000000002E-2</v>
      </c>
      <c r="N1683" s="1473">
        <v>1.5547819451388238</v>
      </c>
      <c r="O1683" s="1473"/>
    </row>
    <row r="1684" spans="11:15">
      <c r="K1684" s="1470">
        <v>43741</v>
      </c>
      <c r="L1684" s="1471" t="s">
        <v>2129</v>
      </c>
      <c r="M1684" s="1472">
        <v>2.0872000000000002E-2</v>
      </c>
      <c r="N1684" s="1473">
        <v>1.5551064592264132</v>
      </c>
      <c r="O1684" s="1473"/>
    </row>
    <row r="1685" spans="11:15">
      <c r="K1685" s="1470">
        <v>43742</v>
      </c>
      <c r="L1685" s="1471" t="s">
        <v>2129</v>
      </c>
      <c r="M1685" s="1472">
        <v>2.0872000000000002E-2</v>
      </c>
      <c r="N1685" s="1473">
        <v>1.555431041046583</v>
      </c>
      <c r="O1685" s="1473"/>
    </row>
    <row r="1686" spans="11:15">
      <c r="K1686" s="1470">
        <v>43743</v>
      </c>
      <c r="L1686" s="1471"/>
      <c r="M1686" s="1472">
        <v>0</v>
      </c>
      <c r="N1686" s="1473">
        <v>1.555431041046583</v>
      </c>
      <c r="O1686" s="1473"/>
    </row>
    <row r="1687" spans="11:15">
      <c r="K1687" s="1470">
        <v>43744</v>
      </c>
      <c r="L1687" s="1471"/>
      <c r="M1687" s="1472">
        <v>0</v>
      </c>
      <c r="N1687" s="1473">
        <v>1.555431041046583</v>
      </c>
      <c r="O1687" s="1473"/>
    </row>
    <row r="1688" spans="11:15">
      <c r="K1688" s="1470">
        <v>43745</v>
      </c>
      <c r="L1688" s="1471" t="s">
        <v>2129</v>
      </c>
      <c r="M1688" s="1472">
        <v>2.0872000000000002E-2</v>
      </c>
      <c r="N1688" s="1473">
        <v>1.5557556906134704</v>
      </c>
      <c r="O1688" s="1473"/>
    </row>
    <row r="1689" spans="11:15">
      <c r="K1689" s="1470">
        <v>43746</v>
      </c>
      <c r="L1689" s="1471" t="s">
        <v>2129</v>
      </c>
      <c r="M1689" s="1472">
        <v>2.0872000000000002E-2</v>
      </c>
      <c r="N1689" s="1473">
        <v>1.5560804079412154</v>
      </c>
      <c r="O1689" s="1473"/>
    </row>
    <row r="1690" spans="11:15">
      <c r="K1690" s="1470">
        <v>43747</v>
      </c>
      <c r="L1690" s="1471" t="s">
        <v>2129</v>
      </c>
      <c r="M1690" s="1472">
        <v>2.0872000000000002E-2</v>
      </c>
      <c r="N1690" s="1473">
        <v>1.5564051930439609</v>
      </c>
      <c r="O1690" s="1473"/>
    </row>
    <row r="1691" spans="11:15">
      <c r="K1691" s="1470">
        <v>43748</v>
      </c>
      <c r="L1691" s="1471" t="s">
        <v>2129</v>
      </c>
      <c r="M1691" s="1472">
        <v>2.0872000000000002E-2</v>
      </c>
      <c r="N1691" s="1473">
        <v>1.5567300459358531</v>
      </c>
      <c r="O1691" s="1473"/>
    </row>
    <row r="1692" spans="11:15">
      <c r="K1692" s="1470">
        <v>43749</v>
      </c>
      <c r="L1692" s="1471" t="s">
        <v>2129</v>
      </c>
      <c r="M1692" s="1472">
        <v>2.0872000000000002E-2</v>
      </c>
      <c r="N1692" s="1473">
        <v>1.5570549666310409</v>
      </c>
      <c r="O1692" s="1473"/>
    </row>
    <row r="1693" spans="11:15">
      <c r="K1693" s="1470">
        <v>43750</v>
      </c>
      <c r="L1693" s="1471"/>
      <c r="M1693" s="1472">
        <v>0</v>
      </c>
      <c r="N1693" s="1473">
        <v>1.5570549666310409</v>
      </c>
      <c r="O1693" s="1473"/>
    </row>
    <row r="1694" spans="11:15">
      <c r="K1694" s="1470">
        <v>43751</v>
      </c>
      <c r="L1694" s="1471"/>
      <c r="M1694" s="1472">
        <v>0</v>
      </c>
      <c r="N1694" s="1473">
        <v>1.5570549666310409</v>
      </c>
      <c r="O1694" s="1473"/>
    </row>
    <row r="1695" spans="11:15">
      <c r="K1695" s="1470">
        <v>43752</v>
      </c>
      <c r="L1695" s="1471" t="s">
        <v>2129</v>
      </c>
      <c r="M1695" s="1472">
        <v>2.0872000000000002E-2</v>
      </c>
      <c r="N1695" s="1473">
        <v>1.5573799551436762</v>
      </c>
      <c r="O1695" s="1473"/>
    </row>
    <row r="1696" spans="11:15">
      <c r="K1696" s="1470">
        <v>43753</v>
      </c>
      <c r="L1696" s="1471" t="s">
        <v>2129</v>
      </c>
      <c r="M1696" s="1472">
        <v>2.0872000000000002E-2</v>
      </c>
      <c r="N1696" s="1473">
        <v>1.5577050114879138</v>
      </c>
      <c r="O1696" s="1473"/>
    </row>
    <row r="1697" spans="11:15">
      <c r="K1697" s="1470">
        <v>43754</v>
      </c>
      <c r="L1697" s="1471" t="s">
        <v>2129</v>
      </c>
      <c r="M1697" s="1472">
        <v>2.0872000000000002E-2</v>
      </c>
      <c r="N1697" s="1473">
        <v>1.5580301356779116</v>
      </c>
      <c r="O1697" s="1473"/>
    </row>
    <row r="1698" spans="11:15">
      <c r="K1698" s="1470">
        <v>43755</v>
      </c>
      <c r="L1698" s="1471" t="s">
        <v>2129</v>
      </c>
      <c r="M1698" s="1472">
        <v>2.0872000000000002E-2</v>
      </c>
      <c r="N1698" s="1473">
        <v>1.5583553277278304</v>
      </c>
      <c r="O1698" s="1473"/>
    </row>
    <row r="1699" spans="11:15">
      <c r="K1699" s="1470">
        <v>43756</v>
      </c>
      <c r="L1699" s="1471" t="s">
        <v>2129</v>
      </c>
      <c r="M1699" s="1472">
        <v>2.0872000000000002E-2</v>
      </c>
      <c r="N1699" s="1473">
        <v>1.5586805876518337</v>
      </c>
      <c r="O1699" s="1473"/>
    </row>
    <row r="1700" spans="11:15">
      <c r="K1700" s="1470">
        <v>43757</v>
      </c>
      <c r="L1700" s="1471"/>
      <c r="M1700" s="1472">
        <v>0</v>
      </c>
      <c r="N1700" s="1473">
        <v>1.5586805876518337</v>
      </c>
      <c r="O1700" s="1473"/>
    </row>
    <row r="1701" spans="11:15">
      <c r="K1701" s="1470">
        <v>43758</v>
      </c>
      <c r="L1701" s="1471"/>
      <c r="M1701" s="1472">
        <v>0</v>
      </c>
      <c r="N1701" s="1473">
        <v>1.5586805876518337</v>
      </c>
      <c r="O1701" s="1473"/>
    </row>
    <row r="1702" spans="11:15">
      <c r="K1702" s="1470">
        <v>43759</v>
      </c>
      <c r="L1702" s="1471" t="s">
        <v>2129</v>
      </c>
      <c r="M1702" s="1472">
        <v>2.0872000000000002E-2</v>
      </c>
      <c r="N1702" s="1473">
        <v>1.5590059154640885</v>
      </c>
      <c r="O1702" s="1473"/>
    </row>
    <row r="1703" spans="11:15">
      <c r="K1703" s="1470">
        <v>43760</v>
      </c>
      <c r="L1703" s="1471" t="s">
        <v>2129</v>
      </c>
      <c r="M1703" s="1472">
        <v>2.0872000000000002E-2</v>
      </c>
      <c r="N1703" s="1473">
        <v>1.5593313111787643</v>
      </c>
      <c r="O1703" s="1473"/>
    </row>
    <row r="1704" spans="11:15">
      <c r="K1704" s="1470">
        <v>43761</v>
      </c>
      <c r="L1704" s="1471" t="s">
        <v>2129</v>
      </c>
      <c r="M1704" s="1472">
        <v>2.0872000000000002E-2</v>
      </c>
      <c r="N1704" s="1473">
        <v>1.5596567748100336</v>
      </c>
      <c r="O1704" s="1473"/>
    </row>
    <row r="1705" spans="11:15">
      <c r="K1705" s="1470">
        <v>43762</v>
      </c>
      <c r="L1705" s="1471" t="s">
        <v>2129</v>
      </c>
      <c r="M1705" s="1472">
        <v>2.0872000000000002E-2</v>
      </c>
      <c r="N1705" s="1473">
        <v>1.5599823063720721</v>
      </c>
      <c r="O1705" s="1473"/>
    </row>
    <row r="1706" spans="11:15">
      <c r="K1706" s="1470">
        <v>43763</v>
      </c>
      <c r="L1706" s="1471" t="s">
        <v>2129</v>
      </c>
      <c r="M1706" s="1472">
        <v>2.0872000000000002E-2</v>
      </c>
      <c r="N1706" s="1473">
        <v>1.5603079058790581</v>
      </c>
      <c r="O1706" s="1473"/>
    </row>
    <row r="1707" spans="11:15">
      <c r="K1707" s="1470">
        <v>43764</v>
      </c>
      <c r="L1707" s="1471"/>
      <c r="M1707" s="1472">
        <v>0</v>
      </c>
      <c r="N1707" s="1473">
        <v>1.5603079058790581</v>
      </c>
      <c r="O1707" s="1473"/>
    </row>
    <row r="1708" spans="11:15">
      <c r="K1708" s="1470">
        <v>43765</v>
      </c>
      <c r="L1708" s="1471"/>
      <c r="M1708" s="1472">
        <v>0</v>
      </c>
      <c r="N1708" s="1473">
        <v>1.5603079058790581</v>
      </c>
      <c r="O1708" s="1473"/>
    </row>
    <row r="1709" spans="11:15">
      <c r="K1709" s="1470">
        <v>43766</v>
      </c>
      <c r="L1709" s="1471" t="s">
        <v>2129</v>
      </c>
      <c r="M1709" s="1472">
        <v>2.0872000000000002E-2</v>
      </c>
      <c r="N1709" s="1473">
        <v>1.5606335733451733</v>
      </c>
      <c r="O1709" s="1473"/>
    </row>
    <row r="1710" spans="11:15">
      <c r="K1710" s="1470">
        <v>43767</v>
      </c>
      <c r="L1710" s="1471" t="s">
        <v>2129</v>
      </c>
      <c r="M1710" s="1472">
        <v>2.0872000000000002E-2</v>
      </c>
      <c r="N1710" s="1473">
        <v>1.5609593087846019</v>
      </c>
      <c r="O1710" s="1473"/>
    </row>
    <row r="1711" spans="11:15">
      <c r="K1711" s="1470">
        <v>43768</v>
      </c>
      <c r="L1711" s="1471" t="s">
        <v>2129</v>
      </c>
      <c r="M1711" s="1472">
        <v>2.0872000000000002E-2</v>
      </c>
      <c r="N1711" s="1473">
        <v>1.5612851122115314</v>
      </c>
      <c r="O1711" s="1473"/>
    </row>
    <row r="1712" spans="11:15">
      <c r="K1712" s="1470">
        <v>43769</v>
      </c>
      <c r="L1712" s="1471" t="s">
        <v>2129</v>
      </c>
      <c r="M1712" s="1472">
        <v>1.8984999999999998E-2</v>
      </c>
      <c r="N1712" s="1473">
        <v>1.5615815221900846</v>
      </c>
      <c r="O1712" s="1473"/>
    </row>
    <row r="1713" spans="11:15">
      <c r="K1713" s="1470">
        <v>43770</v>
      </c>
      <c r="L1713" s="1471" t="s">
        <v>2129</v>
      </c>
      <c r="M1713" s="1472">
        <v>1.8984999999999998E-2</v>
      </c>
      <c r="N1713" s="1473">
        <v>1.5618779884420724</v>
      </c>
      <c r="O1713" s="1473"/>
    </row>
    <row r="1714" spans="11:15">
      <c r="K1714" s="1470">
        <v>43771</v>
      </c>
      <c r="L1714" s="1471"/>
      <c r="M1714" s="1472">
        <v>0</v>
      </c>
      <c r="N1714" s="1473">
        <v>1.5618779884420724</v>
      </c>
      <c r="O1714" s="1473"/>
    </row>
    <row r="1715" spans="11:15">
      <c r="K1715" s="1470">
        <v>43772</v>
      </c>
      <c r="L1715" s="1471"/>
      <c r="M1715" s="1472">
        <v>0</v>
      </c>
      <c r="N1715" s="1473">
        <v>1.5618779884420724</v>
      </c>
      <c r="O1715" s="1473"/>
    </row>
    <row r="1716" spans="11:15">
      <c r="K1716" s="1470">
        <v>43773</v>
      </c>
      <c r="L1716" s="1471" t="s">
        <v>2129</v>
      </c>
      <c r="M1716" s="1472">
        <v>1.8984999999999998E-2</v>
      </c>
      <c r="N1716" s="1473">
        <v>1.5621745109781779</v>
      </c>
      <c r="O1716" s="1473"/>
    </row>
    <row r="1717" spans="11:15">
      <c r="K1717" s="1470">
        <v>43774</v>
      </c>
      <c r="L1717" s="1471" t="s">
        <v>2129</v>
      </c>
      <c r="M1717" s="1472">
        <v>1.8984999999999998E-2</v>
      </c>
      <c r="N1717" s="1473">
        <v>1.562471089809087</v>
      </c>
      <c r="O1717" s="1473"/>
    </row>
    <row r="1718" spans="11:15">
      <c r="K1718" s="1470">
        <v>43775</v>
      </c>
      <c r="L1718" s="1471" t="s">
        <v>2129</v>
      </c>
      <c r="M1718" s="1472">
        <v>1.8984999999999998E-2</v>
      </c>
      <c r="N1718" s="1473">
        <v>1.5627677249454872</v>
      </c>
      <c r="O1718" s="1473"/>
    </row>
    <row r="1719" spans="11:15">
      <c r="K1719" s="1470">
        <v>43776</v>
      </c>
      <c r="L1719" s="1471" t="s">
        <v>2129</v>
      </c>
      <c r="M1719" s="1472">
        <v>1.8984999999999998E-2</v>
      </c>
      <c r="N1719" s="1473">
        <v>1.563064416398068</v>
      </c>
      <c r="O1719" s="1473"/>
    </row>
    <row r="1720" spans="11:15">
      <c r="K1720" s="1470">
        <v>43777</v>
      </c>
      <c r="L1720" s="1471" t="s">
        <v>2129</v>
      </c>
      <c r="M1720" s="1472">
        <v>1.8984999999999998E-2</v>
      </c>
      <c r="N1720" s="1473">
        <v>1.5633611641775211</v>
      </c>
      <c r="O1720" s="1473"/>
    </row>
    <row r="1721" spans="11:15">
      <c r="K1721" s="1470">
        <v>43778</v>
      </c>
      <c r="L1721" s="1471"/>
      <c r="M1721" s="1472">
        <v>0</v>
      </c>
      <c r="N1721" s="1473">
        <v>1.5633611641775211</v>
      </c>
      <c r="O1721" s="1473"/>
    </row>
    <row r="1722" spans="11:15">
      <c r="K1722" s="1470">
        <v>43779</v>
      </c>
      <c r="L1722" s="1471"/>
      <c r="M1722" s="1472">
        <v>0</v>
      </c>
      <c r="N1722" s="1473">
        <v>1.5633611641775211</v>
      </c>
      <c r="O1722" s="1473"/>
    </row>
    <row r="1723" spans="11:15">
      <c r="K1723" s="1470">
        <v>43780</v>
      </c>
      <c r="L1723" s="1471" t="s">
        <v>2129</v>
      </c>
      <c r="M1723" s="1472">
        <v>1.8984999999999998E-2</v>
      </c>
      <c r="N1723" s="1473">
        <v>1.5636579682945402</v>
      </c>
      <c r="O1723" s="1473"/>
    </row>
    <row r="1724" spans="11:15">
      <c r="K1724" s="1470">
        <v>43781</v>
      </c>
      <c r="L1724" s="1471" t="s">
        <v>2129</v>
      </c>
      <c r="M1724" s="1472">
        <v>1.8984999999999998E-2</v>
      </c>
      <c r="N1724" s="1473">
        <v>1.5639548287598208</v>
      </c>
      <c r="O1724" s="1473"/>
    </row>
    <row r="1725" spans="11:15">
      <c r="K1725" s="1470">
        <v>43782</v>
      </c>
      <c r="L1725" s="1471" t="s">
        <v>2129</v>
      </c>
      <c r="M1725" s="1472">
        <v>1.8984999999999998E-2</v>
      </c>
      <c r="N1725" s="1473">
        <v>1.5642517455840608</v>
      </c>
      <c r="O1725" s="1473"/>
    </row>
    <row r="1726" spans="11:15">
      <c r="K1726" s="1470">
        <v>43783</v>
      </c>
      <c r="L1726" s="1471" t="s">
        <v>2129</v>
      </c>
      <c r="M1726" s="1472">
        <v>1.8984999999999998E-2</v>
      </c>
      <c r="N1726" s="1473">
        <v>1.5645487187779599</v>
      </c>
      <c r="O1726" s="1473"/>
    </row>
    <row r="1727" spans="11:15">
      <c r="K1727" s="1470">
        <v>43784</v>
      </c>
      <c r="L1727" s="1471"/>
      <c r="M1727" s="1472">
        <v>0</v>
      </c>
      <c r="N1727" s="1473">
        <v>1.5645487187779599</v>
      </c>
      <c r="O1727" s="1473"/>
    </row>
    <row r="1728" spans="11:15">
      <c r="K1728" s="1470">
        <v>43785</v>
      </c>
      <c r="L1728" s="1471"/>
      <c r="M1728" s="1472">
        <v>0</v>
      </c>
      <c r="N1728" s="1473">
        <v>1.5645487187779599</v>
      </c>
      <c r="O1728" s="1473"/>
    </row>
    <row r="1729" spans="11:15">
      <c r="K1729" s="1470">
        <v>43786</v>
      </c>
      <c r="L1729" s="1471"/>
      <c r="M1729" s="1472">
        <v>0</v>
      </c>
      <c r="N1729" s="1473">
        <v>1.5645487187779599</v>
      </c>
      <c r="O1729" s="1473"/>
    </row>
    <row r="1730" spans="11:15">
      <c r="K1730" s="1470">
        <v>43787</v>
      </c>
      <c r="L1730" s="1471" t="s">
        <v>2129</v>
      </c>
      <c r="M1730" s="1472">
        <v>1.8984999999999998E-2</v>
      </c>
      <c r="N1730" s="1473">
        <v>1.5648457483522198</v>
      </c>
      <c r="O1730" s="1473"/>
    </row>
    <row r="1731" spans="11:15">
      <c r="K1731" s="1470">
        <v>43788</v>
      </c>
      <c r="L1731" s="1471" t="s">
        <v>2129</v>
      </c>
      <c r="M1731" s="1472">
        <v>1.8984999999999998E-2</v>
      </c>
      <c r="N1731" s="1473">
        <v>1.5651428343175444</v>
      </c>
      <c r="O1731" s="1473"/>
    </row>
    <row r="1732" spans="11:15">
      <c r="K1732" s="1470">
        <v>43789</v>
      </c>
      <c r="L1732" s="1471" t="s">
        <v>2129</v>
      </c>
      <c r="M1732" s="1472">
        <v>1.8984999999999998E-2</v>
      </c>
      <c r="N1732" s="1473">
        <v>1.5654399766846394</v>
      </c>
      <c r="O1732" s="1473"/>
    </row>
    <row r="1733" spans="11:15">
      <c r="K1733" s="1470">
        <v>43790</v>
      </c>
      <c r="L1733" s="1471" t="s">
        <v>2129</v>
      </c>
      <c r="M1733" s="1472">
        <v>1.8984999999999998E-2</v>
      </c>
      <c r="N1733" s="1473">
        <v>1.5657371754642129</v>
      </c>
      <c r="O1733" s="1473"/>
    </row>
    <row r="1734" spans="11:15">
      <c r="K1734" s="1470">
        <v>43791</v>
      </c>
      <c r="L1734" s="1471" t="s">
        <v>2129</v>
      </c>
      <c r="M1734" s="1472">
        <v>1.8984999999999998E-2</v>
      </c>
      <c r="N1734" s="1473">
        <v>1.5660344306669747</v>
      </c>
      <c r="O1734" s="1473"/>
    </row>
    <row r="1735" spans="11:15">
      <c r="K1735" s="1470">
        <v>43792</v>
      </c>
      <c r="L1735" s="1471"/>
      <c r="M1735" s="1472">
        <v>0</v>
      </c>
      <c r="N1735" s="1473">
        <v>1.5660344306669747</v>
      </c>
      <c r="O1735" s="1473"/>
    </row>
    <row r="1736" spans="11:15">
      <c r="K1736" s="1470">
        <v>43793</v>
      </c>
      <c r="L1736" s="1471"/>
      <c r="M1736" s="1472">
        <v>0</v>
      </c>
      <c r="N1736" s="1473">
        <v>1.5660344306669747</v>
      </c>
      <c r="O1736" s="1473"/>
    </row>
    <row r="1737" spans="11:15">
      <c r="K1737" s="1470">
        <v>43794</v>
      </c>
      <c r="L1737" s="1471" t="s">
        <v>2129</v>
      </c>
      <c r="M1737" s="1472">
        <v>1.8984999999999998E-2</v>
      </c>
      <c r="N1737" s="1473">
        <v>1.5663317423036367</v>
      </c>
      <c r="O1737" s="1473"/>
    </row>
    <row r="1738" spans="11:15">
      <c r="K1738" s="1470">
        <v>43795</v>
      </c>
      <c r="L1738" s="1471" t="s">
        <v>2129</v>
      </c>
      <c r="M1738" s="1472">
        <v>1.8984999999999998E-2</v>
      </c>
      <c r="N1738" s="1473">
        <v>1.566629110384913</v>
      </c>
      <c r="O1738" s="1473"/>
    </row>
    <row r="1739" spans="11:15">
      <c r="K1739" s="1470">
        <v>43796</v>
      </c>
      <c r="L1739" s="1471" t="s">
        <v>2129</v>
      </c>
      <c r="M1739" s="1472">
        <v>1.8984999999999998E-2</v>
      </c>
      <c r="N1739" s="1473">
        <v>1.5669265349215196</v>
      </c>
      <c r="O1739" s="1473"/>
    </row>
    <row r="1740" spans="11:15">
      <c r="K1740" s="1470">
        <v>43797</v>
      </c>
      <c r="L1740" s="1471" t="s">
        <v>2129</v>
      </c>
      <c r="M1740" s="1472">
        <v>1.8984999999999998E-2</v>
      </c>
      <c r="N1740" s="1473">
        <v>1.5672240159241744</v>
      </c>
      <c r="O1740" s="1473"/>
    </row>
    <row r="1741" spans="11:15">
      <c r="K1741" s="1470">
        <v>43798</v>
      </c>
      <c r="L1741" s="1471" t="s">
        <v>2129</v>
      </c>
      <c r="M1741" s="1472">
        <v>1.8984999999999998E-2</v>
      </c>
      <c r="N1741" s="1473">
        <v>1.5675215534035976</v>
      </c>
      <c r="O1741" s="1473"/>
    </row>
    <row r="1742" spans="11:15">
      <c r="K1742" s="1470">
        <v>43799</v>
      </c>
      <c r="L1742" s="1471"/>
      <c r="M1742" s="1472">
        <v>0</v>
      </c>
      <c r="N1742" s="1473">
        <v>1.5675215534035976</v>
      </c>
      <c r="O1742" s="1473"/>
    </row>
    <row r="1743" spans="11:15">
      <c r="K1743" s="1470">
        <v>43800</v>
      </c>
      <c r="L1743" s="1471"/>
      <c r="M1743" s="1472">
        <v>0</v>
      </c>
      <c r="N1743" s="1473">
        <v>1.5675215534035976</v>
      </c>
      <c r="O1743" s="1473"/>
    </row>
    <row r="1744" spans="11:15">
      <c r="K1744" s="1470">
        <v>43801</v>
      </c>
      <c r="L1744" s="1471" t="s">
        <v>2129</v>
      </c>
      <c r="M1744" s="1472">
        <v>1.8984999999999998E-2</v>
      </c>
      <c r="N1744" s="1473">
        <v>1.5678191473705112</v>
      </c>
      <c r="O1744" s="1473"/>
    </row>
    <row r="1745" spans="11:15">
      <c r="K1745" s="1470">
        <v>43802</v>
      </c>
      <c r="L1745" s="1471" t="s">
        <v>2129</v>
      </c>
      <c r="M1745" s="1472">
        <v>1.8984999999999998E-2</v>
      </c>
      <c r="N1745" s="1473">
        <v>1.5681167978356394</v>
      </c>
      <c r="O1745" s="1473"/>
    </row>
    <row r="1746" spans="11:15">
      <c r="K1746" s="1470">
        <v>43803</v>
      </c>
      <c r="L1746" s="1471" t="s">
        <v>2129</v>
      </c>
      <c r="M1746" s="1472">
        <v>1.8984999999999998E-2</v>
      </c>
      <c r="N1746" s="1473">
        <v>1.5684145048097085</v>
      </c>
      <c r="O1746" s="1473"/>
    </row>
    <row r="1747" spans="11:15">
      <c r="K1747" s="1470">
        <v>43804</v>
      </c>
      <c r="L1747" s="1471" t="s">
        <v>2129</v>
      </c>
      <c r="M1747" s="1472">
        <v>1.8984999999999998E-2</v>
      </c>
      <c r="N1747" s="1473">
        <v>1.5687122683034465</v>
      </c>
      <c r="O1747" s="1473"/>
    </row>
    <row r="1748" spans="11:15">
      <c r="K1748" s="1470">
        <v>43805</v>
      </c>
      <c r="L1748" s="1471" t="s">
        <v>2129</v>
      </c>
      <c r="M1748" s="1472">
        <v>1.8984999999999998E-2</v>
      </c>
      <c r="N1748" s="1473">
        <v>1.5690100883275837</v>
      </c>
      <c r="O1748" s="1473"/>
    </row>
    <row r="1749" spans="11:15">
      <c r="K1749" s="1470">
        <v>43806</v>
      </c>
      <c r="L1749" s="1471"/>
      <c r="M1749" s="1472">
        <v>0</v>
      </c>
      <c r="N1749" s="1473">
        <v>1.5690100883275837</v>
      </c>
      <c r="O1749" s="1473"/>
    </row>
    <row r="1750" spans="11:15">
      <c r="K1750" s="1470">
        <v>43807</v>
      </c>
      <c r="L1750" s="1471"/>
      <c r="M1750" s="1472">
        <v>0</v>
      </c>
      <c r="N1750" s="1473">
        <v>1.5690100883275837</v>
      </c>
      <c r="O1750" s="1473"/>
    </row>
    <row r="1751" spans="11:15">
      <c r="K1751" s="1470">
        <v>43808</v>
      </c>
      <c r="L1751" s="1471" t="s">
        <v>2129</v>
      </c>
      <c r="M1751" s="1472">
        <v>1.8984999999999998E-2</v>
      </c>
      <c r="N1751" s="1473">
        <v>1.5693079648928525</v>
      </c>
      <c r="O1751" s="1473"/>
    </row>
    <row r="1752" spans="11:15">
      <c r="K1752" s="1470">
        <v>43809</v>
      </c>
      <c r="L1752" s="1471" t="s">
        <v>2129</v>
      </c>
      <c r="M1752" s="1472">
        <v>1.8984999999999998E-2</v>
      </c>
      <c r="N1752" s="1473">
        <v>1.5696058980099874</v>
      </c>
      <c r="O1752" s="1473"/>
    </row>
    <row r="1753" spans="11:15">
      <c r="K1753" s="1470">
        <v>43810</v>
      </c>
      <c r="L1753" s="1471" t="s">
        <v>2129</v>
      </c>
      <c r="M1753" s="1472">
        <v>1.8984999999999998E-2</v>
      </c>
      <c r="N1753" s="1473">
        <v>1.5699038876897244</v>
      </c>
      <c r="O1753" s="1473"/>
    </row>
    <row r="1754" spans="11:15">
      <c r="K1754" s="1470">
        <v>43811</v>
      </c>
      <c r="L1754" s="1471" t="s">
        <v>2129</v>
      </c>
      <c r="M1754" s="1472">
        <v>1.7089E-2</v>
      </c>
      <c r="N1754" s="1473">
        <v>1.5701721685650916</v>
      </c>
      <c r="O1754" s="1473"/>
    </row>
    <row r="1755" spans="11:15">
      <c r="K1755" s="1470">
        <v>43812</v>
      </c>
      <c r="L1755" s="1471" t="s">
        <v>2129</v>
      </c>
      <c r="M1755" s="1472">
        <v>1.7089E-2</v>
      </c>
      <c r="N1755" s="1473">
        <v>1.5704404952869775</v>
      </c>
      <c r="O1755" s="1473"/>
    </row>
    <row r="1756" spans="11:15">
      <c r="K1756" s="1470">
        <v>43813</v>
      </c>
      <c r="L1756" s="1471"/>
      <c r="M1756" s="1472">
        <v>0</v>
      </c>
      <c r="N1756" s="1473">
        <v>1.5704404952869775</v>
      </c>
      <c r="O1756" s="1473"/>
    </row>
    <row r="1757" spans="11:15">
      <c r="K1757" s="1470">
        <v>43814</v>
      </c>
      <c r="L1757" s="1471"/>
      <c r="M1757" s="1472">
        <v>0</v>
      </c>
      <c r="N1757" s="1473">
        <v>1.5704404952869775</v>
      </c>
      <c r="O1757" s="1473"/>
    </row>
    <row r="1758" spans="11:15">
      <c r="K1758" s="1470">
        <v>43815</v>
      </c>
      <c r="L1758" s="1471" t="s">
        <v>2129</v>
      </c>
      <c r="M1758" s="1472">
        <v>1.7089E-2</v>
      </c>
      <c r="N1758" s="1473">
        <v>1.5707088678632171</v>
      </c>
      <c r="O1758" s="1473"/>
    </row>
    <row r="1759" spans="11:15">
      <c r="K1759" s="1470">
        <v>43816</v>
      </c>
      <c r="L1759" s="1471" t="s">
        <v>2129</v>
      </c>
      <c r="M1759" s="1472">
        <v>1.7089E-2</v>
      </c>
      <c r="N1759" s="1473">
        <v>1.570977286301646</v>
      </c>
      <c r="O1759" s="1473"/>
    </row>
    <row r="1760" spans="11:15">
      <c r="K1760" s="1470">
        <v>43817</v>
      </c>
      <c r="L1760" s="1471" t="s">
        <v>2129</v>
      </c>
      <c r="M1760" s="1472">
        <v>1.7089E-2</v>
      </c>
      <c r="N1760" s="1473">
        <v>1.5712457506101021</v>
      </c>
      <c r="O1760" s="1473"/>
    </row>
    <row r="1761" spans="11:15">
      <c r="K1761" s="1470">
        <v>43818</v>
      </c>
      <c r="L1761" s="1471" t="s">
        <v>2129</v>
      </c>
      <c r="M1761" s="1472">
        <v>1.7089E-2</v>
      </c>
      <c r="N1761" s="1473">
        <v>1.5715142607964236</v>
      </c>
      <c r="O1761" s="1473"/>
    </row>
    <row r="1762" spans="11:15">
      <c r="K1762" s="1470">
        <v>43819</v>
      </c>
      <c r="L1762" s="1471" t="s">
        <v>2129</v>
      </c>
      <c r="M1762" s="1472">
        <v>1.7089E-2</v>
      </c>
      <c r="N1762" s="1473">
        <v>1.5717828168684511</v>
      </c>
      <c r="O1762" s="1473"/>
    </row>
    <row r="1763" spans="11:15">
      <c r="K1763" s="1470">
        <v>43820</v>
      </c>
      <c r="L1763" s="1471"/>
      <c r="M1763" s="1472">
        <v>0</v>
      </c>
      <c r="N1763" s="1473">
        <v>1.5717828168684511</v>
      </c>
      <c r="O1763" s="1473"/>
    </row>
    <row r="1764" spans="11:15">
      <c r="K1764" s="1470">
        <v>43821</v>
      </c>
      <c r="L1764" s="1471"/>
      <c r="M1764" s="1472">
        <v>0</v>
      </c>
      <c r="N1764" s="1473">
        <v>1.5717828168684511</v>
      </c>
      <c r="O1764" s="1473"/>
    </row>
    <row r="1765" spans="11:15">
      <c r="K1765" s="1470">
        <v>43822</v>
      </c>
      <c r="L1765" s="1471" t="s">
        <v>2129</v>
      </c>
      <c r="M1765" s="1472">
        <v>1.7089E-2</v>
      </c>
      <c r="N1765" s="1473">
        <v>1.5720514188340255</v>
      </c>
      <c r="O1765" s="1473"/>
    </row>
    <row r="1766" spans="11:15">
      <c r="K1766" s="1470">
        <v>43823</v>
      </c>
      <c r="L1766" s="1471" t="s">
        <v>2129</v>
      </c>
      <c r="M1766" s="1472">
        <v>1.7089E-2</v>
      </c>
      <c r="N1766" s="1473">
        <v>1.57232006670099</v>
      </c>
      <c r="O1766" s="1473"/>
    </row>
    <row r="1767" spans="11:15">
      <c r="K1767" s="1470">
        <v>43824</v>
      </c>
      <c r="L1767" s="1471"/>
      <c r="M1767" s="1472">
        <v>0</v>
      </c>
      <c r="N1767" s="1473">
        <v>1.57232006670099</v>
      </c>
      <c r="O1767" s="1473"/>
    </row>
    <row r="1768" spans="11:15">
      <c r="K1768" s="1470">
        <v>43825</v>
      </c>
      <c r="L1768" s="1471" t="s">
        <v>2129</v>
      </c>
      <c r="M1768" s="1472">
        <v>1.7089E-2</v>
      </c>
      <c r="N1768" s="1473">
        <v>1.5725887604771884</v>
      </c>
      <c r="O1768" s="1473"/>
    </row>
    <row r="1769" spans="11:15">
      <c r="K1769" s="1470">
        <v>43826</v>
      </c>
      <c r="L1769" s="1471" t="s">
        <v>2129</v>
      </c>
      <c r="M1769" s="1472">
        <v>1.7089E-2</v>
      </c>
      <c r="N1769" s="1473">
        <v>1.5728575001704663</v>
      </c>
      <c r="O1769" s="1473"/>
    </row>
    <row r="1770" spans="11:15">
      <c r="K1770" s="1470">
        <v>43827</v>
      </c>
      <c r="L1770" s="1471"/>
      <c r="M1770" s="1472">
        <v>0</v>
      </c>
      <c r="N1770" s="1473">
        <v>1.5728575001704663</v>
      </c>
      <c r="O1770" s="1473"/>
    </row>
    <row r="1771" spans="11:15">
      <c r="K1771" s="1470">
        <v>43828</v>
      </c>
      <c r="L1771" s="1471"/>
      <c r="M1771" s="1472">
        <v>0</v>
      </c>
      <c r="N1771" s="1473">
        <v>1.5728575001704663</v>
      </c>
      <c r="O1771" s="1473"/>
    </row>
    <row r="1772" spans="11:15">
      <c r="K1772" s="1470">
        <v>43829</v>
      </c>
      <c r="L1772" s="1471" t="s">
        <v>2129</v>
      </c>
      <c r="M1772" s="1472">
        <v>1.7089E-2</v>
      </c>
      <c r="N1772" s="1473">
        <v>1.5731262857886703</v>
      </c>
      <c r="O1772" s="1473"/>
    </row>
    <row r="1773" spans="11:15">
      <c r="K1773" s="1470">
        <v>43830</v>
      </c>
      <c r="L1773" s="1471" t="s">
        <v>2129</v>
      </c>
      <c r="M1773" s="1472">
        <v>1.7089E-2</v>
      </c>
      <c r="N1773" s="1473">
        <v>1.5733951173396485</v>
      </c>
      <c r="O1773" s="1473"/>
    </row>
    <row r="1774" spans="11:15">
      <c r="K1774" s="1470">
        <v>43831</v>
      </c>
      <c r="L1774" s="1471"/>
      <c r="M1774" s="1472">
        <v>0</v>
      </c>
      <c r="N1774" s="1473">
        <v>1.5733951173396485</v>
      </c>
      <c r="O1774" s="1473"/>
    </row>
    <row r="1775" spans="11:15">
      <c r="K1775" s="1470">
        <v>43832</v>
      </c>
      <c r="L1775" s="1471" t="s">
        <v>2129</v>
      </c>
      <c r="M1775" s="1472">
        <v>1.7089E-2</v>
      </c>
      <c r="N1775" s="1473">
        <v>1.5736639948312505</v>
      </c>
      <c r="O1775" s="1473"/>
    </row>
    <row r="1776" spans="11:15">
      <c r="K1776" s="1470">
        <v>43833</v>
      </c>
      <c r="L1776" s="1471" t="s">
        <v>2129</v>
      </c>
      <c r="M1776" s="1472">
        <v>1.7089E-2</v>
      </c>
      <c r="N1776" s="1473">
        <v>1.5739329182713271</v>
      </c>
      <c r="O1776" s="1473"/>
    </row>
    <row r="1777" spans="11:15">
      <c r="K1777" s="1470">
        <v>43834</v>
      </c>
      <c r="L1777" s="1471"/>
      <c r="M1777" s="1472">
        <v>0</v>
      </c>
      <c r="N1777" s="1473">
        <v>1.5739329182713271</v>
      </c>
      <c r="O1777" s="1473"/>
    </row>
    <row r="1778" spans="11:15">
      <c r="K1778" s="1470">
        <v>43835</v>
      </c>
      <c r="L1778" s="1471"/>
      <c r="M1778" s="1472">
        <v>0</v>
      </c>
      <c r="N1778" s="1473">
        <v>1.5739329182713271</v>
      </c>
      <c r="O1778" s="1473"/>
    </row>
    <row r="1779" spans="11:15">
      <c r="K1779" s="1470">
        <v>43836</v>
      </c>
      <c r="L1779" s="1471" t="s">
        <v>2129</v>
      </c>
      <c r="M1779" s="1472">
        <v>1.7089E-2</v>
      </c>
      <c r="N1779" s="1473">
        <v>1.5742018876677304</v>
      </c>
      <c r="O1779" s="1473"/>
    </row>
    <row r="1780" spans="11:15">
      <c r="K1780" s="1470">
        <v>43837</v>
      </c>
      <c r="L1780" s="1471" t="s">
        <v>2129</v>
      </c>
      <c r="M1780" s="1472">
        <v>1.7089E-2</v>
      </c>
      <c r="N1780" s="1473">
        <v>1.5744709030283137</v>
      </c>
      <c r="O1780" s="1473"/>
    </row>
    <row r="1781" spans="11:15">
      <c r="K1781" s="1470">
        <v>43838</v>
      </c>
      <c r="L1781" s="1471" t="s">
        <v>2129</v>
      </c>
      <c r="M1781" s="1472">
        <v>1.7089E-2</v>
      </c>
      <c r="N1781" s="1473">
        <v>1.5747399643609321</v>
      </c>
      <c r="O1781" s="1473"/>
    </row>
    <row r="1782" spans="11:15">
      <c r="K1782" s="1470">
        <v>43839</v>
      </c>
      <c r="L1782" s="1471" t="s">
        <v>2129</v>
      </c>
      <c r="M1782" s="1472">
        <v>1.7089E-2</v>
      </c>
      <c r="N1782" s="1473">
        <v>1.5750090716734417</v>
      </c>
      <c r="O1782" s="1473"/>
    </row>
    <row r="1783" spans="11:15">
      <c r="K1783" s="1470">
        <v>43840</v>
      </c>
      <c r="L1783" s="1471" t="s">
        <v>2129</v>
      </c>
      <c r="M1783" s="1472">
        <v>1.7089E-2</v>
      </c>
      <c r="N1783" s="1473">
        <v>1.5752782249736998</v>
      </c>
      <c r="O1783" s="1473"/>
    </row>
    <row r="1784" spans="11:15">
      <c r="K1784" s="1470">
        <v>43841</v>
      </c>
      <c r="L1784" s="1471"/>
      <c r="M1784" s="1472">
        <v>0</v>
      </c>
      <c r="N1784" s="1473">
        <v>1.5752782249736998</v>
      </c>
      <c r="O1784" s="1473"/>
    </row>
    <row r="1785" spans="11:15">
      <c r="K1785" s="1470">
        <v>43842</v>
      </c>
      <c r="L1785" s="1471"/>
      <c r="M1785" s="1472">
        <v>0</v>
      </c>
      <c r="N1785" s="1473">
        <v>1.5752782249736998</v>
      </c>
      <c r="O1785" s="1473"/>
    </row>
    <row r="1786" spans="11:15">
      <c r="K1786" s="1470">
        <v>43843</v>
      </c>
      <c r="L1786" s="1471" t="s">
        <v>2129</v>
      </c>
      <c r="M1786" s="1472">
        <v>1.7089E-2</v>
      </c>
      <c r="N1786" s="1473">
        <v>1.5755474242695655</v>
      </c>
      <c r="O1786" s="1473"/>
    </row>
    <row r="1787" spans="11:15">
      <c r="K1787" s="1470">
        <v>43844</v>
      </c>
      <c r="L1787" s="1471" t="s">
        <v>2129</v>
      </c>
      <c r="M1787" s="1472">
        <v>1.7089E-2</v>
      </c>
      <c r="N1787" s="1473">
        <v>1.5758166695688989</v>
      </c>
      <c r="O1787" s="1473"/>
    </row>
    <row r="1788" spans="11:15">
      <c r="K1788" s="1470">
        <v>43845</v>
      </c>
      <c r="L1788" s="1471" t="s">
        <v>2129</v>
      </c>
      <c r="M1788" s="1472">
        <v>1.7089E-2</v>
      </c>
      <c r="N1788" s="1473">
        <v>1.5760859608795614</v>
      </c>
      <c r="O1788" s="1473"/>
    </row>
    <row r="1789" spans="11:15">
      <c r="K1789" s="1470">
        <v>43846</v>
      </c>
      <c r="L1789" s="1471" t="s">
        <v>2129</v>
      </c>
      <c r="M1789" s="1472">
        <v>1.7089E-2</v>
      </c>
      <c r="N1789" s="1473">
        <v>1.576355298209416</v>
      </c>
      <c r="O1789" s="1473"/>
    </row>
    <row r="1790" spans="11:15">
      <c r="K1790" s="1470">
        <v>43847</v>
      </c>
      <c r="L1790" s="1471" t="s">
        <v>2129</v>
      </c>
      <c r="M1790" s="1472">
        <v>1.7089E-2</v>
      </c>
      <c r="N1790" s="1473">
        <v>1.576624681566327</v>
      </c>
      <c r="O1790" s="1473"/>
    </row>
    <row r="1791" spans="11:15">
      <c r="K1791" s="1470">
        <v>43848</v>
      </c>
      <c r="L1791" s="1471"/>
      <c r="M1791" s="1472">
        <v>0</v>
      </c>
      <c r="N1791" s="1473">
        <v>1.576624681566327</v>
      </c>
      <c r="O1791" s="1473"/>
    </row>
    <row r="1792" spans="11:15">
      <c r="K1792" s="1470">
        <v>43849</v>
      </c>
      <c r="L1792" s="1471"/>
      <c r="M1792" s="1472">
        <v>0</v>
      </c>
      <c r="N1792" s="1473">
        <v>1.576624681566327</v>
      </c>
      <c r="O1792" s="1473"/>
    </row>
    <row r="1793" spans="11:15">
      <c r="K1793" s="1470">
        <v>43850</v>
      </c>
      <c r="L1793" s="1471" t="s">
        <v>2129</v>
      </c>
      <c r="M1793" s="1472">
        <v>1.7089E-2</v>
      </c>
      <c r="N1793" s="1473">
        <v>1.5768941109581598</v>
      </c>
      <c r="O1793" s="1473"/>
    </row>
    <row r="1794" spans="11:15">
      <c r="K1794" s="1470">
        <v>43851</v>
      </c>
      <c r="L1794" s="1471" t="s">
        <v>2129</v>
      </c>
      <c r="M1794" s="1472">
        <v>1.7089E-2</v>
      </c>
      <c r="N1794" s="1473">
        <v>1.5771635863927813</v>
      </c>
      <c r="O1794" s="1473"/>
    </row>
    <row r="1795" spans="11:15">
      <c r="K1795" s="1470">
        <v>43852</v>
      </c>
      <c r="L1795" s="1471" t="s">
        <v>2129</v>
      </c>
      <c r="M1795" s="1472">
        <v>1.7089E-2</v>
      </c>
      <c r="N1795" s="1473">
        <v>1.5774331078780599</v>
      </c>
      <c r="O1795" s="1473"/>
    </row>
    <row r="1796" spans="11:15">
      <c r="K1796" s="1470">
        <v>43853</v>
      </c>
      <c r="L1796" s="1471" t="s">
        <v>2129</v>
      </c>
      <c r="M1796" s="1472">
        <v>1.7089E-2</v>
      </c>
      <c r="N1796" s="1473">
        <v>1.577702675421865</v>
      </c>
      <c r="O1796" s="1473"/>
    </row>
    <row r="1797" spans="11:15">
      <c r="K1797" s="1470">
        <v>43854</v>
      </c>
      <c r="L1797" s="1471" t="s">
        <v>2129</v>
      </c>
      <c r="M1797" s="1472">
        <v>1.7089E-2</v>
      </c>
      <c r="N1797" s="1473">
        <v>1.5779722890320678</v>
      </c>
      <c r="O1797" s="1473"/>
    </row>
    <row r="1798" spans="11:15">
      <c r="K1798" s="1470">
        <v>43855</v>
      </c>
      <c r="L1798" s="1471"/>
      <c r="M1798" s="1472">
        <v>0</v>
      </c>
      <c r="N1798" s="1473">
        <v>1.5779722890320678</v>
      </c>
      <c r="O1798" s="1473"/>
    </row>
    <row r="1799" spans="11:15">
      <c r="K1799" s="1470">
        <v>43856</v>
      </c>
      <c r="L1799" s="1471"/>
      <c r="M1799" s="1472">
        <v>0</v>
      </c>
      <c r="N1799" s="1473">
        <v>1.5779722890320678</v>
      </c>
      <c r="O1799" s="1473"/>
    </row>
    <row r="1800" spans="11:15">
      <c r="K1800" s="1470">
        <v>43857</v>
      </c>
      <c r="L1800" s="1471" t="s">
        <v>2129</v>
      </c>
      <c r="M1800" s="1472">
        <v>1.7089E-2</v>
      </c>
      <c r="N1800" s="1473">
        <v>1.5782419487165404</v>
      </c>
      <c r="O1800" s="1473"/>
    </row>
    <row r="1801" spans="11:15">
      <c r="K1801" s="1470">
        <v>43858</v>
      </c>
      <c r="L1801" s="1471" t="s">
        <v>2129</v>
      </c>
      <c r="M1801" s="1472">
        <v>1.7089E-2</v>
      </c>
      <c r="N1801" s="1473">
        <v>1.5785116544831566</v>
      </c>
      <c r="O1801" s="1473"/>
    </row>
    <row r="1802" spans="11:15">
      <c r="K1802" s="1470">
        <v>43859</v>
      </c>
      <c r="L1802" s="1471" t="s">
        <v>2129</v>
      </c>
      <c r="M1802" s="1472">
        <v>1.7089E-2</v>
      </c>
      <c r="N1802" s="1473">
        <v>1.5787814063397911</v>
      </c>
      <c r="O1802" s="1473"/>
    </row>
    <row r="1803" spans="11:15">
      <c r="K1803" s="1470">
        <v>43860</v>
      </c>
      <c r="L1803" s="1471" t="s">
        <v>2129</v>
      </c>
      <c r="M1803" s="1472">
        <v>1.7089E-2</v>
      </c>
      <c r="N1803" s="1473">
        <v>1.5790512042943203</v>
      </c>
      <c r="O1803" s="1473"/>
    </row>
    <row r="1804" spans="11:15">
      <c r="K1804" s="1470">
        <v>43861</v>
      </c>
      <c r="L1804" s="1471" t="s">
        <v>2129</v>
      </c>
      <c r="M1804" s="1472">
        <v>1.7089E-2</v>
      </c>
      <c r="N1804" s="1473">
        <v>1.5793210483546221</v>
      </c>
      <c r="O1804" s="1473"/>
    </row>
    <row r="1805" spans="11:15">
      <c r="K1805" s="1470">
        <v>43862</v>
      </c>
      <c r="L1805" s="1471"/>
      <c r="M1805" s="1472">
        <v>0</v>
      </c>
      <c r="N1805" s="1473">
        <v>1.5793210483546221</v>
      </c>
      <c r="O1805" s="1473"/>
    </row>
    <row r="1806" spans="11:15">
      <c r="K1806" s="1470">
        <v>43863</v>
      </c>
      <c r="L1806" s="1471"/>
      <c r="M1806" s="1472">
        <v>0</v>
      </c>
      <c r="N1806" s="1473">
        <v>1.5793210483546221</v>
      </c>
      <c r="O1806" s="1473"/>
    </row>
    <row r="1807" spans="11:15">
      <c r="K1807" s="1470">
        <v>43864</v>
      </c>
      <c r="L1807" s="1471" t="s">
        <v>2129</v>
      </c>
      <c r="M1807" s="1472">
        <v>1.7089E-2</v>
      </c>
      <c r="N1807" s="1473">
        <v>1.5795909385285754</v>
      </c>
      <c r="O1807" s="1473"/>
    </row>
    <row r="1808" spans="11:15">
      <c r="K1808" s="1470">
        <v>43865</v>
      </c>
      <c r="L1808" s="1471" t="s">
        <v>2129</v>
      </c>
      <c r="M1808" s="1472">
        <v>1.7089E-2</v>
      </c>
      <c r="N1808" s="1473">
        <v>1.5798608748240603</v>
      </c>
      <c r="O1808" s="1473"/>
    </row>
    <row r="1809" spans="11:15">
      <c r="K1809" s="1470">
        <v>43866</v>
      </c>
      <c r="L1809" s="1471" t="s">
        <v>2129</v>
      </c>
      <c r="M1809" s="1472">
        <v>1.7089E-2</v>
      </c>
      <c r="N1809" s="1473">
        <v>1.580130857248959</v>
      </c>
      <c r="O1809" s="1473"/>
    </row>
    <row r="1810" spans="11:15">
      <c r="K1810" s="1470">
        <v>43867</v>
      </c>
      <c r="L1810" s="1471" t="s">
        <v>2129</v>
      </c>
      <c r="M1810" s="1472">
        <v>1.6136999999999999E-2</v>
      </c>
      <c r="N1810" s="1473">
        <v>1.5803858429653934</v>
      </c>
      <c r="O1810" s="1473"/>
    </row>
    <row r="1811" spans="11:15">
      <c r="K1811" s="1470">
        <v>43868</v>
      </c>
      <c r="L1811" s="1471" t="s">
        <v>2129</v>
      </c>
      <c r="M1811" s="1472">
        <v>1.6136999999999999E-2</v>
      </c>
      <c r="N1811" s="1473">
        <v>1.5806408698288728</v>
      </c>
      <c r="O1811" s="1473"/>
    </row>
    <row r="1812" spans="11:15">
      <c r="K1812" s="1470">
        <v>43869</v>
      </c>
      <c r="L1812" s="1471"/>
      <c r="M1812" s="1472">
        <v>0</v>
      </c>
      <c r="N1812" s="1473">
        <v>1.5806408698288728</v>
      </c>
      <c r="O1812" s="1473"/>
    </row>
    <row r="1813" spans="11:15">
      <c r="K1813" s="1470">
        <v>43870</v>
      </c>
      <c r="L1813" s="1471"/>
      <c r="M1813" s="1472">
        <v>0</v>
      </c>
      <c r="N1813" s="1473">
        <v>1.5806408698288728</v>
      </c>
      <c r="O1813" s="1473"/>
    </row>
    <row r="1814" spans="11:15">
      <c r="K1814" s="1470">
        <v>43871</v>
      </c>
      <c r="L1814" s="1471" t="s">
        <v>2129</v>
      </c>
      <c r="M1814" s="1472">
        <v>1.6136999999999999E-2</v>
      </c>
      <c r="N1814" s="1473">
        <v>1.5808959378460372</v>
      </c>
      <c r="O1814" s="1473"/>
    </row>
    <row r="1815" spans="11:15">
      <c r="K1815" s="1470">
        <v>43872</v>
      </c>
      <c r="L1815" s="1471" t="s">
        <v>2129</v>
      </c>
      <c r="M1815" s="1472">
        <v>1.6136999999999999E-2</v>
      </c>
      <c r="N1815" s="1473">
        <v>1.5811510470235275</v>
      </c>
      <c r="O1815" s="1473"/>
    </row>
    <row r="1816" spans="11:15">
      <c r="K1816" s="1470">
        <v>43873</v>
      </c>
      <c r="L1816" s="1471" t="s">
        <v>2129</v>
      </c>
      <c r="M1816" s="1472">
        <v>1.6136999999999999E-2</v>
      </c>
      <c r="N1816" s="1473">
        <v>1.5814061973679858</v>
      </c>
      <c r="O1816" s="1473"/>
    </row>
    <row r="1817" spans="11:15">
      <c r="K1817" s="1470">
        <v>43874</v>
      </c>
      <c r="L1817" s="1471" t="s">
        <v>2129</v>
      </c>
      <c r="M1817" s="1472">
        <v>1.6136999999999999E-2</v>
      </c>
      <c r="N1817" s="1473">
        <v>1.5816613888860551</v>
      </c>
      <c r="O1817" s="1473"/>
    </row>
    <row r="1818" spans="11:15">
      <c r="K1818" s="1470">
        <v>43875</v>
      </c>
      <c r="L1818" s="1471" t="s">
        <v>2129</v>
      </c>
      <c r="M1818" s="1472">
        <v>1.6136999999999999E-2</v>
      </c>
      <c r="N1818" s="1473">
        <v>1.5819166215843798</v>
      </c>
      <c r="O1818" s="1473"/>
    </row>
    <row r="1819" spans="11:15">
      <c r="K1819" s="1470">
        <v>43876</v>
      </c>
      <c r="L1819" s="1471"/>
      <c r="M1819" s="1472">
        <v>0</v>
      </c>
      <c r="N1819" s="1473">
        <v>1.5819166215843798</v>
      </c>
      <c r="O1819" s="1473"/>
    </row>
    <row r="1820" spans="11:15">
      <c r="K1820" s="1470">
        <v>43877</v>
      </c>
      <c r="L1820" s="1471"/>
      <c r="M1820" s="1472">
        <v>0</v>
      </c>
      <c r="N1820" s="1473">
        <v>1.5819166215843798</v>
      </c>
      <c r="O1820" s="1473"/>
    </row>
    <row r="1821" spans="11:15">
      <c r="K1821" s="1470">
        <v>43878</v>
      </c>
      <c r="L1821" s="1471" t="s">
        <v>2129</v>
      </c>
      <c r="M1821" s="1472">
        <v>1.6136999999999999E-2</v>
      </c>
      <c r="N1821" s="1473">
        <v>1.5821718954696049</v>
      </c>
      <c r="O1821" s="1473"/>
    </row>
    <row r="1822" spans="11:15">
      <c r="K1822" s="1470">
        <v>43879</v>
      </c>
      <c r="L1822" s="1471" t="s">
        <v>2129</v>
      </c>
      <c r="M1822" s="1472">
        <v>1.6136999999999999E-2</v>
      </c>
      <c r="N1822" s="1473">
        <v>1.582427210548377</v>
      </c>
      <c r="O1822" s="1473"/>
    </row>
    <row r="1823" spans="11:15">
      <c r="K1823" s="1470">
        <v>43880</v>
      </c>
      <c r="L1823" s="1471" t="s">
        <v>2129</v>
      </c>
      <c r="M1823" s="1472">
        <v>1.6136999999999999E-2</v>
      </c>
      <c r="N1823" s="1473">
        <v>1.5826825668273432</v>
      </c>
      <c r="O1823" s="1473"/>
    </row>
    <row r="1824" spans="11:15">
      <c r="K1824" s="1470">
        <v>43881</v>
      </c>
      <c r="L1824" s="1471" t="s">
        <v>2129</v>
      </c>
      <c r="M1824" s="1472">
        <v>1.6136999999999999E-2</v>
      </c>
      <c r="N1824" s="1473">
        <v>1.5829379643131523</v>
      </c>
      <c r="O1824" s="1473"/>
    </row>
    <row r="1825" spans="11:15">
      <c r="K1825" s="1470">
        <v>43882</v>
      </c>
      <c r="L1825" s="1471" t="s">
        <v>2129</v>
      </c>
      <c r="M1825" s="1472">
        <v>1.6136999999999999E-2</v>
      </c>
      <c r="N1825" s="1473">
        <v>1.5831934030124535</v>
      </c>
      <c r="O1825" s="1473"/>
    </row>
    <row r="1826" spans="11:15">
      <c r="K1826" s="1470">
        <v>43883</v>
      </c>
      <c r="L1826" s="1471"/>
      <c r="M1826" s="1472">
        <v>0</v>
      </c>
      <c r="N1826" s="1473">
        <v>1.5831934030124535</v>
      </c>
      <c r="O1826" s="1473"/>
    </row>
    <row r="1827" spans="11:15">
      <c r="K1827" s="1470">
        <v>43884</v>
      </c>
      <c r="L1827" s="1471"/>
      <c r="M1827" s="1472">
        <v>0</v>
      </c>
      <c r="N1827" s="1473">
        <v>1.5831934030124535</v>
      </c>
      <c r="O1827" s="1473"/>
    </row>
    <row r="1828" spans="11:15">
      <c r="K1828" s="1470">
        <v>43885</v>
      </c>
      <c r="L1828" s="1471"/>
      <c r="M1828" s="1472">
        <v>0</v>
      </c>
      <c r="N1828" s="1473">
        <v>1.5831934030124535</v>
      </c>
      <c r="O1828" s="1473"/>
    </row>
    <row r="1829" spans="11:15">
      <c r="K1829" s="1470">
        <v>43886</v>
      </c>
      <c r="L1829" s="1471"/>
      <c r="M1829" s="1472">
        <v>0</v>
      </c>
      <c r="N1829" s="1473">
        <v>1.5831934030124535</v>
      </c>
      <c r="O1829" s="1473"/>
    </row>
    <row r="1830" spans="11:15">
      <c r="K1830" s="1470">
        <v>43887</v>
      </c>
      <c r="L1830" s="1471" t="s">
        <v>2129</v>
      </c>
      <c r="M1830" s="1472">
        <v>1.6136999999999999E-2</v>
      </c>
      <c r="N1830" s="1473">
        <v>1.5834488829318978</v>
      </c>
      <c r="O1830" s="1473"/>
    </row>
    <row r="1831" spans="11:15">
      <c r="K1831" s="1470">
        <v>43888</v>
      </c>
      <c r="L1831" s="1471" t="s">
        <v>2129</v>
      </c>
      <c r="M1831" s="1472">
        <v>1.6136999999999999E-2</v>
      </c>
      <c r="N1831" s="1473">
        <v>1.5837044040781365</v>
      </c>
      <c r="O1831" s="1473"/>
    </row>
    <row r="1832" spans="11:15">
      <c r="K1832" s="1470">
        <v>43889</v>
      </c>
      <c r="L1832" s="1471" t="s">
        <v>2129</v>
      </c>
      <c r="M1832" s="1472">
        <v>1.6136999999999999E-2</v>
      </c>
      <c r="N1832" s="1473">
        <v>1.5839599664578228</v>
      </c>
      <c r="O1832" s="1473"/>
    </row>
    <row r="1833" spans="11:15">
      <c r="K1833" s="1470">
        <v>43890</v>
      </c>
      <c r="L1833" s="1471"/>
      <c r="M1833" s="1472">
        <v>0</v>
      </c>
      <c r="N1833" s="1473">
        <v>1.5839599664578228</v>
      </c>
      <c r="O1833" s="1473"/>
    </row>
    <row r="1834" spans="11:15">
      <c r="K1834" s="1470">
        <v>43891</v>
      </c>
      <c r="L1834" s="1471"/>
      <c r="M1834" s="1472">
        <v>0</v>
      </c>
      <c r="N1834" s="1473">
        <v>1.5839599664578228</v>
      </c>
      <c r="O1834" s="1473"/>
    </row>
    <row r="1835" spans="11:15">
      <c r="K1835" s="1470">
        <v>43892</v>
      </c>
      <c r="L1835" s="1471" t="s">
        <v>2129</v>
      </c>
      <c r="M1835" s="1472">
        <v>1.6136999999999999E-2</v>
      </c>
      <c r="N1835" s="1473">
        <v>1.5842155700776102</v>
      </c>
      <c r="O1835" s="1473"/>
    </row>
    <row r="1836" spans="11:15">
      <c r="K1836" s="1470">
        <v>43893</v>
      </c>
      <c r="L1836" s="1471" t="s">
        <v>2129</v>
      </c>
      <c r="M1836" s="1472">
        <v>1.6136999999999999E-2</v>
      </c>
      <c r="N1836" s="1473">
        <v>1.5844712149441535</v>
      </c>
      <c r="O1836" s="1473"/>
    </row>
    <row r="1837" spans="11:15">
      <c r="K1837" s="1470">
        <v>43894</v>
      </c>
      <c r="L1837" s="1471" t="s">
        <v>2129</v>
      </c>
      <c r="M1837" s="1472">
        <v>1.6136999999999999E-2</v>
      </c>
      <c r="N1837" s="1473">
        <v>1.5847269010641092</v>
      </c>
      <c r="O1837" s="1473"/>
    </row>
    <row r="1838" spans="11:15">
      <c r="K1838" s="1470">
        <v>43895</v>
      </c>
      <c r="L1838" s="1471" t="s">
        <v>2129</v>
      </c>
      <c r="M1838" s="1472">
        <v>1.6136999999999999E-2</v>
      </c>
      <c r="N1838" s="1473">
        <v>1.584982628444134</v>
      </c>
      <c r="O1838" s="1473"/>
    </row>
    <row r="1839" spans="11:15">
      <c r="K1839" s="1470">
        <v>43896</v>
      </c>
      <c r="L1839" s="1471" t="s">
        <v>2129</v>
      </c>
      <c r="M1839" s="1472">
        <v>1.6136999999999999E-2</v>
      </c>
      <c r="N1839" s="1473">
        <v>1.5852383970908861</v>
      </c>
      <c r="O1839" s="1473"/>
    </row>
    <row r="1840" spans="11:15">
      <c r="K1840" s="1470">
        <v>43897</v>
      </c>
      <c r="L1840" s="1471"/>
      <c r="M1840" s="1472">
        <v>0</v>
      </c>
      <c r="N1840" s="1473">
        <v>1.5852383970908861</v>
      </c>
      <c r="O1840" s="1473"/>
    </row>
    <row r="1841" spans="11:15">
      <c r="K1841" s="1470">
        <v>43898</v>
      </c>
      <c r="L1841" s="1471"/>
      <c r="M1841" s="1472">
        <v>0</v>
      </c>
      <c r="N1841" s="1473">
        <v>1.5852383970908861</v>
      </c>
      <c r="O1841" s="1473"/>
    </row>
    <row r="1842" spans="11:15">
      <c r="K1842" s="1470">
        <v>43899</v>
      </c>
      <c r="L1842" s="1471" t="s">
        <v>2129</v>
      </c>
      <c r="M1842" s="1472">
        <v>1.6136999999999999E-2</v>
      </c>
      <c r="N1842" s="1473">
        <v>1.5854942070110247</v>
      </c>
      <c r="O1842" s="1473"/>
    </row>
    <row r="1843" spans="11:15">
      <c r="K1843" s="1470">
        <v>43900</v>
      </c>
      <c r="L1843" s="1471" t="s">
        <v>2129</v>
      </c>
      <c r="M1843" s="1472">
        <v>1.6136999999999999E-2</v>
      </c>
      <c r="N1843" s="1473">
        <v>1.5857500582112101</v>
      </c>
      <c r="O1843" s="1473"/>
    </row>
    <row r="1844" spans="11:15">
      <c r="K1844" s="1470">
        <v>43901</v>
      </c>
      <c r="L1844" s="1471" t="s">
        <v>2129</v>
      </c>
      <c r="M1844" s="1472">
        <v>1.6136999999999999E-2</v>
      </c>
      <c r="N1844" s="1473">
        <v>1.5860059506981037</v>
      </c>
      <c r="O1844" s="1473"/>
    </row>
    <row r="1845" spans="11:15">
      <c r="K1845" s="1470">
        <v>43902</v>
      </c>
      <c r="L1845" s="1471" t="s">
        <v>2129</v>
      </c>
      <c r="M1845" s="1472">
        <v>1.6136999999999999E-2</v>
      </c>
      <c r="N1845" s="1473">
        <v>1.586261884478368</v>
      </c>
      <c r="O1845" s="1473"/>
    </row>
    <row r="1846" spans="11:15">
      <c r="K1846" s="1470">
        <v>43903</v>
      </c>
      <c r="L1846" s="1471" t="s">
        <v>2129</v>
      </c>
      <c r="M1846" s="1472">
        <v>1.6136999999999999E-2</v>
      </c>
      <c r="N1846" s="1473">
        <v>1.5865178595586664</v>
      </c>
      <c r="O1846" s="1473"/>
    </row>
    <row r="1847" spans="11:15">
      <c r="K1847" s="1470">
        <v>43904</v>
      </c>
      <c r="L1847" s="1471"/>
      <c r="M1847" s="1472">
        <v>0</v>
      </c>
      <c r="N1847" s="1473">
        <v>1.5865178595586664</v>
      </c>
      <c r="O1847" s="1473"/>
    </row>
    <row r="1848" spans="11:15">
      <c r="K1848" s="1470">
        <v>43905</v>
      </c>
      <c r="L1848" s="1471"/>
      <c r="M1848" s="1472">
        <v>0</v>
      </c>
      <c r="N1848" s="1473">
        <v>1.5865178595586664</v>
      </c>
      <c r="O1848" s="1473"/>
    </row>
    <row r="1849" spans="11:15">
      <c r="K1849" s="1470">
        <v>43906</v>
      </c>
      <c r="L1849" s="1471" t="s">
        <v>2129</v>
      </c>
      <c r="M1849" s="1472">
        <v>1.6136999999999999E-2</v>
      </c>
      <c r="N1849" s="1473">
        <v>1.5867738759456635</v>
      </c>
      <c r="O1849" s="1473"/>
    </row>
    <row r="1850" spans="11:15">
      <c r="K1850" s="1470">
        <v>43907</v>
      </c>
      <c r="L1850" s="1471" t="s">
        <v>2129</v>
      </c>
      <c r="M1850" s="1472">
        <v>1.6136999999999999E-2</v>
      </c>
      <c r="N1850" s="1473">
        <v>1.587029933646025</v>
      </c>
      <c r="O1850" s="1473"/>
    </row>
    <row r="1851" spans="11:15">
      <c r="K1851" s="1470">
        <v>43908</v>
      </c>
      <c r="L1851" s="1471" t="s">
        <v>2129</v>
      </c>
      <c r="M1851" s="1472">
        <v>1.6136999999999999E-2</v>
      </c>
      <c r="N1851" s="1473">
        <v>1.5872860326664175</v>
      </c>
      <c r="O1851" s="1473"/>
    </row>
    <row r="1852" spans="11:15">
      <c r="K1852" s="1470">
        <v>43909</v>
      </c>
      <c r="L1852" s="1471" t="s">
        <v>2129</v>
      </c>
      <c r="M1852" s="1472">
        <v>1.4227E-2</v>
      </c>
      <c r="N1852" s="1473">
        <v>1.587511855850285</v>
      </c>
      <c r="O1852" s="1473"/>
    </row>
    <row r="1853" spans="11:15">
      <c r="K1853" s="1470">
        <v>43910</v>
      </c>
      <c r="L1853" s="1471" t="s">
        <v>2129</v>
      </c>
      <c r="M1853" s="1472">
        <v>1.4227E-2</v>
      </c>
      <c r="N1853" s="1473">
        <v>1.5877377111620168</v>
      </c>
      <c r="O1853" s="1473"/>
    </row>
    <row r="1854" spans="11:15">
      <c r="K1854" s="1470">
        <v>43911</v>
      </c>
      <c r="L1854" s="1471"/>
      <c r="M1854" s="1472">
        <v>0</v>
      </c>
      <c r="N1854" s="1473">
        <v>1.5877377111620168</v>
      </c>
      <c r="O1854" s="1473"/>
    </row>
    <row r="1855" spans="11:15">
      <c r="K1855" s="1470">
        <v>43912</v>
      </c>
      <c r="L1855" s="1471"/>
      <c r="M1855" s="1472">
        <v>0</v>
      </c>
      <c r="N1855" s="1473">
        <v>1.5877377111620168</v>
      </c>
      <c r="O1855" s="1473"/>
    </row>
    <row r="1856" spans="11:15">
      <c r="K1856" s="1470">
        <v>43913</v>
      </c>
      <c r="L1856" s="1471" t="s">
        <v>2129</v>
      </c>
      <c r="M1856" s="1472">
        <v>1.4227E-2</v>
      </c>
      <c r="N1856" s="1473">
        <v>1.5879635986061837</v>
      </c>
      <c r="O1856" s="1473"/>
    </row>
    <row r="1857" spans="11:15">
      <c r="K1857" s="1470">
        <v>43914</v>
      </c>
      <c r="L1857" s="1471" t="s">
        <v>2129</v>
      </c>
      <c r="M1857" s="1472">
        <v>1.4227E-2</v>
      </c>
      <c r="N1857" s="1473">
        <v>1.5881895181873575</v>
      </c>
      <c r="O1857" s="1473"/>
    </row>
    <row r="1858" spans="11:15">
      <c r="K1858" s="1470">
        <v>43915</v>
      </c>
      <c r="L1858" s="1471" t="s">
        <v>2129</v>
      </c>
      <c r="M1858" s="1472">
        <v>1.4227E-2</v>
      </c>
      <c r="N1858" s="1473">
        <v>1.5884154699101101</v>
      </c>
      <c r="O1858" s="1473"/>
    </row>
    <row r="1859" spans="11:15">
      <c r="K1859" s="1470">
        <v>43916</v>
      </c>
      <c r="L1859" s="1471" t="s">
        <v>2129</v>
      </c>
      <c r="M1859" s="1472">
        <v>1.4227E-2</v>
      </c>
      <c r="N1859" s="1473">
        <v>1.5886414537790141</v>
      </c>
      <c r="O1859" s="1473"/>
    </row>
    <row r="1860" spans="11:15">
      <c r="K1860" s="1470">
        <v>43917</v>
      </c>
      <c r="L1860" s="1471" t="s">
        <v>2129</v>
      </c>
      <c r="M1860" s="1472">
        <v>1.4227E-2</v>
      </c>
      <c r="N1860" s="1473">
        <v>1.5888674697986434</v>
      </c>
      <c r="O1860" s="1473"/>
    </row>
    <row r="1861" spans="11:15">
      <c r="K1861" s="1470">
        <v>43918</v>
      </c>
      <c r="L1861" s="1471"/>
      <c r="M1861" s="1472">
        <v>0</v>
      </c>
      <c r="N1861" s="1473">
        <v>1.5888674697986434</v>
      </c>
      <c r="O1861" s="1473"/>
    </row>
    <row r="1862" spans="11:15">
      <c r="K1862" s="1470">
        <v>43919</v>
      </c>
      <c r="L1862" s="1471"/>
      <c r="M1862" s="1472">
        <v>0</v>
      </c>
      <c r="N1862" s="1473">
        <v>1.5888674697986434</v>
      </c>
      <c r="O1862" s="1473"/>
    </row>
    <row r="1863" spans="11:15">
      <c r="K1863" s="1470">
        <v>43920</v>
      </c>
      <c r="L1863" s="1471" t="s">
        <v>2129</v>
      </c>
      <c r="M1863" s="1472">
        <v>1.4227E-2</v>
      </c>
      <c r="N1863" s="1473">
        <v>1.5890935179735717</v>
      </c>
      <c r="O1863" s="1473"/>
    </row>
    <row r="1864" spans="11:15">
      <c r="K1864" s="1470">
        <v>43921</v>
      </c>
      <c r="L1864" s="1471" t="s">
        <v>2129</v>
      </c>
      <c r="M1864" s="1472">
        <v>1.4227E-2</v>
      </c>
      <c r="N1864" s="1473">
        <v>1.5893195983083739</v>
      </c>
      <c r="O1864" s="1473"/>
    </row>
    <row r="1865" spans="11:15">
      <c r="K1865" s="1470">
        <v>43922</v>
      </c>
      <c r="L1865" s="1471" t="s">
        <v>2129</v>
      </c>
      <c r="M1865" s="1472">
        <v>1.4227E-2</v>
      </c>
      <c r="N1865" s="1473">
        <v>1.5895457108076252</v>
      </c>
      <c r="O1865" s="1473"/>
    </row>
    <row r="1866" spans="11:15">
      <c r="K1866" s="1470">
        <v>43923</v>
      </c>
      <c r="L1866" s="1471" t="s">
        <v>2129</v>
      </c>
      <c r="M1866" s="1472">
        <v>1.4227E-2</v>
      </c>
      <c r="N1866" s="1473">
        <v>1.5897718554759017</v>
      </c>
      <c r="O1866" s="1473"/>
    </row>
    <row r="1867" spans="11:15">
      <c r="K1867" s="1470">
        <v>43924</v>
      </c>
      <c r="L1867" s="1471" t="s">
        <v>2129</v>
      </c>
      <c r="M1867" s="1472">
        <v>1.4227E-2</v>
      </c>
      <c r="N1867" s="1473">
        <v>1.5899980323177803</v>
      </c>
      <c r="O1867" s="1473"/>
    </row>
    <row r="1868" spans="11:15">
      <c r="K1868" s="1470">
        <v>43925</v>
      </c>
      <c r="L1868" s="1471"/>
      <c r="M1868" s="1472">
        <v>0</v>
      </c>
      <c r="N1868" s="1473">
        <v>1.5899980323177803</v>
      </c>
      <c r="O1868" s="1473"/>
    </row>
    <row r="1869" spans="11:15">
      <c r="K1869" s="1470">
        <v>43926</v>
      </c>
      <c r="L1869" s="1471"/>
      <c r="M1869" s="1472">
        <v>0</v>
      </c>
      <c r="N1869" s="1473">
        <v>1.5899980323177803</v>
      </c>
      <c r="O1869" s="1473"/>
    </row>
    <row r="1870" spans="11:15">
      <c r="K1870" s="1470">
        <v>43927</v>
      </c>
      <c r="L1870" s="1471" t="s">
        <v>2129</v>
      </c>
      <c r="M1870" s="1472">
        <v>1.4227E-2</v>
      </c>
      <c r="N1870" s="1473">
        <v>1.590224241337838</v>
      </c>
      <c r="O1870" s="1473"/>
    </row>
    <row r="1871" spans="11:15">
      <c r="K1871" s="1470">
        <v>43928</v>
      </c>
      <c r="L1871" s="1471" t="s">
        <v>2129</v>
      </c>
      <c r="M1871" s="1472">
        <v>1.4227E-2</v>
      </c>
      <c r="N1871" s="1473">
        <v>1.5904504825406531</v>
      </c>
      <c r="O1871" s="1473"/>
    </row>
    <row r="1872" spans="11:15">
      <c r="K1872" s="1470">
        <v>43929</v>
      </c>
      <c r="L1872" s="1471" t="s">
        <v>2129</v>
      </c>
      <c r="M1872" s="1472">
        <v>1.4227E-2</v>
      </c>
      <c r="N1872" s="1473">
        <v>1.5906767559308042</v>
      </c>
      <c r="O1872" s="1473"/>
    </row>
    <row r="1873" spans="11:15">
      <c r="K1873" s="1470">
        <v>43930</v>
      </c>
      <c r="L1873" s="1471" t="s">
        <v>2129</v>
      </c>
      <c r="M1873" s="1472">
        <v>1.4227E-2</v>
      </c>
      <c r="N1873" s="1473">
        <v>1.5909030615128705</v>
      </c>
      <c r="O1873" s="1473"/>
    </row>
    <row r="1874" spans="11:15">
      <c r="K1874" s="1470">
        <v>43931</v>
      </c>
      <c r="L1874" s="1471"/>
      <c r="M1874" s="1472">
        <v>0</v>
      </c>
      <c r="N1874" s="1473">
        <v>1.5909030615128705</v>
      </c>
      <c r="O1874" s="1473"/>
    </row>
    <row r="1875" spans="11:15">
      <c r="K1875" s="1470">
        <v>43932</v>
      </c>
      <c r="L1875" s="1471"/>
      <c r="M1875" s="1472">
        <v>0</v>
      </c>
      <c r="N1875" s="1473">
        <v>1.5909030615128705</v>
      </c>
      <c r="O1875" s="1473"/>
    </row>
    <row r="1876" spans="11:15">
      <c r="K1876" s="1470">
        <v>43933</v>
      </c>
      <c r="L1876" s="1471"/>
      <c r="M1876" s="1472">
        <v>0</v>
      </c>
      <c r="N1876" s="1473">
        <v>1.5909030615128705</v>
      </c>
      <c r="O1876" s="1473"/>
    </row>
    <row r="1877" spans="11:15">
      <c r="K1877" s="1470">
        <v>43934</v>
      </c>
      <c r="L1877" s="1471" t="s">
        <v>2129</v>
      </c>
      <c r="M1877" s="1472">
        <v>1.4227E-2</v>
      </c>
      <c r="N1877" s="1473">
        <v>1.5911293992914319</v>
      </c>
      <c r="O1877" s="1473"/>
    </row>
    <row r="1878" spans="11:15">
      <c r="K1878" s="1470">
        <v>43935</v>
      </c>
      <c r="L1878" s="1471" t="s">
        <v>2129</v>
      </c>
      <c r="M1878" s="1472">
        <v>1.4227E-2</v>
      </c>
      <c r="N1878" s="1473">
        <v>1.5913557692710691</v>
      </c>
      <c r="O1878" s="1473"/>
    </row>
    <row r="1879" spans="11:15">
      <c r="K1879" s="1470">
        <v>43936</v>
      </c>
      <c r="L1879" s="1471" t="s">
        <v>2129</v>
      </c>
      <c r="M1879" s="1472">
        <v>1.4227E-2</v>
      </c>
      <c r="N1879" s="1473">
        <v>1.5915821714563634</v>
      </c>
      <c r="O1879" s="1473"/>
    </row>
    <row r="1880" spans="11:15">
      <c r="K1880" s="1470">
        <v>43937</v>
      </c>
      <c r="L1880" s="1471" t="s">
        <v>2129</v>
      </c>
      <c r="M1880" s="1472">
        <v>1.4227E-2</v>
      </c>
      <c r="N1880" s="1473">
        <v>1.5918086058518965</v>
      </c>
      <c r="O1880" s="1473"/>
    </row>
    <row r="1881" spans="11:15">
      <c r="K1881" s="1470">
        <v>43938</v>
      </c>
      <c r="L1881" s="1471" t="s">
        <v>2129</v>
      </c>
      <c r="M1881" s="1472">
        <v>1.4227E-2</v>
      </c>
      <c r="N1881" s="1473">
        <v>1.5920350724622512</v>
      </c>
      <c r="O1881" s="1473"/>
    </row>
    <row r="1882" spans="11:15">
      <c r="K1882" s="1470">
        <v>43939</v>
      </c>
      <c r="L1882" s="1471"/>
      <c r="M1882" s="1472">
        <v>0</v>
      </c>
      <c r="N1882" s="1473">
        <v>1.5920350724622512</v>
      </c>
      <c r="O1882" s="1473"/>
    </row>
    <row r="1883" spans="11:15">
      <c r="K1883" s="1470">
        <v>43940</v>
      </c>
      <c r="L1883" s="1471"/>
      <c r="M1883" s="1472">
        <v>0</v>
      </c>
      <c r="N1883" s="1473">
        <v>1.5920350724622512</v>
      </c>
      <c r="O1883" s="1473"/>
    </row>
    <row r="1884" spans="11:15">
      <c r="K1884" s="1470">
        <v>43941</v>
      </c>
      <c r="L1884" s="1471" t="s">
        <v>2129</v>
      </c>
      <c r="M1884" s="1472">
        <v>1.4227E-2</v>
      </c>
      <c r="N1884" s="1473">
        <v>1.5922615712920103</v>
      </c>
      <c r="O1884" s="1473"/>
    </row>
    <row r="1885" spans="11:15">
      <c r="K1885" s="1470">
        <v>43942</v>
      </c>
      <c r="L1885" s="1471"/>
      <c r="M1885" s="1472">
        <v>0</v>
      </c>
      <c r="N1885" s="1473">
        <v>1.5922615712920103</v>
      </c>
      <c r="O1885" s="1473"/>
    </row>
    <row r="1886" spans="11:15">
      <c r="K1886" s="1470">
        <v>43943</v>
      </c>
      <c r="L1886" s="1471" t="s">
        <v>2129</v>
      </c>
      <c r="M1886" s="1472">
        <v>1.4227E-2</v>
      </c>
      <c r="N1886" s="1473">
        <v>1.592488102345758</v>
      </c>
      <c r="O1886" s="1473"/>
    </row>
    <row r="1887" spans="11:15">
      <c r="K1887" s="1470">
        <v>43944</v>
      </c>
      <c r="L1887" s="1471" t="s">
        <v>2129</v>
      </c>
      <c r="M1887" s="1472">
        <v>1.4227E-2</v>
      </c>
      <c r="N1887" s="1473">
        <v>1.5927146656280786</v>
      </c>
      <c r="O1887" s="1473"/>
    </row>
    <row r="1888" spans="11:15">
      <c r="K1888" s="1470">
        <v>43945</v>
      </c>
      <c r="L1888" s="1471" t="s">
        <v>2129</v>
      </c>
      <c r="M1888" s="1472">
        <v>1.4227E-2</v>
      </c>
      <c r="N1888" s="1473">
        <v>1.5929412611435576</v>
      </c>
      <c r="O1888" s="1473"/>
    </row>
    <row r="1889" spans="11:15">
      <c r="K1889" s="1470">
        <v>43946</v>
      </c>
      <c r="L1889" s="1471"/>
      <c r="M1889" s="1472">
        <v>0</v>
      </c>
      <c r="N1889" s="1473">
        <v>1.5929412611435576</v>
      </c>
      <c r="O1889" s="1473"/>
    </row>
    <row r="1890" spans="11:15">
      <c r="K1890" s="1470">
        <v>43947</v>
      </c>
      <c r="L1890" s="1471"/>
      <c r="M1890" s="1472">
        <v>0</v>
      </c>
      <c r="N1890" s="1473">
        <v>1.5929412611435576</v>
      </c>
      <c r="O1890" s="1473"/>
    </row>
    <row r="1891" spans="11:15">
      <c r="K1891" s="1470">
        <v>43948</v>
      </c>
      <c r="L1891" s="1471" t="s">
        <v>2129</v>
      </c>
      <c r="M1891" s="1472">
        <v>1.4227E-2</v>
      </c>
      <c r="N1891" s="1473">
        <v>1.5931678888967804</v>
      </c>
      <c r="O1891" s="1473"/>
    </row>
    <row r="1892" spans="11:15">
      <c r="K1892" s="1470">
        <v>43949</v>
      </c>
      <c r="L1892" s="1471" t="s">
        <v>2129</v>
      </c>
      <c r="M1892" s="1472">
        <v>1.4227E-2</v>
      </c>
      <c r="N1892" s="1473">
        <v>1.5933945488923338</v>
      </c>
      <c r="O1892" s="1473"/>
    </row>
    <row r="1893" spans="11:15">
      <c r="K1893" s="1470">
        <v>43950</v>
      </c>
      <c r="L1893" s="1471" t="s">
        <v>2129</v>
      </c>
      <c r="M1893" s="1472">
        <v>1.4227E-2</v>
      </c>
      <c r="N1893" s="1473">
        <v>1.5936212411348047</v>
      </c>
      <c r="O1893" s="1473"/>
    </row>
    <row r="1894" spans="11:15">
      <c r="K1894" s="1470">
        <v>43951</v>
      </c>
      <c r="L1894" s="1471" t="s">
        <v>2129</v>
      </c>
      <c r="M1894" s="1472">
        <v>1.4227E-2</v>
      </c>
      <c r="N1894" s="1473">
        <v>1.5938479656287809</v>
      </c>
      <c r="O1894" s="1473"/>
    </row>
    <row r="1895" spans="11:15">
      <c r="K1895" s="1470">
        <v>43952</v>
      </c>
      <c r="L1895" s="1471"/>
      <c r="M1895" s="1472">
        <v>0</v>
      </c>
      <c r="N1895" s="1473">
        <v>1.5938479656287809</v>
      </c>
      <c r="O1895" s="1473"/>
    </row>
    <row r="1896" spans="11:15">
      <c r="K1896" s="1470">
        <v>43953</v>
      </c>
      <c r="L1896" s="1471"/>
      <c r="M1896" s="1472">
        <v>0</v>
      </c>
      <c r="N1896" s="1473">
        <v>1.5938479656287809</v>
      </c>
      <c r="O1896" s="1473"/>
    </row>
    <row r="1897" spans="11:15">
      <c r="K1897" s="1470">
        <v>43954</v>
      </c>
      <c r="L1897" s="1471"/>
      <c r="M1897" s="1472">
        <v>0</v>
      </c>
      <c r="N1897" s="1473">
        <v>1.5938479656287809</v>
      </c>
      <c r="O1897" s="1473"/>
    </row>
    <row r="1898" spans="11:15">
      <c r="K1898" s="1470">
        <v>43955</v>
      </c>
      <c r="L1898" s="1471" t="s">
        <v>2129</v>
      </c>
      <c r="M1898" s="1472">
        <v>1.4227E-2</v>
      </c>
      <c r="N1898" s="1473">
        <v>1.594074722378851</v>
      </c>
      <c r="O1898" s="1473"/>
    </row>
    <row r="1899" spans="11:15">
      <c r="K1899" s="1470">
        <v>43956</v>
      </c>
      <c r="L1899" s="1471" t="s">
        <v>2129</v>
      </c>
      <c r="M1899" s="1472">
        <v>1.4227E-2</v>
      </c>
      <c r="N1899" s="1473">
        <v>1.5943015113896037</v>
      </c>
      <c r="O1899" s="1473"/>
    </row>
    <row r="1900" spans="11:15">
      <c r="K1900" s="1470">
        <v>43957</v>
      </c>
      <c r="L1900" s="1471" t="s">
        <v>2129</v>
      </c>
      <c r="M1900" s="1472">
        <v>1.4227E-2</v>
      </c>
      <c r="N1900" s="1473">
        <v>1.5945283326656292</v>
      </c>
      <c r="O1900" s="1473"/>
    </row>
    <row r="1901" spans="11:15">
      <c r="K1901" s="1470">
        <v>43958</v>
      </c>
      <c r="L1901" s="1471" t="s">
        <v>2129</v>
      </c>
      <c r="M1901" s="1472">
        <v>1.1344999999999999E-2</v>
      </c>
      <c r="N1901" s="1473">
        <v>1.59470923190497</v>
      </c>
      <c r="O1901" s="1473"/>
    </row>
    <row r="1902" spans="11:15">
      <c r="K1902" s="1470">
        <v>43959</v>
      </c>
      <c r="L1902" s="1471" t="s">
        <v>2129</v>
      </c>
      <c r="M1902" s="1472">
        <v>1.1344999999999999E-2</v>
      </c>
      <c r="N1902" s="1473">
        <v>1.5948901516673295</v>
      </c>
      <c r="O1902" s="1473"/>
    </row>
    <row r="1903" spans="11:15">
      <c r="K1903" s="1470">
        <v>43960</v>
      </c>
      <c r="L1903" s="1471"/>
      <c r="M1903" s="1472">
        <v>0</v>
      </c>
      <c r="N1903" s="1473">
        <v>1.5948901516673295</v>
      </c>
      <c r="O1903" s="1473"/>
    </row>
    <row r="1904" spans="11:15">
      <c r="K1904" s="1470">
        <v>43961</v>
      </c>
      <c r="L1904" s="1471"/>
      <c r="M1904" s="1472">
        <v>0</v>
      </c>
      <c r="N1904" s="1473">
        <v>1.5948901516673295</v>
      </c>
      <c r="O1904" s="1473"/>
    </row>
    <row r="1905" spans="11:15">
      <c r="K1905" s="1470">
        <v>43962</v>
      </c>
      <c r="L1905" s="1471" t="s">
        <v>2129</v>
      </c>
      <c r="M1905" s="1472">
        <v>1.1344999999999999E-2</v>
      </c>
      <c r="N1905" s="1473">
        <v>1.5950710919550362</v>
      </c>
      <c r="O1905" s="1473"/>
    </row>
    <row r="1906" spans="11:15">
      <c r="K1906" s="1470">
        <v>43963</v>
      </c>
      <c r="L1906" s="1471" t="s">
        <v>2129</v>
      </c>
      <c r="M1906" s="1472">
        <v>1.1344999999999999E-2</v>
      </c>
      <c r="N1906" s="1473">
        <v>1.5952520527704184</v>
      </c>
      <c r="O1906" s="1473"/>
    </row>
    <row r="1907" spans="11:15">
      <c r="K1907" s="1470">
        <v>43964</v>
      </c>
      <c r="L1907" s="1471" t="s">
        <v>2129</v>
      </c>
      <c r="M1907" s="1472">
        <v>1.1344999999999999E-2</v>
      </c>
      <c r="N1907" s="1473">
        <v>1.5954330341158052</v>
      </c>
      <c r="O1907" s="1473"/>
    </row>
    <row r="1908" spans="11:15">
      <c r="K1908" s="1470">
        <v>43965</v>
      </c>
      <c r="L1908" s="1471" t="s">
        <v>2129</v>
      </c>
      <c r="M1908" s="1472">
        <v>1.1344999999999999E-2</v>
      </c>
      <c r="N1908" s="1473">
        <v>1.5956140359935256</v>
      </c>
      <c r="O1908" s="1473"/>
    </row>
    <row r="1909" spans="11:15">
      <c r="K1909" s="1470">
        <v>43966</v>
      </c>
      <c r="L1909" s="1471" t="s">
        <v>2129</v>
      </c>
      <c r="M1909" s="1472">
        <v>1.1344999999999999E-2</v>
      </c>
      <c r="N1909" s="1473">
        <v>1.5957950584059091</v>
      </c>
      <c r="O1909" s="1473"/>
    </row>
    <row r="1910" spans="11:15">
      <c r="K1910" s="1470">
        <v>43967</v>
      </c>
      <c r="L1910" s="1471"/>
      <c r="M1910" s="1472">
        <v>0</v>
      </c>
      <c r="N1910" s="1473">
        <v>1.5957950584059091</v>
      </c>
      <c r="O1910" s="1473"/>
    </row>
    <row r="1911" spans="11:15">
      <c r="K1911" s="1470">
        <v>43968</v>
      </c>
      <c r="L1911" s="1471"/>
      <c r="M1911" s="1472">
        <v>0</v>
      </c>
      <c r="N1911" s="1473">
        <v>1.5957950584059091</v>
      </c>
      <c r="O1911" s="1473"/>
    </row>
    <row r="1912" spans="11:15">
      <c r="K1912" s="1470">
        <v>43969</v>
      </c>
      <c r="L1912" s="1471" t="s">
        <v>2129</v>
      </c>
      <c r="M1912" s="1472">
        <v>1.1344999999999999E-2</v>
      </c>
      <c r="N1912" s="1473">
        <v>1.5959761013552851</v>
      </c>
      <c r="O1912" s="1473"/>
    </row>
    <row r="1913" spans="11:15">
      <c r="K1913" s="1470">
        <v>43970</v>
      </c>
      <c r="L1913" s="1471" t="s">
        <v>2129</v>
      </c>
      <c r="M1913" s="1472">
        <v>1.1344999999999999E-2</v>
      </c>
      <c r="N1913" s="1473">
        <v>1.5961571648439838</v>
      </c>
      <c r="O1913" s="1473"/>
    </row>
    <row r="1914" spans="11:15">
      <c r="K1914" s="1470">
        <v>43971</v>
      </c>
      <c r="L1914" s="1471" t="s">
        <v>2129</v>
      </c>
      <c r="M1914" s="1472">
        <v>1.1344999999999999E-2</v>
      </c>
      <c r="N1914" s="1473">
        <v>1.5963382488743354</v>
      </c>
      <c r="O1914" s="1473"/>
    </row>
    <row r="1915" spans="11:15">
      <c r="K1915" s="1470">
        <v>43972</v>
      </c>
      <c r="L1915" s="1471" t="s">
        <v>2129</v>
      </c>
      <c r="M1915" s="1472">
        <v>1.1344999999999999E-2</v>
      </c>
      <c r="N1915" s="1473">
        <v>1.5965193534486701</v>
      </c>
      <c r="O1915" s="1473"/>
    </row>
    <row r="1916" spans="11:15">
      <c r="K1916" s="1470">
        <v>43973</v>
      </c>
      <c r="L1916" s="1471" t="s">
        <v>2129</v>
      </c>
      <c r="M1916" s="1472">
        <v>1.1344999999999999E-2</v>
      </c>
      <c r="N1916" s="1473">
        <v>1.5967004785693188</v>
      </c>
      <c r="O1916" s="1473"/>
    </row>
    <row r="1917" spans="11:15">
      <c r="K1917" s="1470">
        <v>43974</v>
      </c>
      <c r="L1917" s="1471"/>
      <c r="M1917" s="1472">
        <v>0</v>
      </c>
      <c r="N1917" s="1473">
        <v>1.5967004785693188</v>
      </c>
      <c r="O1917" s="1473"/>
    </row>
    <row r="1918" spans="11:15">
      <c r="K1918" s="1470">
        <v>43975</v>
      </c>
      <c r="L1918" s="1471"/>
      <c r="M1918" s="1472">
        <v>0</v>
      </c>
      <c r="N1918" s="1473">
        <v>1.5967004785693188</v>
      </c>
      <c r="O1918" s="1473"/>
    </row>
    <row r="1919" spans="11:15">
      <c r="K1919" s="1470">
        <v>43976</v>
      </c>
      <c r="L1919" s="1471" t="s">
        <v>2129</v>
      </c>
      <c r="M1919" s="1472">
        <v>1.1344999999999999E-2</v>
      </c>
      <c r="N1919" s="1473">
        <v>1.5968816242386126</v>
      </c>
      <c r="O1919" s="1473"/>
    </row>
    <row r="1920" spans="11:15">
      <c r="K1920" s="1470">
        <v>43977</v>
      </c>
      <c r="L1920" s="1471" t="s">
        <v>2129</v>
      </c>
      <c r="M1920" s="1472">
        <v>1.1344999999999999E-2</v>
      </c>
      <c r="N1920" s="1473">
        <v>1.5970627904588823</v>
      </c>
      <c r="O1920" s="1473"/>
    </row>
    <row r="1921" spans="11:15">
      <c r="K1921" s="1470">
        <v>43978</v>
      </c>
      <c r="L1921" s="1471" t="s">
        <v>2129</v>
      </c>
      <c r="M1921" s="1472">
        <v>1.1344999999999999E-2</v>
      </c>
      <c r="N1921" s="1473">
        <v>1.5972439772324598</v>
      </c>
      <c r="O1921" s="1473"/>
    </row>
    <row r="1922" spans="11:15">
      <c r="K1922" s="1470">
        <v>43979</v>
      </c>
      <c r="L1922" s="1471" t="s">
        <v>2129</v>
      </c>
      <c r="M1922" s="1472">
        <v>1.1344999999999999E-2</v>
      </c>
      <c r="N1922" s="1473">
        <v>1.5974251845616767</v>
      </c>
      <c r="O1922" s="1473"/>
    </row>
    <row r="1923" spans="11:15">
      <c r="K1923" s="1470">
        <v>43980</v>
      </c>
      <c r="L1923" s="1471" t="s">
        <v>2129</v>
      </c>
      <c r="M1923" s="1472">
        <v>1.1344999999999999E-2</v>
      </c>
      <c r="N1923" s="1473">
        <v>1.5976064124488651</v>
      </c>
      <c r="O1923" s="1473"/>
    </row>
    <row r="1924" spans="11:15">
      <c r="K1924" s="1470">
        <v>43981</v>
      </c>
      <c r="L1924" s="1471"/>
      <c r="M1924" s="1472">
        <v>0</v>
      </c>
      <c r="N1924" s="1473">
        <v>1.5976064124488651</v>
      </c>
      <c r="O1924" s="1473"/>
    </row>
    <row r="1925" spans="11:15">
      <c r="K1925" s="1470">
        <v>43982</v>
      </c>
      <c r="L1925" s="1471"/>
      <c r="M1925" s="1472">
        <v>0</v>
      </c>
      <c r="N1925" s="1473">
        <v>1.5976064124488651</v>
      </c>
      <c r="O1925" s="1473"/>
    </row>
    <row r="1926" spans="11:15">
      <c r="K1926" s="1470">
        <v>43983</v>
      </c>
      <c r="L1926" s="1471" t="s">
        <v>2129</v>
      </c>
      <c r="M1926" s="1472">
        <v>1.1344999999999999E-2</v>
      </c>
      <c r="N1926" s="1473">
        <v>1.5977876608963575</v>
      </c>
      <c r="O1926" s="1473"/>
    </row>
    <row r="1927" spans="11:15">
      <c r="K1927" s="1470">
        <v>43984</v>
      </c>
      <c r="L1927" s="1471" t="s">
        <v>2129</v>
      </c>
      <c r="M1927" s="1472">
        <v>1.1344999999999999E-2</v>
      </c>
      <c r="N1927" s="1473">
        <v>1.5979689299064861</v>
      </c>
      <c r="O1927" s="1473"/>
    </row>
    <row r="1928" spans="11:15">
      <c r="K1928" s="1470">
        <v>43985</v>
      </c>
      <c r="L1928" s="1471" t="s">
        <v>2129</v>
      </c>
      <c r="M1928" s="1472">
        <v>1.1344999999999999E-2</v>
      </c>
      <c r="N1928" s="1473">
        <v>1.598150219481584</v>
      </c>
      <c r="O1928" s="1473"/>
    </row>
    <row r="1929" spans="11:15">
      <c r="K1929" s="1470">
        <v>43986</v>
      </c>
      <c r="L1929" s="1471" t="s">
        <v>2129</v>
      </c>
      <c r="M1929" s="1472">
        <v>1.1344999999999999E-2</v>
      </c>
      <c r="N1929" s="1473">
        <v>1.5983315296239842</v>
      </c>
      <c r="O1929" s="1473"/>
    </row>
    <row r="1930" spans="11:15">
      <c r="K1930" s="1470">
        <v>43987</v>
      </c>
      <c r="L1930" s="1471" t="s">
        <v>2129</v>
      </c>
      <c r="M1930" s="1472">
        <v>1.1344999999999999E-2</v>
      </c>
      <c r="N1930" s="1473">
        <v>1.5985128603360199</v>
      </c>
      <c r="O1930" s="1473"/>
    </row>
    <row r="1931" spans="11:15">
      <c r="K1931" s="1470">
        <v>43988</v>
      </c>
      <c r="L1931" s="1471"/>
      <c r="M1931" s="1472">
        <v>0</v>
      </c>
      <c r="N1931" s="1473">
        <v>1.5985128603360199</v>
      </c>
      <c r="O1931" s="1473"/>
    </row>
    <row r="1932" spans="11:15">
      <c r="K1932" s="1470">
        <v>43989</v>
      </c>
      <c r="L1932" s="1471"/>
      <c r="M1932" s="1472">
        <v>0</v>
      </c>
      <c r="N1932" s="1473">
        <v>1.5985128603360199</v>
      </c>
      <c r="O1932" s="1473"/>
    </row>
    <row r="1933" spans="11:15">
      <c r="K1933" s="1470">
        <v>43990</v>
      </c>
      <c r="L1933" s="1471" t="s">
        <v>2129</v>
      </c>
      <c r="M1933" s="1472">
        <v>1.1344999999999999E-2</v>
      </c>
      <c r="N1933" s="1473">
        <v>1.5986942116200249</v>
      </c>
      <c r="O1933" s="1473"/>
    </row>
    <row r="1934" spans="11:15">
      <c r="K1934" s="1470">
        <v>43991</v>
      </c>
      <c r="L1934" s="1471" t="s">
        <v>2129</v>
      </c>
      <c r="M1934" s="1472">
        <v>1.1344999999999999E-2</v>
      </c>
      <c r="N1934" s="1473">
        <v>1.598875583478333</v>
      </c>
      <c r="O1934" s="1473"/>
    </row>
    <row r="1935" spans="11:15">
      <c r="K1935" s="1470">
        <v>43992</v>
      </c>
      <c r="L1935" s="1471" t="s">
        <v>2129</v>
      </c>
      <c r="M1935" s="1472">
        <v>1.1344999999999999E-2</v>
      </c>
      <c r="N1935" s="1473">
        <v>1.5990569759132787</v>
      </c>
      <c r="O1935" s="1473"/>
    </row>
    <row r="1936" spans="11:15">
      <c r="K1936" s="1470">
        <v>43993</v>
      </c>
      <c r="L1936" s="1471"/>
      <c r="M1936" s="1472">
        <v>0</v>
      </c>
      <c r="N1936" s="1473">
        <v>1.5990569759132787</v>
      </c>
      <c r="O1936" s="1473"/>
    </row>
    <row r="1937" spans="11:15">
      <c r="K1937" s="1470">
        <v>43994</v>
      </c>
      <c r="L1937" s="1471" t="s">
        <v>2129</v>
      </c>
      <c r="M1937" s="1472">
        <v>1.1344999999999999E-2</v>
      </c>
      <c r="N1937" s="1473">
        <v>1.5992383889271959</v>
      </c>
      <c r="O1937" s="1473"/>
    </row>
    <row r="1938" spans="11:15">
      <c r="K1938" s="1470">
        <v>43995</v>
      </c>
      <c r="L1938" s="1471"/>
      <c r="M1938" s="1472">
        <v>0</v>
      </c>
      <c r="N1938" s="1473">
        <v>1.5992383889271959</v>
      </c>
      <c r="O1938" s="1473"/>
    </row>
    <row r="1939" spans="11:15">
      <c r="K1939" s="1470">
        <v>43996</v>
      </c>
      <c r="L1939" s="1471"/>
      <c r="M1939" s="1472">
        <v>0</v>
      </c>
      <c r="N1939" s="1473">
        <v>1.5992383889271959</v>
      </c>
      <c r="O1939" s="1473"/>
    </row>
    <row r="1940" spans="11:15">
      <c r="K1940" s="1470">
        <v>43997</v>
      </c>
      <c r="L1940" s="1471" t="s">
        <v>2129</v>
      </c>
      <c r="M1940" s="1472">
        <v>1.1344999999999999E-2</v>
      </c>
      <c r="N1940" s="1473">
        <v>1.5994198225224197</v>
      </c>
      <c r="O1940" s="1473"/>
    </row>
    <row r="1941" spans="11:15">
      <c r="K1941" s="1470">
        <v>43998</v>
      </c>
      <c r="L1941" s="1471" t="s">
        <v>2129</v>
      </c>
      <c r="M1941" s="1472">
        <v>1.1344999999999999E-2</v>
      </c>
      <c r="N1941" s="1473">
        <v>1.5996012767012848</v>
      </c>
      <c r="O1941" s="1473"/>
    </row>
    <row r="1942" spans="11:15">
      <c r="K1942" s="1470">
        <v>43999</v>
      </c>
      <c r="L1942" s="1471" t="s">
        <v>2129</v>
      </c>
      <c r="M1942" s="1472">
        <v>1.1344999999999999E-2</v>
      </c>
      <c r="N1942" s="1473">
        <v>1.5997827514661265</v>
      </c>
      <c r="O1942" s="1473"/>
    </row>
    <row r="1943" spans="11:15">
      <c r="K1943" s="1470">
        <v>44000</v>
      </c>
      <c r="L1943" s="1471" t="s">
        <v>2129</v>
      </c>
      <c r="M1943" s="1472">
        <v>8.4419999999999999E-3</v>
      </c>
      <c r="N1943" s="1473">
        <v>1.5999178051260055</v>
      </c>
      <c r="O1943" s="1473"/>
    </row>
    <row r="1944" spans="11:15">
      <c r="K1944" s="1470">
        <v>44001</v>
      </c>
      <c r="L1944" s="1471" t="s">
        <v>2129</v>
      </c>
      <c r="M1944" s="1472">
        <v>8.4419999999999999E-3</v>
      </c>
      <c r="N1944" s="1473">
        <v>1.6000528701871144</v>
      </c>
      <c r="O1944" s="1473"/>
    </row>
    <row r="1945" spans="11:15">
      <c r="K1945" s="1470">
        <v>44002</v>
      </c>
      <c r="L1945" s="1471"/>
      <c r="M1945" s="1472">
        <v>0</v>
      </c>
      <c r="N1945" s="1473">
        <v>1.6000528701871144</v>
      </c>
      <c r="O1945" s="1473"/>
    </row>
    <row r="1946" spans="11:15">
      <c r="K1946" s="1470">
        <v>44003</v>
      </c>
      <c r="L1946" s="1471"/>
      <c r="M1946" s="1472">
        <v>0</v>
      </c>
      <c r="N1946" s="1473">
        <v>1.6000528701871144</v>
      </c>
      <c r="O1946" s="1473"/>
    </row>
    <row r="1947" spans="11:15">
      <c r="K1947" s="1470">
        <v>44004</v>
      </c>
      <c r="L1947" s="1471" t="s">
        <v>2129</v>
      </c>
      <c r="M1947" s="1472">
        <v>8.4419999999999999E-3</v>
      </c>
      <c r="N1947" s="1473">
        <v>1.6001879466504156</v>
      </c>
      <c r="O1947" s="1473"/>
    </row>
    <row r="1948" spans="11:15">
      <c r="K1948" s="1470">
        <v>44005</v>
      </c>
      <c r="L1948" s="1471" t="s">
        <v>2129</v>
      </c>
      <c r="M1948" s="1472">
        <v>8.4419999999999999E-3</v>
      </c>
      <c r="N1948" s="1473">
        <v>1.600323034516872</v>
      </c>
      <c r="O1948" s="1473"/>
    </row>
    <row r="1949" spans="11:15">
      <c r="K1949" s="1470">
        <v>44006</v>
      </c>
      <c r="L1949" s="1471" t="s">
        <v>2129</v>
      </c>
      <c r="M1949" s="1472">
        <v>8.4419999999999999E-3</v>
      </c>
      <c r="N1949" s="1473">
        <v>1.6004581337874459</v>
      </c>
      <c r="O1949" s="1473"/>
    </row>
    <row r="1950" spans="11:15">
      <c r="K1950" s="1470">
        <v>44007</v>
      </c>
      <c r="L1950" s="1471" t="s">
        <v>2129</v>
      </c>
      <c r="M1950" s="1472">
        <v>8.4419999999999999E-3</v>
      </c>
      <c r="N1950" s="1473">
        <v>1.6005932444631004</v>
      </c>
      <c r="O1950" s="1473"/>
    </row>
    <row r="1951" spans="11:15">
      <c r="K1951" s="1470">
        <v>44008</v>
      </c>
      <c r="L1951" s="1471" t="s">
        <v>2129</v>
      </c>
      <c r="M1951" s="1472">
        <v>8.4419999999999999E-3</v>
      </c>
      <c r="N1951" s="1473">
        <v>1.600728366544798</v>
      </c>
      <c r="O1951" s="1473"/>
    </row>
    <row r="1952" spans="11:15">
      <c r="K1952" s="1470">
        <v>44009</v>
      </c>
      <c r="L1952" s="1471"/>
      <c r="M1952" s="1472">
        <v>0</v>
      </c>
      <c r="N1952" s="1473">
        <v>1.600728366544798</v>
      </c>
      <c r="O1952" s="1473"/>
    </row>
    <row r="1953" spans="11:15">
      <c r="K1953" s="1470">
        <v>44010</v>
      </c>
      <c r="L1953" s="1471"/>
      <c r="M1953" s="1472">
        <v>0</v>
      </c>
      <c r="N1953" s="1473">
        <v>1.600728366544798</v>
      </c>
      <c r="O1953" s="1473"/>
    </row>
    <row r="1954" spans="11:15">
      <c r="K1954" s="1470">
        <v>44011</v>
      </c>
      <c r="L1954" s="1471" t="s">
        <v>2129</v>
      </c>
      <c r="M1954" s="1472">
        <v>8.4419999999999999E-3</v>
      </c>
      <c r="N1954" s="1473">
        <v>1.6008635000335019</v>
      </c>
      <c r="O1954" s="1473"/>
    </row>
    <row r="1955" spans="11:15">
      <c r="K1955" s="1470">
        <v>44012</v>
      </c>
      <c r="L1955" s="1471" t="s">
        <v>2129</v>
      </c>
      <c r="M1955" s="1472">
        <v>8.4419999999999999E-3</v>
      </c>
      <c r="N1955" s="1473">
        <v>1.6009986449301747</v>
      </c>
      <c r="O1955" s="1473"/>
    </row>
    <row r="1956" spans="11:15">
      <c r="K1956" s="1470">
        <v>44013</v>
      </c>
      <c r="L1956" s="1471" t="s">
        <v>2129</v>
      </c>
      <c r="M1956" s="1472">
        <v>8.4419999999999999E-3</v>
      </c>
      <c r="N1956" s="1473">
        <v>1.6011338012357799</v>
      </c>
      <c r="O1956" s="1473"/>
    </row>
    <row r="1957" spans="11:15">
      <c r="K1957" s="1470">
        <v>44014</v>
      </c>
      <c r="L1957" s="1471" t="s">
        <v>2129</v>
      </c>
      <c r="M1957" s="1472">
        <v>8.4419999999999999E-3</v>
      </c>
      <c r="N1957" s="1473">
        <v>1.6012689689512802</v>
      </c>
      <c r="O1957" s="1473"/>
    </row>
    <row r="1958" spans="11:15">
      <c r="K1958" s="1470">
        <v>44015</v>
      </c>
      <c r="L1958" s="1471" t="s">
        <v>2129</v>
      </c>
      <c r="M1958" s="1472">
        <v>8.4419999999999999E-3</v>
      </c>
      <c r="N1958" s="1473">
        <v>1.6014041480776393</v>
      </c>
      <c r="O1958" s="1473"/>
    </row>
    <row r="1959" spans="11:15">
      <c r="K1959" s="1470">
        <v>44016</v>
      </c>
      <c r="L1959" s="1471"/>
      <c r="M1959" s="1472">
        <v>0</v>
      </c>
      <c r="N1959" s="1473">
        <v>1.6014041480776393</v>
      </c>
      <c r="O1959" s="1473"/>
    </row>
    <row r="1960" spans="11:15">
      <c r="K1960" s="1470">
        <v>44017</v>
      </c>
      <c r="L1960" s="1471"/>
      <c r="M1960" s="1472">
        <v>0</v>
      </c>
      <c r="N1960" s="1473">
        <v>1.6014041480776393</v>
      </c>
      <c r="O1960" s="1473"/>
    </row>
    <row r="1961" spans="11:15">
      <c r="K1961" s="1470">
        <v>44018</v>
      </c>
      <c r="L1961" s="1471" t="s">
        <v>2129</v>
      </c>
      <c r="M1961" s="1472">
        <v>8.4419999999999999E-3</v>
      </c>
      <c r="N1961" s="1473">
        <v>1.6015393386158201</v>
      </c>
      <c r="O1961" s="1473"/>
    </row>
    <row r="1962" spans="11:15">
      <c r="K1962" s="1470">
        <v>44019</v>
      </c>
      <c r="L1962" s="1471" t="s">
        <v>2129</v>
      </c>
      <c r="M1962" s="1472">
        <v>8.4419999999999999E-3</v>
      </c>
      <c r="N1962" s="1473">
        <v>1.6016745405667863</v>
      </c>
      <c r="O1962" s="1473"/>
    </row>
    <row r="1963" spans="11:15">
      <c r="K1963" s="1470">
        <v>44020</v>
      </c>
      <c r="L1963" s="1471" t="s">
        <v>2129</v>
      </c>
      <c r="M1963" s="1472">
        <v>8.4419999999999999E-3</v>
      </c>
      <c r="N1963" s="1473">
        <v>1.601809753931501</v>
      </c>
      <c r="O1963" s="1473"/>
    </row>
    <row r="1964" spans="11:15">
      <c r="K1964" s="1470">
        <v>44021</v>
      </c>
      <c r="L1964" s="1471" t="s">
        <v>2129</v>
      </c>
      <c r="M1964" s="1472">
        <v>8.4419999999999999E-3</v>
      </c>
      <c r="N1964" s="1473">
        <v>1.6019449787109281</v>
      </c>
      <c r="O1964" s="1473"/>
    </row>
    <row r="1965" spans="11:15">
      <c r="K1965" s="1470">
        <v>44022</v>
      </c>
      <c r="L1965" s="1471" t="s">
        <v>2129</v>
      </c>
      <c r="M1965" s="1472">
        <v>8.4419999999999999E-3</v>
      </c>
      <c r="N1965" s="1473">
        <v>1.6020802149060309</v>
      </c>
      <c r="O1965" s="1473"/>
    </row>
    <row r="1966" spans="11:15">
      <c r="K1966" s="1470">
        <v>44023</v>
      </c>
      <c r="L1966" s="1471"/>
      <c r="M1966" s="1472">
        <v>0</v>
      </c>
      <c r="N1966" s="1473">
        <v>1.6020802149060309</v>
      </c>
      <c r="O1966" s="1473"/>
    </row>
    <row r="1967" spans="11:15">
      <c r="K1967" s="1470">
        <v>44024</v>
      </c>
      <c r="L1967" s="1471"/>
      <c r="M1967" s="1472">
        <v>0</v>
      </c>
      <c r="N1967" s="1473">
        <v>1.6020802149060309</v>
      </c>
      <c r="O1967" s="1473"/>
    </row>
    <row r="1968" spans="11:15">
      <c r="K1968" s="1470">
        <v>44025</v>
      </c>
      <c r="L1968" s="1471" t="s">
        <v>2129</v>
      </c>
      <c r="M1968" s="1472">
        <v>8.4419999999999999E-3</v>
      </c>
      <c r="N1968" s="1473">
        <v>1.6022154625177734</v>
      </c>
      <c r="O1968" s="1473"/>
    </row>
    <row r="1969" spans="11:15">
      <c r="K1969" s="1470">
        <v>44026</v>
      </c>
      <c r="L1969" s="1471" t="s">
        <v>2129</v>
      </c>
      <c r="M1969" s="1472">
        <v>8.4419999999999999E-3</v>
      </c>
      <c r="N1969" s="1473">
        <v>1.6023507215471193</v>
      </c>
      <c r="O1969" s="1473"/>
    </row>
    <row r="1970" spans="11:15">
      <c r="K1970" s="1470">
        <v>44027</v>
      </c>
      <c r="L1970" s="1471" t="s">
        <v>2129</v>
      </c>
      <c r="M1970" s="1472">
        <v>8.4419999999999999E-3</v>
      </c>
      <c r="N1970" s="1473">
        <v>1.6024859919950325</v>
      </c>
      <c r="O1970" s="1473"/>
    </row>
    <row r="1971" spans="11:15">
      <c r="K1971" s="1470">
        <v>44028</v>
      </c>
      <c r="L1971" s="1471" t="s">
        <v>2129</v>
      </c>
      <c r="M1971" s="1472">
        <v>8.4419999999999999E-3</v>
      </c>
      <c r="N1971" s="1473">
        <v>1.6026212738624768</v>
      </c>
      <c r="O1971" s="1473"/>
    </row>
    <row r="1972" spans="11:15">
      <c r="K1972" s="1470">
        <v>44029</v>
      </c>
      <c r="L1972" s="1471" t="s">
        <v>2129</v>
      </c>
      <c r="M1972" s="1472">
        <v>8.4419999999999999E-3</v>
      </c>
      <c r="N1972" s="1473">
        <v>1.6027565671504165</v>
      </c>
      <c r="O1972" s="1473"/>
    </row>
    <row r="1973" spans="11:15">
      <c r="K1973" s="1470">
        <v>44030</v>
      </c>
      <c r="L1973" s="1471"/>
      <c r="M1973" s="1472">
        <v>0</v>
      </c>
      <c r="N1973" s="1473">
        <v>1.6027565671504165</v>
      </c>
      <c r="O1973" s="1473"/>
    </row>
    <row r="1974" spans="11:15">
      <c r="K1974" s="1470">
        <v>44031</v>
      </c>
      <c r="L1974" s="1471"/>
      <c r="M1974" s="1472">
        <v>0</v>
      </c>
      <c r="N1974" s="1473">
        <v>1.6027565671504165</v>
      </c>
      <c r="O1974" s="1473"/>
    </row>
    <row r="1975" spans="11:15">
      <c r="K1975" s="1470">
        <v>44032</v>
      </c>
      <c r="L1975" s="1471" t="s">
        <v>2129</v>
      </c>
      <c r="M1975" s="1472">
        <v>8.4419999999999999E-3</v>
      </c>
      <c r="N1975" s="1473">
        <v>1.6028918718598155</v>
      </c>
      <c r="O1975" s="1473"/>
    </row>
    <row r="1976" spans="11:15">
      <c r="K1976" s="1470">
        <v>44033</v>
      </c>
      <c r="L1976" s="1471" t="s">
        <v>2129</v>
      </c>
      <c r="M1976" s="1472">
        <v>8.4419999999999999E-3</v>
      </c>
      <c r="N1976" s="1473">
        <v>1.603027187991638</v>
      </c>
      <c r="O1976" s="1473"/>
    </row>
    <row r="1977" spans="11:15">
      <c r="K1977" s="1470">
        <v>44034</v>
      </c>
      <c r="L1977" s="1471" t="s">
        <v>2129</v>
      </c>
      <c r="M1977" s="1472">
        <v>8.4419999999999999E-3</v>
      </c>
      <c r="N1977" s="1473">
        <v>1.6031625155468483</v>
      </c>
      <c r="O1977" s="1473"/>
    </row>
    <row r="1978" spans="11:15">
      <c r="K1978" s="1470">
        <v>44035</v>
      </c>
      <c r="L1978" s="1471" t="s">
        <v>2129</v>
      </c>
      <c r="M1978" s="1472">
        <v>8.4419999999999999E-3</v>
      </c>
      <c r="N1978" s="1473">
        <v>1.6032978545264109</v>
      </c>
      <c r="O1978" s="1473"/>
    </row>
    <row r="1979" spans="11:15">
      <c r="K1979" s="1470">
        <v>44036</v>
      </c>
      <c r="L1979" s="1471" t="s">
        <v>2129</v>
      </c>
      <c r="M1979" s="1472">
        <v>8.4419999999999999E-3</v>
      </c>
      <c r="N1979" s="1473">
        <v>1.6034332049312903</v>
      </c>
      <c r="O1979" s="1473"/>
    </row>
    <row r="1980" spans="11:15">
      <c r="K1980" s="1470">
        <v>44037</v>
      </c>
      <c r="L1980" s="1471"/>
      <c r="M1980" s="1472">
        <v>0</v>
      </c>
      <c r="N1980" s="1473">
        <v>1.6034332049312903</v>
      </c>
      <c r="O1980" s="1473"/>
    </row>
    <row r="1981" spans="11:15">
      <c r="K1981" s="1470">
        <v>44038</v>
      </c>
      <c r="L1981" s="1471"/>
      <c r="M1981" s="1472">
        <v>0</v>
      </c>
      <c r="N1981" s="1473">
        <v>1.6034332049312903</v>
      </c>
      <c r="O1981" s="1473"/>
    </row>
    <row r="1982" spans="11:15">
      <c r="K1982" s="1470">
        <v>44039</v>
      </c>
      <c r="L1982" s="1471" t="s">
        <v>2129</v>
      </c>
      <c r="M1982" s="1472">
        <v>8.4419999999999999E-3</v>
      </c>
      <c r="N1982" s="1473">
        <v>1.6035685667624506</v>
      </c>
      <c r="O1982" s="1473"/>
    </row>
    <row r="1983" spans="11:15">
      <c r="K1983" s="1470">
        <v>44040</v>
      </c>
      <c r="L1983" s="1471" t="s">
        <v>2129</v>
      </c>
      <c r="M1983" s="1472">
        <v>8.4419999999999999E-3</v>
      </c>
      <c r="N1983" s="1473">
        <v>1.6037039400208568</v>
      </c>
      <c r="O1983" s="1473"/>
    </row>
    <row r="1984" spans="11:15">
      <c r="K1984" s="1470">
        <v>44041</v>
      </c>
      <c r="L1984" s="1471" t="s">
        <v>2129</v>
      </c>
      <c r="M1984" s="1472">
        <v>8.4419999999999999E-3</v>
      </c>
      <c r="N1984" s="1473">
        <v>1.6038393247074736</v>
      </c>
      <c r="O1984" s="1473"/>
    </row>
    <row r="1985" spans="11:15">
      <c r="K1985" s="1470">
        <v>44042</v>
      </c>
      <c r="L1985" s="1471" t="s">
        <v>2129</v>
      </c>
      <c r="M1985" s="1472">
        <v>8.4419999999999999E-3</v>
      </c>
      <c r="N1985" s="1473">
        <v>1.6039747208232655</v>
      </c>
      <c r="O1985" s="1473"/>
    </row>
    <row r="1986" spans="11:15">
      <c r="K1986" s="1470">
        <v>44043</v>
      </c>
      <c r="L1986" s="1471" t="s">
        <v>2129</v>
      </c>
      <c r="M1986" s="1472">
        <v>8.4419999999999999E-3</v>
      </c>
      <c r="N1986" s="1473">
        <v>1.6041101283691976</v>
      </c>
      <c r="O1986" s="1473"/>
    </row>
    <row r="1987" spans="11:15">
      <c r="K1987" s="1470">
        <v>44044</v>
      </c>
      <c r="L1987" s="1471"/>
      <c r="M1987" s="1472">
        <v>0</v>
      </c>
      <c r="N1987" s="1473">
        <v>1.6041101283691976</v>
      </c>
      <c r="O1987" s="1473"/>
    </row>
    <row r="1988" spans="11:15">
      <c r="K1988" s="1470">
        <v>44045</v>
      </c>
      <c r="L1988" s="1471"/>
      <c r="M1988" s="1472">
        <v>0</v>
      </c>
      <c r="N1988" s="1473">
        <v>1.6041101283691976</v>
      </c>
      <c r="O1988" s="1473"/>
    </row>
    <row r="1989" spans="11:15">
      <c r="K1989" s="1470">
        <v>44046</v>
      </c>
      <c r="L1989" s="1471" t="s">
        <v>2129</v>
      </c>
      <c r="M1989" s="1472">
        <v>8.4419999999999999E-3</v>
      </c>
      <c r="N1989" s="1473">
        <v>1.6042455473462347</v>
      </c>
      <c r="O1989" s="1473"/>
    </row>
    <row r="1990" spans="11:15">
      <c r="K1990" s="1470">
        <v>44047</v>
      </c>
      <c r="L1990" s="1471" t="s">
        <v>2129</v>
      </c>
      <c r="M1990" s="1472">
        <v>8.4419999999999999E-3</v>
      </c>
      <c r="N1990" s="1473">
        <v>1.6043809777553417</v>
      </c>
      <c r="O1990" s="1473"/>
    </row>
    <row r="1991" spans="11:15">
      <c r="K1991" s="1470">
        <v>44048</v>
      </c>
      <c r="L1991" s="1471" t="s">
        <v>2129</v>
      </c>
      <c r="M1991" s="1472">
        <v>8.4419999999999999E-3</v>
      </c>
      <c r="N1991" s="1473">
        <v>1.6045164195974839</v>
      </c>
      <c r="O1991" s="1473"/>
    </row>
    <row r="1992" spans="11:15">
      <c r="K1992" s="1470">
        <v>44049</v>
      </c>
      <c r="L1992" s="1471" t="s">
        <v>2129</v>
      </c>
      <c r="M1992" s="1472">
        <v>7.4689999999999999E-3</v>
      </c>
      <c r="N1992" s="1473">
        <v>1.6046362609288636</v>
      </c>
      <c r="O1992" s="1473"/>
    </row>
    <row r="1993" spans="11:15">
      <c r="K1993" s="1470">
        <v>44050</v>
      </c>
      <c r="L1993" s="1471" t="s">
        <v>2129</v>
      </c>
      <c r="M1993" s="1472">
        <v>7.4689999999999999E-3</v>
      </c>
      <c r="N1993" s="1473">
        <v>1.6047561112111923</v>
      </c>
      <c r="O1993" s="1473"/>
    </row>
    <row r="1994" spans="11:15">
      <c r="K1994" s="1470">
        <v>44051</v>
      </c>
      <c r="L1994" s="1471"/>
      <c r="M1994" s="1472">
        <v>0</v>
      </c>
      <c r="N1994" s="1473">
        <v>1.6047561112111923</v>
      </c>
      <c r="O1994" s="1473"/>
    </row>
    <row r="1995" spans="11:15">
      <c r="K1995" s="1470">
        <v>44052</v>
      </c>
      <c r="L1995" s="1471"/>
      <c r="M1995" s="1472">
        <v>0</v>
      </c>
      <c r="N1995" s="1473">
        <v>1.6047561112111923</v>
      </c>
      <c r="O1995" s="1473"/>
    </row>
    <row r="1996" spans="11:15">
      <c r="K1996" s="1470">
        <v>44053</v>
      </c>
      <c r="L1996" s="1471" t="s">
        <v>2129</v>
      </c>
      <c r="M1996" s="1472">
        <v>7.4689999999999999E-3</v>
      </c>
      <c r="N1996" s="1473">
        <v>1.6048759704451385</v>
      </c>
      <c r="O1996" s="1473"/>
    </row>
    <row r="1997" spans="11:15">
      <c r="K1997" s="1470">
        <v>44054</v>
      </c>
      <c r="L1997" s="1471" t="s">
        <v>2129</v>
      </c>
      <c r="M1997" s="1472">
        <v>7.4689999999999999E-3</v>
      </c>
      <c r="N1997" s="1473">
        <v>1.604995838631371</v>
      </c>
      <c r="O1997" s="1473"/>
    </row>
    <row r="1998" spans="11:15">
      <c r="K1998" s="1470">
        <v>44055</v>
      </c>
      <c r="L1998" s="1471" t="s">
        <v>2129</v>
      </c>
      <c r="M1998" s="1472">
        <v>7.4689999999999999E-3</v>
      </c>
      <c r="N1998" s="1473">
        <v>1.6051157157705582</v>
      </c>
      <c r="O1998" s="1473"/>
    </row>
    <row r="1999" spans="11:15">
      <c r="K1999" s="1470">
        <v>44056</v>
      </c>
      <c r="L1999" s="1471" t="s">
        <v>2129</v>
      </c>
      <c r="M1999" s="1472">
        <v>7.4689999999999999E-3</v>
      </c>
      <c r="N1999" s="1473">
        <v>1.6052356018633691</v>
      </c>
      <c r="O1999" s="1473"/>
    </row>
    <row r="2000" spans="11:15">
      <c r="K2000" s="1470">
        <v>44057</v>
      </c>
      <c r="L2000" s="1471" t="s">
        <v>2129</v>
      </c>
      <c r="M2000" s="1472">
        <v>7.4689999999999999E-3</v>
      </c>
      <c r="N2000" s="1473">
        <v>1.6053554969104722</v>
      </c>
      <c r="O2000" s="1473"/>
    </row>
    <row r="2001" spans="11:15">
      <c r="K2001" s="1470">
        <v>44058</v>
      </c>
      <c r="L2001" s="1471"/>
      <c r="M2001" s="1472">
        <v>0</v>
      </c>
      <c r="N2001" s="1473">
        <v>1.6053554969104722</v>
      </c>
      <c r="O2001" s="1473"/>
    </row>
    <row r="2002" spans="11:15">
      <c r="K2002" s="1470">
        <v>44059</v>
      </c>
      <c r="L2002" s="1471"/>
      <c r="M2002" s="1472">
        <v>0</v>
      </c>
      <c r="N2002" s="1473">
        <v>1.6053554969104722</v>
      </c>
      <c r="O2002" s="1473"/>
    </row>
    <row r="2003" spans="11:15">
      <c r="K2003" s="1470">
        <v>44060</v>
      </c>
      <c r="L2003" s="1471" t="s">
        <v>2129</v>
      </c>
      <c r="M2003" s="1472">
        <v>7.4689999999999999E-3</v>
      </c>
      <c r="N2003" s="1473">
        <v>1.6054754009125363</v>
      </c>
      <c r="O2003" s="1473"/>
    </row>
    <row r="2004" spans="11:15">
      <c r="K2004" s="1470">
        <v>44061</v>
      </c>
      <c r="L2004" s="1471" t="s">
        <v>2129</v>
      </c>
      <c r="M2004" s="1472">
        <v>7.4689999999999999E-3</v>
      </c>
      <c r="N2004" s="1473">
        <v>1.6055953138702304</v>
      </c>
      <c r="O2004" s="1473"/>
    </row>
    <row r="2005" spans="11:15">
      <c r="K2005" s="1470">
        <v>44062</v>
      </c>
      <c r="L2005" s="1471" t="s">
        <v>2129</v>
      </c>
      <c r="M2005" s="1472">
        <v>7.4689999999999999E-3</v>
      </c>
      <c r="N2005" s="1473">
        <v>1.6057152357842233</v>
      </c>
      <c r="O2005" s="1473"/>
    </row>
    <row r="2006" spans="11:15">
      <c r="K2006" s="1470">
        <v>44063</v>
      </c>
      <c r="L2006" s="1471" t="s">
        <v>2129</v>
      </c>
      <c r="M2006" s="1472">
        <v>7.4689999999999999E-3</v>
      </c>
      <c r="N2006" s="1473">
        <v>1.6058351666551838</v>
      </c>
      <c r="O2006" s="1473"/>
    </row>
    <row r="2007" spans="11:15">
      <c r="K2007" s="1470">
        <v>44064</v>
      </c>
      <c r="L2007" s="1471" t="s">
        <v>2129</v>
      </c>
      <c r="M2007" s="1472">
        <v>7.4689999999999999E-3</v>
      </c>
      <c r="N2007" s="1473">
        <v>1.6059551064837811</v>
      </c>
      <c r="O2007" s="1473"/>
    </row>
    <row r="2008" spans="11:15">
      <c r="K2008" s="1470">
        <v>44065</v>
      </c>
      <c r="L2008" s="1471"/>
      <c r="M2008" s="1472">
        <v>0</v>
      </c>
      <c r="N2008" s="1473">
        <v>1.6059551064837811</v>
      </c>
      <c r="O2008" s="1473"/>
    </row>
    <row r="2009" spans="11:15">
      <c r="K2009" s="1470">
        <v>44066</v>
      </c>
      <c r="L2009" s="1471"/>
      <c r="M2009" s="1472">
        <v>0</v>
      </c>
      <c r="N2009" s="1473">
        <v>1.6059551064837811</v>
      </c>
      <c r="O2009" s="1473"/>
    </row>
    <row r="2010" spans="11:15">
      <c r="K2010" s="1470">
        <v>44067</v>
      </c>
      <c r="L2010" s="1471" t="s">
        <v>2129</v>
      </c>
      <c r="M2010" s="1472">
        <v>7.4689999999999999E-3</v>
      </c>
      <c r="N2010" s="1473">
        <v>1.6060750552706844</v>
      </c>
      <c r="O2010" s="1473"/>
    </row>
    <row r="2011" spans="11:15">
      <c r="K2011" s="1470">
        <v>44068</v>
      </c>
      <c r="L2011" s="1471" t="s">
        <v>2129</v>
      </c>
      <c r="M2011" s="1472">
        <v>7.4689999999999999E-3</v>
      </c>
      <c r="N2011" s="1473">
        <v>1.6061950130165625</v>
      </c>
      <c r="O2011" s="1473"/>
    </row>
    <row r="2012" spans="11:15">
      <c r="K2012" s="1470">
        <v>44069</v>
      </c>
      <c r="L2012" s="1471" t="s">
        <v>2129</v>
      </c>
      <c r="M2012" s="1472">
        <v>7.4689999999999999E-3</v>
      </c>
      <c r="N2012" s="1473">
        <v>1.6063149797220846</v>
      </c>
      <c r="O2012" s="1473"/>
    </row>
    <row r="2013" spans="11:15">
      <c r="K2013" s="1470">
        <v>44070</v>
      </c>
      <c r="L2013" s="1471" t="s">
        <v>2129</v>
      </c>
      <c r="M2013" s="1472">
        <v>7.4689999999999999E-3</v>
      </c>
      <c r="N2013" s="1473">
        <v>1.60643495538792</v>
      </c>
      <c r="O2013" s="1473"/>
    </row>
    <row r="2014" spans="11:15">
      <c r="K2014" s="1470">
        <v>44071</v>
      </c>
      <c r="L2014" s="1471" t="s">
        <v>2129</v>
      </c>
      <c r="M2014" s="1472">
        <v>7.4689999999999999E-3</v>
      </c>
      <c r="N2014" s="1473">
        <v>1.6065549400147379</v>
      </c>
      <c r="O2014" s="1473"/>
    </row>
    <row r="2015" spans="11:15">
      <c r="K2015" s="1470">
        <v>44072</v>
      </c>
      <c r="L2015" s="1471"/>
      <c r="M2015" s="1472">
        <v>0</v>
      </c>
      <c r="N2015" s="1473">
        <v>1.6065549400147379</v>
      </c>
      <c r="O2015" s="1473"/>
    </row>
    <row r="2016" spans="11:15">
      <c r="K2016" s="1470">
        <v>44073</v>
      </c>
      <c r="L2016" s="1471"/>
      <c r="M2016" s="1472">
        <v>0</v>
      </c>
      <c r="N2016" s="1473">
        <v>1.6065549400147379</v>
      </c>
      <c r="O2016" s="1473"/>
    </row>
    <row r="2017" spans="11:15">
      <c r="K2017" s="1470">
        <v>44074</v>
      </c>
      <c r="L2017" s="1471" t="s">
        <v>2129</v>
      </c>
      <c r="M2017" s="1472">
        <v>7.4689999999999999E-3</v>
      </c>
      <c r="N2017" s="1473">
        <v>1.6066749336032076</v>
      </c>
      <c r="O2017" s="1473"/>
    </row>
    <row r="2018" spans="11:15">
      <c r="K2018" s="1470">
        <v>44075</v>
      </c>
      <c r="L2018" s="1471" t="s">
        <v>2129</v>
      </c>
      <c r="M2018" s="1472">
        <v>7.4689999999999999E-3</v>
      </c>
      <c r="N2018" s="1473">
        <v>1.6067949361539984</v>
      </c>
      <c r="O2018" s="1473"/>
    </row>
    <row r="2019" spans="11:15">
      <c r="K2019" s="1470">
        <v>44076</v>
      </c>
      <c r="L2019" s="1471" t="s">
        <v>2129</v>
      </c>
      <c r="M2019" s="1472">
        <v>7.4689999999999999E-3</v>
      </c>
      <c r="N2019" s="1473">
        <v>1.6069149476677795</v>
      </c>
      <c r="O2019" s="1473"/>
    </row>
    <row r="2020" spans="11:15">
      <c r="K2020" s="1470">
        <v>44077</v>
      </c>
      <c r="L2020" s="1471" t="s">
        <v>2129</v>
      </c>
      <c r="M2020" s="1472">
        <v>7.4689999999999999E-3</v>
      </c>
      <c r="N2020" s="1473">
        <v>1.6070349681452207</v>
      </c>
      <c r="O2020" s="1473"/>
    </row>
    <row r="2021" spans="11:15">
      <c r="K2021" s="1470">
        <v>44078</v>
      </c>
      <c r="L2021" s="1471" t="s">
        <v>2129</v>
      </c>
      <c r="M2021" s="1472">
        <v>7.4689999999999999E-3</v>
      </c>
      <c r="N2021" s="1473">
        <v>1.6071549975869914</v>
      </c>
      <c r="O2021" s="1473"/>
    </row>
    <row r="2022" spans="11:15">
      <c r="K2022" s="1470">
        <v>44079</v>
      </c>
      <c r="L2022" s="1471"/>
      <c r="M2022" s="1472">
        <v>0</v>
      </c>
      <c r="N2022" s="1473">
        <v>1.6071549975869914</v>
      </c>
      <c r="O2022" s="1473"/>
    </row>
    <row r="2023" spans="11:15">
      <c r="K2023" s="1470">
        <v>44080</v>
      </c>
      <c r="L2023" s="1471"/>
      <c r="M2023" s="1472">
        <v>0</v>
      </c>
      <c r="N2023" s="1473">
        <v>1.6071549975869914</v>
      </c>
      <c r="O2023" s="1473"/>
    </row>
    <row r="2024" spans="11:15">
      <c r="K2024" s="1470">
        <v>44081</v>
      </c>
      <c r="L2024" s="1471"/>
      <c r="M2024" s="1472">
        <v>0</v>
      </c>
      <c r="N2024" s="1473">
        <v>1.6071549975869914</v>
      </c>
      <c r="O2024" s="1473"/>
    </row>
    <row r="2025" spans="11:15">
      <c r="K2025" s="1470">
        <v>44082</v>
      </c>
      <c r="L2025" s="1471" t="s">
        <v>2129</v>
      </c>
      <c r="M2025" s="1472">
        <v>7.4689999999999999E-3</v>
      </c>
      <c r="N2025" s="1473">
        <v>1.6072750359937611</v>
      </c>
      <c r="O2025" s="1473"/>
    </row>
    <row r="2026" spans="11:15">
      <c r="K2026" s="1470">
        <v>44083</v>
      </c>
      <c r="L2026" s="1471" t="s">
        <v>2129</v>
      </c>
      <c r="M2026" s="1472">
        <v>7.4689999999999999E-3</v>
      </c>
      <c r="N2026" s="1473">
        <v>1.6073950833661994</v>
      </c>
      <c r="O2026" s="1473"/>
    </row>
    <row r="2027" spans="11:15">
      <c r="K2027" s="1470">
        <v>44084</v>
      </c>
      <c r="L2027" s="1471" t="s">
        <v>2129</v>
      </c>
      <c r="M2027" s="1472">
        <v>7.4689999999999999E-3</v>
      </c>
      <c r="N2027" s="1473">
        <v>1.6075151397049758</v>
      </c>
      <c r="O2027" s="1473"/>
    </row>
    <row r="2028" spans="11:15">
      <c r="K2028" s="1470">
        <v>44085</v>
      </c>
      <c r="L2028" s="1471" t="s">
        <v>2129</v>
      </c>
      <c r="M2028" s="1472">
        <v>7.4689999999999999E-3</v>
      </c>
      <c r="N2028" s="1473">
        <v>1.6076352050107603</v>
      </c>
      <c r="O2028" s="1473"/>
    </row>
    <row r="2029" spans="11:15">
      <c r="K2029" s="1470">
        <v>44086</v>
      </c>
      <c r="L2029" s="1471"/>
      <c r="M2029" s="1472">
        <v>0</v>
      </c>
      <c r="N2029" s="1473">
        <v>1.6076352050107603</v>
      </c>
      <c r="O2029" s="1473"/>
    </row>
    <row r="2030" spans="11:15">
      <c r="K2030" s="1470">
        <v>44087</v>
      </c>
      <c r="L2030" s="1471"/>
      <c r="M2030" s="1472">
        <v>0</v>
      </c>
      <c r="N2030" s="1473">
        <v>1.6076352050107603</v>
      </c>
      <c r="O2030" s="1473"/>
    </row>
    <row r="2031" spans="11:15">
      <c r="K2031" s="1470">
        <v>44088</v>
      </c>
      <c r="L2031" s="1471" t="s">
        <v>2129</v>
      </c>
      <c r="M2031" s="1472">
        <v>7.4689999999999999E-3</v>
      </c>
      <c r="N2031" s="1473">
        <v>1.6077552792842225</v>
      </c>
      <c r="O2031" s="1473"/>
    </row>
    <row r="2032" spans="11:15">
      <c r="K2032" s="1470">
        <v>44089</v>
      </c>
      <c r="L2032" s="1471" t="s">
        <v>2129</v>
      </c>
      <c r="M2032" s="1472">
        <v>7.4689999999999999E-3</v>
      </c>
      <c r="N2032" s="1473">
        <v>1.607875362526032</v>
      </c>
      <c r="O2032" s="1473"/>
    </row>
    <row r="2033" spans="11:15">
      <c r="K2033" s="1470">
        <v>44090</v>
      </c>
      <c r="L2033" s="1471" t="s">
        <v>2129</v>
      </c>
      <c r="M2033" s="1472">
        <v>7.4689999999999999E-3</v>
      </c>
      <c r="N2033" s="1473">
        <v>1.6079954547368589</v>
      </c>
      <c r="O2033" s="1473"/>
    </row>
    <row r="2034" spans="11:15">
      <c r="K2034" s="1470">
        <v>44091</v>
      </c>
      <c r="L2034" s="1471" t="s">
        <v>2129</v>
      </c>
      <c r="M2034" s="1472">
        <v>7.4689999999999999E-3</v>
      </c>
      <c r="N2034" s="1473">
        <v>1.608115555917373</v>
      </c>
      <c r="O2034" s="1473"/>
    </row>
    <row r="2035" spans="11:15">
      <c r="K2035" s="1470">
        <v>44092</v>
      </c>
      <c r="L2035" s="1471" t="s">
        <v>2129</v>
      </c>
      <c r="M2035" s="1472">
        <v>7.4689999999999999E-3</v>
      </c>
      <c r="N2035" s="1473">
        <v>1.6082356660682444</v>
      </c>
      <c r="O2035" s="1473"/>
    </row>
    <row r="2036" spans="11:15">
      <c r="K2036" s="1470">
        <v>44093</v>
      </c>
      <c r="L2036" s="1471"/>
      <c r="M2036" s="1472">
        <v>0</v>
      </c>
      <c r="N2036" s="1473">
        <v>1.6082356660682444</v>
      </c>
      <c r="O2036" s="1473"/>
    </row>
    <row r="2037" spans="11:15">
      <c r="K2037" s="1470">
        <v>44094</v>
      </c>
      <c r="L2037" s="1471"/>
      <c r="M2037" s="1472">
        <v>0</v>
      </c>
      <c r="N2037" s="1473">
        <v>1.6082356660682444</v>
      </c>
      <c r="O2037" s="1473"/>
    </row>
    <row r="2038" spans="11:15">
      <c r="K2038" s="1470">
        <v>44095</v>
      </c>
      <c r="L2038" s="1471" t="s">
        <v>2129</v>
      </c>
      <c r="M2038" s="1472">
        <v>7.4689999999999999E-3</v>
      </c>
      <c r="N2038" s="1473">
        <v>1.6083557851901429</v>
      </c>
      <c r="O2038" s="1473"/>
    </row>
    <row r="2039" spans="11:15">
      <c r="K2039" s="1470">
        <v>44096</v>
      </c>
      <c r="L2039" s="1471" t="s">
        <v>2129</v>
      </c>
      <c r="M2039" s="1472">
        <v>7.4689999999999999E-3</v>
      </c>
      <c r="N2039" s="1473">
        <v>1.6084759132837387</v>
      </c>
      <c r="O2039" s="1473"/>
    </row>
    <row r="2040" spans="11:15">
      <c r="K2040" s="1470">
        <v>44097</v>
      </c>
      <c r="L2040" s="1471" t="s">
        <v>2129</v>
      </c>
      <c r="M2040" s="1472">
        <v>7.4689999999999999E-3</v>
      </c>
      <c r="N2040" s="1473">
        <v>1.6085960503497019</v>
      </c>
      <c r="O2040" s="1473"/>
    </row>
    <row r="2041" spans="11:15">
      <c r="K2041" s="1470">
        <v>44098</v>
      </c>
      <c r="L2041" s="1471" t="s">
        <v>2129</v>
      </c>
      <c r="M2041" s="1472">
        <v>7.4689999999999999E-3</v>
      </c>
      <c r="N2041" s="1473">
        <v>1.6087161963887024</v>
      </c>
      <c r="O2041" s="1473"/>
    </row>
    <row r="2042" spans="11:15">
      <c r="K2042" s="1470">
        <v>44099</v>
      </c>
      <c r="L2042" s="1471" t="s">
        <v>2129</v>
      </c>
      <c r="M2042" s="1472">
        <v>7.4689999999999999E-3</v>
      </c>
      <c r="N2042" s="1473">
        <v>1.6088363514014106</v>
      </c>
      <c r="O2042" s="1473"/>
    </row>
    <row r="2043" spans="11:15">
      <c r="K2043" s="1470">
        <v>44100</v>
      </c>
      <c r="L2043" s="1471"/>
      <c r="M2043" s="1472">
        <v>0</v>
      </c>
      <c r="N2043" s="1473">
        <v>1.6088363514014106</v>
      </c>
      <c r="O2043" s="1473"/>
    </row>
    <row r="2044" spans="11:15">
      <c r="K2044" s="1470">
        <v>44101</v>
      </c>
      <c r="L2044" s="1471"/>
      <c r="M2044" s="1472">
        <v>0</v>
      </c>
      <c r="N2044" s="1473">
        <v>1.6088363514014106</v>
      </c>
      <c r="O2044" s="1473"/>
    </row>
    <row r="2045" spans="11:15">
      <c r="K2045" s="1470">
        <v>44102</v>
      </c>
      <c r="L2045" s="1471" t="s">
        <v>2129</v>
      </c>
      <c r="M2045" s="1472">
        <v>7.4689999999999999E-3</v>
      </c>
      <c r="N2045" s="1473">
        <v>1.6089565153884966</v>
      </c>
      <c r="O2045" s="1473"/>
    </row>
    <row r="2046" spans="11:15">
      <c r="K2046" s="1470">
        <v>44103</v>
      </c>
      <c r="L2046" s="1471" t="s">
        <v>2129</v>
      </c>
      <c r="M2046" s="1472">
        <v>7.4689999999999999E-3</v>
      </c>
      <c r="N2046" s="1473">
        <v>1.6090766883506309</v>
      </c>
      <c r="O2046" s="1473"/>
    </row>
    <row r="2047" spans="11:15">
      <c r="K2047" s="1470">
        <v>44104</v>
      </c>
      <c r="L2047" s="1471" t="s">
        <v>2129</v>
      </c>
      <c r="M2047" s="1472">
        <v>7.4689999999999999E-3</v>
      </c>
      <c r="N2047" s="1473">
        <v>1.6091968702884838</v>
      </c>
      <c r="O2047" s="1473"/>
    </row>
    <row r="2048" spans="11:15">
      <c r="K2048" s="1470">
        <v>44105</v>
      </c>
      <c r="L2048" s="1471" t="s">
        <v>2129</v>
      </c>
      <c r="M2048" s="1472">
        <v>7.4689999999999999E-3</v>
      </c>
      <c r="N2048" s="1473">
        <v>1.6093170612027254</v>
      </c>
      <c r="O2048" s="1473"/>
    </row>
    <row r="2049" spans="11:15">
      <c r="K2049" s="1470">
        <v>44106</v>
      </c>
      <c r="L2049" s="1471" t="s">
        <v>2129</v>
      </c>
      <c r="M2049" s="1472">
        <v>7.4689999999999999E-3</v>
      </c>
      <c r="N2049" s="1473">
        <v>1.6094372610940266</v>
      </c>
      <c r="O2049" s="1473"/>
    </row>
    <row r="2050" spans="11:15">
      <c r="K2050" s="1470">
        <v>44107</v>
      </c>
      <c r="L2050" s="1471"/>
      <c r="M2050" s="1472">
        <v>0</v>
      </c>
      <c r="N2050" s="1473">
        <v>1.6094372610940266</v>
      </c>
      <c r="O2050" s="1473"/>
    </row>
    <row r="2051" spans="11:15">
      <c r="K2051" s="1470">
        <v>44108</v>
      </c>
      <c r="L2051" s="1471"/>
      <c r="M2051" s="1472">
        <v>0</v>
      </c>
      <c r="N2051" s="1473">
        <v>1.6094372610940266</v>
      </c>
      <c r="O2051" s="1473"/>
    </row>
    <row r="2052" spans="11:15">
      <c r="K2052" s="1470">
        <v>44109</v>
      </c>
      <c r="L2052" s="1471" t="s">
        <v>2129</v>
      </c>
      <c r="M2052" s="1472">
        <v>7.4689999999999999E-3</v>
      </c>
      <c r="N2052" s="1473">
        <v>1.6095574699630577</v>
      </c>
      <c r="O2052" s="1473"/>
    </row>
    <row r="2053" spans="11:15">
      <c r="K2053" s="1470">
        <v>44110</v>
      </c>
      <c r="L2053" s="1471" t="s">
        <v>2129</v>
      </c>
      <c r="M2053" s="1472">
        <v>7.4689999999999999E-3</v>
      </c>
      <c r="N2053" s="1473">
        <v>1.609677687810489</v>
      </c>
      <c r="O2053" s="1473"/>
    </row>
    <row r="2054" spans="11:15">
      <c r="K2054" s="1470">
        <v>44111</v>
      </c>
      <c r="L2054" s="1471" t="s">
        <v>2129</v>
      </c>
      <c r="M2054" s="1472">
        <v>7.4689999999999999E-3</v>
      </c>
      <c r="N2054" s="1473">
        <v>1.6097979146369914</v>
      </c>
      <c r="O2054" s="1473"/>
    </row>
    <row r="2055" spans="11:15">
      <c r="K2055" s="1470">
        <v>44112</v>
      </c>
      <c r="L2055" s="1471" t="s">
        <v>2129</v>
      </c>
      <c r="M2055" s="1472">
        <v>7.4689999999999999E-3</v>
      </c>
      <c r="N2055" s="1473">
        <v>1.6099181504432356</v>
      </c>
      <c r="O2055" s="1473"/>
    </row>
    <row r="2056" spans="11:15">
      <c r="K2056" s="1470">
        <v>44113</v>
      </c>
      <c r="L2056" s="1471" t="s">
        <v>2129</v>
      </c>
      <c r="M2056" s="1472">
        <v>7.4689999999999999E-3</v>
      </c>
      <c r="N2056" s="1473">
        <v>1.610038395229892</v>
      </c>
      <c r="O2056" s="1473"/>
    </row>
    <row r="2057" spans="11:15">
      <c r="K2057" s="1470">
        <v>44114</v>
      </c>
      <c r="L2057" s="1471"/>
      <c r="M2057" s="1472">
        <v>0</v>
      </c>
      <c r="N2057" s="1473">
        <v>1.610038395229892</v>
      </c>
      <c r="O2057" s="1473"/>
    </row>
    <row r="2058" spans="11:15">
      <c r="K2058" s="1470">
        <v>44115</v>
      </c>
      <c r="L2058" s="1471"/>
      <c r="M2058" s="1472">
        <v>0</v>
      </c>
      <c r="N2058" s="1473">
        <v>1.610038395229892</v>
      </c>
      <c r="O2058" s="1473"/>
    </row>
    <row r="2059" spans="11:15">
      <c r="K2059" s="1470">
        <v>44116</v>
      </c>
      <c r="L2059" s="1471"/>
      <c r="M2059" s="1472">
        <v>0</v>
      </c>
      <c r="N2059" s="1473">
        <v>1.610038395229892</v>
      </c>
      <c r="O2059" s="1473"/>
    </row>
    <row r="2060" spans="11:15">
      <c r="K2060" s="1470">
        <v>44117</v>
      </c>
      <c r="L2060" s="1471" t="s">
        <v>2129</v>
      </c>
      <c r="M2060" s="1472">
        <v>7.4689999999999999E-3</v>
      </c>
      <c r="N2060" s="1473">
        <v>1.6101586489976316</v>
      </c>
      <c r="O2060" s="1473"/>
    </row>
    <row r="2061" spans="11:15">
      <c r="K2061" s="1470">
        <v>44118</v>
      </c>
      <c r="L2061" s="1471" t="s">
        <v>2129</v>
      </c>
      <c r="M2061" s="1472">
        <v>7.4689999999999999E-3</v>
      </c>
      <c r="N2061" s="1473">
        <v>1.6102789117471252</v>
      </c>
      <c r="O2061" s="1473"/>
    </row>
    <row r="2062" spans="11:15">
      <c r="K2062" s="1470">
        <v>44119</v>
      </c>
      <c r="L2062" s="1471" t="s">
        <v>2129</v>
      </c>
      <c r="M2062" s="1472">
        <v>7.4689999999999999E-3</v>
      </c>
      <c r="N2062" s="1473">
        <v>1.6103991834790434</v>
      </c>
      <c r="O2062" s="1473"/>
    </row>
    <row r="2063" spans="11:15">
      <c r="K2063" s="1470">
        <v>44120</v>
      </c>
      <c r="L2063" s="1471" t="s">
        <v>2129</v>
      </c>
      <c r="M2063" s="1472">
        <v>7.4689999999999999E-3</v>
      </c>
      <c r="N2063" s="1473">
        <v>1.6105194641940574</v>
      </c>
      <c r="O2063" s="1473"/>
    </row>
    <row r="2064" spans="11:15">
      <c r="K2064" s="1470">
        <v>44121</v>
      </c>
      <c r="L2064" s="1471"/>
      <c r="M2064" s="1472">
        <v>0</v>
      </c>
      <c r="N2064" s="1473">
        <v>1.6105194641940574</v>
      </c>
      <c r="O2064" s="1473"/>
    </row>
    <row r="2065" spans="11:15">
      <c r="K2065" s="1470">
        <v>44122</v>
      </c>
      <c r="L2065" s="1471"/>
      <c r="M2065" s="1472">
        <v>0</v>
      </c>
      <c r="N2065" s="1473">
        <v>1.6105194641940574</v>
      </c>
      <c r="O2065" s="1473"/>
    </row>
    <row r="2066" spans="11:15">
      <c r="K2066" s="1470">
        <v>44123</v>
      </c>
      <c r="L2066" s="1471" t="s">
        <v>2129</v>
      </c>
      <c r="M2066" s="1472">
        <v>7.4689999999999999E-3</v>
      </c>
      <c r="N2066" s="1473">
        <v>1.6106397538928381</v>
      </c>
      <c r="O2066" s="1473"/>
    </row>
    <row r="2067" spans="11:15">
      <c r="K2067" s="1470">
        <v>44124</v>
      </c>
      <c r="L2067" s="1471" t="s">
        <v>2129</v>
      </c>
      <c r="M2067" s="1472">
        <v>7.4689999999999999E-3</v>
      </c>
      <c r="N2067" s="1473">
        <v>1.6107600525760561</v>
      </c>
      <c r="O2067" s="1473"/>
    </row>
    <row r="2068" spans="11:15">
      <c r="K2068" s="1470">
        <v>44125</v>
      </c>
      <c r="L2068" s="1471" t="s">
        <v>2129</v>
      </c>
      <c r="M2068" s="1472">
        <v>7.4689999999999999E-3</v>
      </c>
      <c r="N2068" s="1473">
        <v>1.6108803602443829</v>
      </c>
      <c r="O2068" s="1473"/>
    </row>
    <row r="2069" spans="11:15">
      <c r="K2069" s="1470">
        <v>44126</v>
      </c>
      <c r="L2069" s="1471" t="s">
        <v>2129</v>
      </c>
      <c r="M2069" s="1472">
        <v>7.4689999999999999E-3</v>
      </c>
      <c r="N2069" s="1473">
        <v>1.6110006768984895</v>
      </c>
      <c r="O2069" s="1473"/>
    </row>
    <row r="2070" spans="11:15">
      <c r="K2070" s="1470">
        <v>44127</v>
      </c>
      <c r="L2070" s="1471" t="s">
        <v>2129</v>
      </c>
      <c r="M2070" s="1472">
        <v>7.4689999999999999E-3</v>
      </c>
      <c r="N2070" s="1473">
        <v>1.611121002539047</v>
      </c>
      <c r="O2070" s="1473"/>
    </row>
    <row r="2071" spans="11:15">
      <c r="K2071" s="1470">
        <v>44128</v>
      </c>
      <c r="L2071" s="1471"/>
      <c r="M2071" s="1472">
        <v>0</v>
      </c>
      <c r="N2071" s="1473">
        <v>1.611121002539047</v>
      </c>
      <c r="O2071" s="1473"/>
    </row>
    <row r="2072" spans="11:15">
      <c r="K2072" s="1470">
        <v>44129</v>
      </c>
      <c r="L2072" s="1471"/>
      <c r="M2072" s="1472">
        <v>0</v>
      </c>
      <c r="N2072" s="1473">
        <v>1.611121002539047</v>
      </c>
      <c r="O2072" s="1473"/>
    </row>
    <row r="2073" spans="11:15">
      <c r="K2073" s="1470">
        <v>44130</v>
      </c>
      <c r="L2073" s="1471" t="s">
        <v>2129</v>
      </c>
      <c r="M2073" s="1472">
        <v>7.4689999999999999E-3</v>
      </c>
      <c r="N2073" s="1473">
        <v>1.6112413371667265</v>
      </c>
      <c r="O2073" s="1473"/>
    </row>
    <row r="2074" spans="11:15">
      <c r="K2074" s="1470">
        <v>44131</v>
      </c>
      <c r="L2074" s="1471" t="s">
        <v>2129</v>
      </c>
      <c r="M2074" s="1472">
        <v>7.4689999999999999E-3</v>
      </c>
      <c r="N2074" s="1473">
        <v>1.6113616807821993</v>
      </c>
      <c r="O2074" s="1473"/>
    </row>
    <row r="2075" spans="11:15">
      <c r="K2075" s="1470">
        <v>44132</v>
      </c>
      <c r="L2075" s="1471" t="s">
        <v>2129</v>
      </c>
      <c r="M2075" s="1472">
        <v>7.4689999999999999E-3</v>
      </c>
      <c r="N2075" s="1473">
        <v>1.6114820333861368</v>
      </c>
      <c r="O2075" s="1473"/>
    </row>
    <row r="2076" spans="11:15">
      <c r="K2076" s="1470">
        <v>44133</v>
      </c>
      <c r="L2076" s="1471" t="s">
        <v>2129</v>
      </c>
      <c r="M2076" s="1472">
        <v>7.4689999999999999E-3</v>
      </c>
      <c r="N2076" s="1473">
        <v>1.6116023949792104</v>
      </c>
      <c r="O2076" s="1473"/>
    </row>
    <row r="2077" spans="11:15">
      <c r="K2077" s="1470">
        <v>44134</v>
      </c>
      <c r="L2077" s="1471" t="s">
        <v>2129</v>
      </c>
      <c r="M2077" s="1472">
        <v>7.4689999999999999E-3</v>
      </c>
      <c r="N2077" s="1473">
        <v>1.6117227655620914</v>
      </c>
      <c r="O2077" s="1473"/>
    </row>
    <row r="2078" spans="11:15">
      <c r="K2078" s="1470">
        <v>44135</v>
      </c>
      <c r="L2078" s="1471"/>
      <c r="M2078" s="1472">
        <v>0</v>
      </c>
      <c r="N2078" s="1473">
        <v>1.6117227655620914</v>
      </c>
      <c r="O2078" s="1473"/>
    </row>
    <row r="2079" spans="11:15">
      <c r="K2079" s="1470">
        <v>44136</v>
      </c>
      <c r="L2079" s="1471"/>
      <c r="M2079" s="1472">
        <v>0</v>
      </c>
      <c r="N2079" s="1473">
        <v>1.6117227655620914</v>
      </c>
      <c r="O2079" s="1473"/>
    </row>
    <row r="2080" spans="11:15">
      <c r="K2080" s="1470">
        <v>44137</v>
      </c>
      <c r="L2080" s="1471"/>
      <c r="M2080" s="1472">
        <v>0</v>
      </c>
      <c r="N2080" s="1473">
        <v>1.6117227655620914</v>
      </c>
      <c r="O2080" s="1473"/>
    </row>
    <row r="2081" spans="11:15">
      <c r="K2081" s="1470">
        <v>44138</v>
      </c>
      <c r="L2081" s="1471" t="s">
        <v>2129</v>
      </c>
      <c r="M2081" s="1472">
        <v>7.4689999999999999E-3</v>
      </c>
      <c r="N2081" s="1473">
        <v>1.6118431451354511</v>
      </c>
      <c r="O2081" s="1473"/>
    </row>
    <row r="2082" spans="11:15">
      <c r="K2082" s="1470">
        <v>44139</v>
      </c>
      <c r="L2082" s="1471" t="s">
        <v>2129</v>
      </c>
      <c r="M2082" s="1472">
        <v>7.4689999999999999E-3</v>
      </c>
      <c r="N2082" s="1473">
        <v>1.6119635336999611</v>
      </c>
      <c r="O2082" s="1473"/>
    </row>
    <row r="2083" spans="11:15">
      <c r="K2083" s="1470">
        <v>44140</v>
      </c>
      <c r="L2083" s="1471" t="s">
        <v>2129</v>
      </c>
      <c r="M2083" s="1472">
        <v>7.4689999999999999E-3</v>
      </c>
      <c r="N2083" s="1473">
        <v>1.6120839312562931</v>
      </c>
      <c r="O2083" s="1473"/>
    </row>
    <row r="2084" spans="11:15">
      <c r="K2084" s="1470">
        <v>44141</v>
      </c>
      <c r="L2084" s="1471" t="s">
        <v>2129</v>
      </c>
      <c r="M2084" s="1472">
        <v>7.4689999999999999E-3</v>
      </c>
      <c r="N2084" s="1473">
        <v>1.6122043378051185</v>
      </c>
      <c r="O2084" s="1473"/>
    </row>
    <row r="2085" spans="11:15">
      <c r="K2085" s="1470">
        <v>44142</v>
      </c>
      <c r="L2085" s="1471"/>
      <c r="M2085" s="1472">
        <v>0</v>
      </c>
      <c r="N2085" s="1473">
        <v>1.6122043378051185</v>
      </c>
      <c r="O2085" s="1473"/>
    </row>
    <row r="2086" spans="11:15">
      <c r="K2086" s="1470">
        <v>44143</v>
      </c>
      <c r="L2086" s="1471"/>
      <c r="M2086" s="1472">
        <v>0</v>
      </c>
      <c r="N2086" s="1473">
        <v>1.6122043378051185</v>
      </c>
      <c r="O2086" s="1473"/>
    </row>
    <row r="2087" spans="11:15">
      <c r="K2087" s="1470">
        <v>44144</v>
      </c>
      <c r="L2087" s="1471" t="s">
        <v>2129</v>
      </c>
      <c r="M2087" s="1472">
        <v>7.4689999999999999E-3</v>
      </c>
      <c r="N2087" s="1473">
        <v>1.612324753347109</v>
      </c>
      <c r="O2087" s="1473"/>
    </row>
    <row r="2088" spans="11:15">
      <c r="K2088" s="1470">
        <v>44145</v>
      </c>
      <c r="L2088" s="1471" t="s">
        <v>2129</v>
      </c>
      <c r="M2088" s="1472">
        <v>7.4689999999999999E-3</v>
      </c>
      <c r="N2088" s="1473">
        <v>1.6124451778829363</v>
      </c>
      <c r="O2088" s="1473"/>
    </row>
    <row r="2089" spans="11:15">
      <c r="K2089" s="1470">
        <v>44146</v>
      </c>
      <c r="L2089" s="1471" t="s">
        <v>2129</v>
      </c>
      <c r="M2089" s="1472">
        <v>7.4689999999999999E-3</v>
      </c>
      <c r="N2089" s="1473">
        <v>1.6125656114132723</v>
      </c>
      <c r="O2089" s="1473"/>
    </row>
    <row r="2090" spans="11:15">
      <c r="K2090" s="1470">
        <v>44147</v>
      </c>
      <c r="L2090" s="1471" t="s">
        <v>2129</v>
      </c>
      <c r="M2090" s="1472">
        <v>7.4689999999999999E-3</v>
      </c>
      <c r="N2090" s="1473">
        <v>1.6126860539387886</v>
      </c>
      <c r="O2090" s="1473"/>
    </row>
    <row r="2091" spans="11:15">
      <c r="K2091" s="1470">
        <v>44148</v>
      </c>
      <c r="L2091" s="1471" t="s">
        <v>2129</v>
      </c>
      <c r="M2091" s="1472">
        <v>7.4689999999999999E-3</v>
      </c>
      <c r="N2091" s="1473">
        <v>1.6128065054601572</v>
      </c>
      <c r="O2091" s="1473"/>
    </row>
    <row r="2092" spans="11:15">
      <c r="K2092" s="1470">
        <v>44149</v>
      </c>
      <c r="L2092" s="1471"/>
      <c r="M2092" s="1472">
        <v>0</v>
      </c>
      <c r="N2092" s="1473">
        <v>1.6128065054601572</v>
      </c>
      <c r="O2092" s="1473"/>
    </row>
    <row r="2093" spans="11:15">
      <c r="K2093" s="1470">
        <v>44150</v>
      </c>
      <c r="L2093" s="1471"/>
      <c r="M2093" s="1472">
        <v>0</v>
      </c>
      <c r="N2093" s="1473">
        <v>1.6128065054601572</v>
      </c>
      <c r="O2093" s="1473"/>
    </row>
    <row r="2094" spans="11:15">
      <c r="K2094" s="1470">
        <v>44151</v>
      </c>
      <c r="L2094" s="1471" t="s">
        <v>2129</v>
      </c>
      <c r="M2094" s="1472">
        <v>7.4689999999999999E-3</v>
      </c>
      <c r="N2094" s="1473">
        <v>1.6129269659780499</v>
      </c>
      <c r="O2094" s="1473"/>
    </row>
    <row r="2095" spans="11:15">
      <c r="K2095" s="1470">
        <v>44152</v>
      </c>
      <c r="L2095" s="1471" t="s">
        <v>2129</v>
      </c>
      <c r="M2095" s="1472">
        <v>7.4689999999999999E-3</v>
      </c>
      <c r="N2095" s="1473">
        <v>1.6130474354931386</v>
      </c>
      <c r="O2095" s="1473"/>
    </row>
    <row r="2096" spans="11:15">
      <c r="K2096" s="1470">
        <v>44153</v>
      </c>
      <c r="L2096" s="1471" t="s">
        <v>2129</v>
      </c>
      <c r="M2096" s="1472">
        <v>7.4689999999999999E-3</v>
      </c>
      <c r="N2096" s="1473">
        <v>1.6131679140060955</v>
      </c>
      <c r="O2096" s="1473"/>
    </row>
    <row r="2097" spans="11:15">
      <c r="K2097" s="1470">
        <v>44154</v>
      </c>
      <c r="L2097" s="1471" t="s">
        <v>2129</v>
      </c>
      <c r="M2097" s="1472">
        <v>7.4689999999999999E-3</v>
      </c>
      <c r="N2097" s="1473">
        <v>1.6132884015175926</v>
      </c>
      <c r="O2097" s="1473"/>
    </row>
    <row r="2098" spans="11:15">
      <c r="K2098" s="1470">
        <v>44155</v>
      </c>
      <c r="L2098" s="1471" t="s">
        <v>2129</v>
      </c>
      <c r="M2098" s="1472">
        <v>7.4689999999999999E-3</v>
      </c>
      <c r="N2098" s="1473">
        <v>1.6134088980283019</v>
      </c>
      <c r="O2098" s="1473"/>
    </row>
    <row r="2099" spans="11:15">
      <c r="K2099" s="1470">
        <v>44156</v>
      </c>
      <c r="L2099" s="1471"/>
      <c r="M2099" s="1472">
        <v>0</v>
      </c>
      <c r="N2099" s="1473">
        <v>1.6134088980283019</v>
      </c>
      <c r="O2099" s="1473"/>
    </row>
    <row r="2100" spans="11:15">
      <c r="K2100" s="1470">
        <v>44157</v>
      </c>
      <c r="L2100" s="1471"/>
      <c r="M2100" s="1472">
        <v>0</v>
      </c>
      <c r="N2100" s="1473">
        <v>1.6134088980283019</v>
      </c>
      <c r="O2100" s="1473"/>
    </row>
    <row r="2101" spans="11:15">
      <c r="K2101" s="1470">
        <v>44158</v>
      </c>
      <c r="L2101" s="1471" t="s">
        <v>2129</v>
      </c>
      <c r="M2101" s="1472">
        <v>7.4689999999999999E-3</v>
      </c>
      <c r="N2101" s="1473">
        <v>1.6135294035388956</v>
      </c>
      <c r="O2101" s="1473"/>
    </row>
    <row r="2102" spans="11:15">
      <c r="K2102" s="1470">
        <v>44159</v>
      </c>
      <c r="L2102" s="1471" t="s">
        <v>2129</v>
      </c>
      <c r="M2102" s="1472">
        <v>7.4689999999999999E-3</v>
      </c>
      <c r="N2102" s="1473">
        <v>1.6136499180500459</v>
      </c>
      <c r="O2102" s="1473"/>
    </row>
    <row r="2103" spans="11:15">
      <c r="K2103" s="1470">
        <v>44160</v>
      </c>
      <c r="L2103" s="1471" t="s">
        <v>2129</v>
      </c>
      <c r="M2103" s="1472">
        <v>7.4689999999999999E-3</v>
      </c>
      <c r="N2103" s="1473">
        <v>1.613770441562425</v>
      </c>
      <c r="O2103" s="1473"/>
    </row>
    <row r="2104" spans="11:15">
      <c r="K2104" s="1470">
        <v>44161</v>
      </c>
      <c r="L2104" s="1471" t="s">
        <v>2129</v>
      </c>
      <c r="M2104" s="1472">
        <v>7.4689999999999999E-3</v>
      </c>
      <c r="N2104" s="1473">
        <v>1.6138909740767051</v>
      </c>
      <c r="O2104" s="1473"/>
    </row>
    <row r="2105" spans="11:15">
      <c r="K2105" s="1470">
        <v>44162</v>
      </c>
      <c r="L2105" s="1471" t="s">
        <v>2129</v>
      </c>
      <c r="M2105" s="1472">
        <v>7.4689999999999999E-3</v>
      </c>
      <c r="N2105" s="1473">
        <v>1.6140115155935588</v>
      </c>
      <c r="O2105" s="1473"/>
    </row>
    <row r="2106" spans="11:15">
      <c r="K2106" s="1470">
        <v>44163</v>
      </c>
      <c r="L2106" s="1471"/>
      <c r="M2106" s="1472">
        <v>0</v>
      </c>
      <c r="N2106" s="1473">
        <v>1.6140115155935588</v>
      </c>
      <c r="O2106" s="1473"/>
    </row>
    <row r="2107" spans="11:15">
      <c r="K2107" s="1470">
        <v>44164</v>
      </c>
      <c r="L2107" s="1471"/>
      <c r="M2107" s="1472">
        <v>0</v>
      </c>
      <c r="N2107" s="1473">
        <v>1.6140115155935588</v>
      </c>
      <c r="O2107" s="1473"/>
    </row>
    <row r="2108" spans="11:15">
      <c r="K2108" s="1470">
        <v>44165</v>
      </c>
      <c r="L2108" s="1471" t="s">
        <v>2129</v>
      </c>
      <c r="M2108" s="1472">
        <v>7.4689999999999999E-3</v>
      </c>
      <c r="N2108" s="1473">
        <v>1.6141320661136584</v>
      </c>
      <c r="O2108" s="1473"/>
    </row>
    <row r="2109" spans="11:15">
      <c r="K2109" s="1470">
        <v>44166</v>
      </c>
      <c r="L2109" s="1471" t="s">
        <v>2129</v>
      </c>
      <c r="M2109" s="1472">
        <v>7.4689999999999999E-3</v>
      </c>
      <c r="N2109" s="1473">
        <v>1.6142526256376764</v>
      </c>
      <c r="O2109" s="1473"/>
    </row>
    <row r="2110" spans="11:15">
      <c r="K2110" s="1470">
        <v>44167</v>
      </c>
      <c r="L2110" s="1471" t="s">
        <v>2129</v>
      </c>
      <c r="M2110" s="1472">
        <v>7.4689999999999999E-3</v>
      </c>
      <c r="N2110" s="1473">
        <v>1.6143731941662851</v>
      </c>
      <c r="O2110" s="1473"/>
    </row>
    <row r="2111" spans="11:15">
      <c r="K2111" s="1470">
        <v>44168</v>
      </c>
      <c r="L2111" s="1471" t="s">
        <v>2129</v>
      </c>
      <c r="M2111" s="1472">
        <v>7.4689999999999999E-3</v>
      </c>
      <c r="N2111" s="1473">
        <v>1.6144937717001573</v>
      </c>
      <c r="O2111" s="1473"/>
    </row>
    <row r="2112" spans="11:15">
      <c r="K2112" s="1470">
        <v>44169</v>
      </c>
      <c r="L2112" s="1471" t="s">
        <v>2129</v>
      </c>
      <c r="M2112" s="1472">
        <v>7.4689999999999999E-3</v>
      </c>
      <c r="N2112" s="1473">
        <v>1.6146143582399655</v>
      </c>
      <c r="O2112" s="1473"/>
    </row>
    <row r="2113" spans="11:15">
      <c r="K2113" s="1470">
        <v>44170</v>
      </c>
      <c r="L2113" s="1471"/>
      <c r="M2113" s="1472">
        <v>0</v>
      </c>
      <c r="N2113" s="1473">
        <v>1.6146143582399655</v>
      </c>
      <c r="O2113" s="1473"/>
    </row>
    <row r="2114" spans="11:15">
      <c r="K2114" s="1470">
        <v>44171</v>
      </c>
      <c r="L2114" s="1471"/>
      <c r="M2114" s="1472">
        <v>0</v>
      </c>
      <c r="N2114" s="1473">
        <v>1.6146143582399655</v>
      </c>
      <c r="O2114" s="1473"/>
    </row>
    <row r="2115" spans="11:15">
      <c r="K2115" s="1470">
        <v>44172</v>
      </c>
      <c r="L2115" s="1471" t="s">
        <v>2129</v>
      </c>
      <c r="M2115" s="1472">
        <v>7.4689999999999999E-3</v>
      </c>
      <c r="N2115" s="1473">
        <v>1.6147349537863822</v>
      </c>
      <c r="O2115" s="1473"/>
    </row>
    <row r="2116" spans="11:15">
      <c r="K2116" s="1470">
        <v>44173</v>
      </c>
      <c r="L2116" s="1471" t="s">
        <v>2129</v>
      </c>
      <c r="M2116" s="1472">
        <v>7.4689999999999999E-3</v>
      </c>
      <c r="N2116" s="1473">
        <v>1.6148555583400803</v>
      </c>
      <c r="O2116" s="1473"/>
    </row>
    <row r="2117" spans="11:15">
      <c r="K2117" s="1470">
        <v>44174</v>
      </c>
      <c r="L2117" s="1471" t="s">
        <v>2129</v>
      </c>
      <c r="M2117" s="1472">
        <v>7.4689999999999999E-3</v>
      </c>
      <c r="N2117" s="1473">
        <v>1.6149761719017326</v>
      </c>
      <c r="O2117" s="1473"/>
    </row>
    <row r="2118" spans="11:15">
      <c r="K2118" s="1470">
        <v>44175</v>
      </c>
      <c r="L2118" s="1471" t="s">
        <v>2129</v>
      </c>
      <c r="M2118" s="1472">
        <v>7.4689999999999999E-3</v>
      </c>
      <c r="N2118" s="1473">
        <v>1.6150967944720118</v>
      </c>
      <c r="O2118" s="1473"/>
    </row>
    <row r="2119" spans="11:15">
      <c r="K2119" s="1470">
        <v>44176</v>
      </c>
      <c r="L2119" s="1471" t="s">
        <v>2129</v>
      </c>
      <c r="M2119" s="1472">
        <v>7.4689999999999999E-3</v>
      </c>
      <c r="N2119" s="1473">
        <v>1.6152174260515908</v>
      </c>
      <c r="O2119" s="1473"/>
    </row>
    <row r="2120" spans="11:15">
      <c r="K2120" s="1470">
        <v>44177</v>
      </c>
      <c r="L2120" s="1471"/>
      <c r="M2120" s="1472">
        <v>0</v>
      </c>
      <c r="N2120" s="1473">
        <v>1.6152174260515908</v>
      </c>
      <c r="O2120" s="1473"/>
    </row>
    <row r="2121" spans="11:15">
      <c r="K2121" s="1470">
        <v>44178</v>
      </c>
      <c r="L2121" s="1471"/>
      <c r="M2121" s="1472">
        <v>0</v>
      </c>
      <c r="N2121" s="1473">
        <v>1.6152174260515908</v>
      </c>
      <c r="O2121" s="1473"/>
    </row>
    <row r="2122" spans="11:15">
      <c r="K2122" s="1470">
        <v>44179</v>
      </c>
      <c r="L2122" s="1471" t="s">
        <v>2129</v>
      </c>
      <c r="M2122" s="1472">
        <v>7.4689999999999999E-3</v>
      </c>
      <c r="N2122" s="1473">
        <v>1.6153380666411425</v>
      </c>
      <c r="O2122" s="1473"/>
    </row>
    <row r="2123" spans="11:15">
      <c r="K2123" s="1470">
        <v>44180</v>
      </c>
      <c r="L2123" s="1471" t="s">
        <v>2129</v>
      </c>
      <c r="M2123" s="1472">
        <v>7.4689999999999999E-3</v>
      </c>
      <c r="N2123" s="1473">
        <v>1.6154587162413399</v>
      </c>
      <c r="O2123" s="1473"/>
    </row>
    <row r="2124" spans="11:15">
      <c r="K2124" s="1470">
        <v>44181</v>
      </c>
      <c r="L2124" s="1471" t="s">
        <v>2129</v>
      </c>
      <c r="M2124" s="1472">
        <v>7.4689999999999999E-3</v>
      </c>
      <c r="N2124" s="1473">
        <v>1.6155793748528557</v>
      </c>
      <c r="O2124" s="1473"/>
    </row>
    <row r="2125" spans="11:15">
      <c r="K2125" s="1470">
        <v>44182</v>
      </c>
      <c r="L2125" s="1471" t="s">
        <v>2129</v>
      </c>
      <c r="M2125" s="1472">
        <v>7.4689999999999999E-3</v>
      </c>
      <c r="N2125" s="1473">
        <v>1.6157000424763635</v>
      </c>
      <c r="O2125" s="1473"/>
    </row>
    <row r="2126" spans="11:15">
      <c r="K2126" s="1470">
        <v>44183</v>
      </c>
      <c r="L2126" s="1471" t="s">
        <v>2129</v>
      </c>
      <c r="M2126" s="1472">
        <v>7.4689999999999999E-3</v>
      </c>
      <c r="N2126" s="1473">
        <v>1.615820719112536</v>
      </c>
      <c r="O2126" s="1473"/>
    </row>
    <row r="2127" spans="11:15">
      <c r="K2127" s="1470">
        <v>44184</v>
      </c>
      <c r="L2127" s="1471"/>
      <c r="M2127" s="1472">
        <v>0</v>
      </c>
      <c r="N2127" s="1473">
        <v>1.615820719112536</v>
      </c>
      <c r="O2127" s="1473"/>
    </row>
    <row r="2128" spans="11:15">
      <c r="K2128" s="1470">
        <v>44185</v>
      </c>
      <c r="L2128" s="1471"/>
      <c r="M2128" s="1472">
        <v>0</v>
      </c>
      <c r="N2128" s="1473">
        <v>1.615820719112536</v>
      </c>
      <c r="O2128" s="1473"/>
    </row>
    <row r="2129" spans="11:15">
      <c r="K2129" s="1470">
        <v>44186</v>
      </c>
      <c r="L2129" s="1471" t="s">
        <v>2129</v>
      </c>
      <c r="M2129" s="1472">
        <v>7.4689999999999999E-3</v>
      </c>
      <c r="N2129" s="1473">
        <v>1.6159414047620464</v>
      </c>
      <c r="O2129" s="1473"/>
    </row>
    <row r="2130" spans="11:15">
      <c r="K2130" s="1470">
        <v>44187</v>
      </c>
      <c r="L2130" s="1471" t="s">
        <v>2129</v>
      </c>
      <c r="M2130" s="1472">
        <v>7.4689999999999999E-3</v>
      </c>
      <c r="N2130" s="1473">
        <v>1.6160620994255679</v>
      </c>
      <c r="O2130" s="1473"/>
    </row>
    <row r="2131" spans="11:15">
      <c r="K2131" s="1470">
        <v>44188</v>
      </c>
      <c r="L2131" s="1471" t="s">
        <v>2129</v>
      </c>
      <c r="M2131" s="1472">
        <v>7.4689999999999999E-3</v>
      </c>
      <c r="N2131" s="1473">
        <v>1.6161828031037739</v>
      </c>
      <c r="O2131" s="1473"/>
    </row>
    <row r="2132" spans="11:15">
      <c r="K2132" s="1470">
        <v>44189</v>
      </c>
      <c r="L2132" s="1471" t="s">
        <v>2129</v>
      </c>
      <c r="M2132" s="1472">
        <v>7.4689999999999999E-3</v>
      </c>
      <c r="N2132" s="1473">
        <v>1.6163035157973376</v>
      </c>
      <c r="O2132" s="1473"/>
    </row>
    <row r="2133" spans="11:15">
      <c r="K2133" s="1470">
        <v>44190</v>
      </c>
      <c r="L2133" s="1471"/>
      <c r="M2133" s="1472">
        <v>0</v>
      </c>
      <c r="N2133" s="1473">
        <v>1.6163035157973376</v>
      </c>
      <c r="O2133" s="1473"/>
    </row>
    <row r="2134" spans="11:15">
      <c r="K2134" s="1470">
        <v>44191</v>
      </c>
      <c r="L2134" s="1471"/>
      <c r="M2134" s="1472">
        <v>0</v>
      </c>
      <c r="N2134" s="1473">
        <v>1.6163035157973376</v>
      </c>
      <c r="O2134" s="1473"/>
    </row>
    <row r="2135" spans="11:15">
      <c r="K2135" s="1470">
        <v>44192</v>
      </c>
      <c r="L2135" s="1471"/>
      <c r="M2135" s="1472">
        <v>0</v>
      </c>
      <c r="N2135" s="1473">
        <v>1.6163035157973376</v>
      </c>
      <c r="O2135" s="1473"/>
    </row>
    <row r="2136" spans="11:15">
      <c r="K2136" s="1470">
        <v>44193</v>
      </c>
      <c r="L2136" s="1471" t="s">
        <v>2129</v>
      </c>
      <c r="M2136" s="1472">
        <v>7.4689999999999999E-3</v>
      </c>
      <c r="N2136" s="1473">
        <v>1.6164242375069324</v>
      </c>
      <c r="O2136" s="1473"/>
    </row>
    <row r="2137" spans="11:15">
      <c r="K2137" s="1470">
        <v>44194</v>
      </c>
      <c r="L2137" s="1471" t="s">
        <v>2129</v>
      </c>
      <c r="M2137" s="1472">
        <v>7.4689999999999999E-3</v>
      </c>
      <c r="N2137" s="1473">
        <v>1.6165449682332318</v>
      </c>
      <c r="O2137" s="1473"/>
    </row>
    <row r="2138" spans="11:15">
      <c r="K2138" s="1470">
        <v>44195</v>
      </c>
      <c r="L2138" s="1471" t="s">
        <v>2129</v>
      </c>
      <c r="M2138" s="1472">
        <v>7.4689999999999999E-3</v>
      </c>
      <c r="N2138" s="1473">
        <v>1.6166657079769091</v>
      </c>
      <c r="O2138" s="1473"/>
    </row>
    <row r="2139" spans="11:15">
      <c r="K2139" s="1470">
        <v>44196</v>
      </c>
      <c r="L2139" s="1471" t="s">
        <v>2129</v>
      </c>
      <c r="M2139" s="1472">
        <v>7.4689999999999999E-3</v>
      </c>
      <c r="N2139" s="1473">
        <v>1.6167864567386379</v>
      </c>
      <c r="O2139" s="1473"/>
    </row>
    <row r="2140" spans="11:15">
      <c r="K2140" s="1470">
        <v>44197</v>
      </c>
      <c r="L2140" s="1471"/>
      <c r="M2140" s="1472">
        <v>0</v>
      </c>
      <c r="N2140" s="1473">
        <v>1.6167864567386379</v>
      </c>
      <c r="O2140" s="1473"/>
    </row>
    <row r="2141" spans="11:15">
      <c r="K2141" s="1470">
        <v>44198</v>
      </c>
      <c r="L2141" s="1471"/>
      <c r="M2141" s="1472">
        <v>0</v>
      </c>
      <c r="N2141" s="1473">
        <v>1.6167864567386379</v>
      </c>
      <c r="O2141" s="1473"/>
    </row>
    <row r="2142" spans="11:15">
      <c r="K2142" s="1470">
        <v>44199</v>
      </c>
      <c r="L2142" s="1471"/>
      <c r="M2142" s="1472">
        <v>0</v>
      </c>
      <c r="N2142" s="1473">
        <v>1.6167864567386379</v>
      </c>
      <c r="O2142" s="1473"/>
    </row>
    <row r="2143" spans="11:15">
      <c r="K2143" s="1470">
        <v>44200</v>
      </c>
      <c r="L2143" s="1471" t="s">
        <v>2129</v>
      </c>
      <c r="M2143" s="1472">
        <v>7.4689999999999999E-3</v>
      </c>
      <c r="N2143" s="1473">
        <v>1.6169072145190915</v>
      </c>
      <c r="O2143" s="1473"/>
    </row>
    <row r="2144" spans="11:15">
      <c r="K2144" s="1470">
        <v>44201</v>
      </c>
      <c r="L2144" s="1471" t="s">
        <v>2129</v>
      </c>
      <c r="M2144" s="1472">
        <v>7.4689999999999999E-3</v>
      </c>
      <c r="N2144" s="1473">
        <v>1.6170279813189439</v>
      </c>
      <c r="O2144" s="1473"/>
    </row>
    <row r="2145" spans="11:15">
      <c r="K2145" s="1470">
        <v>44202</v>
      </c>
      <c r="L2145" s="1471" t="s">
        <v>2129</v>
      </c>
      <c r="M2145" s="1472">
        <v>7.4689999999999999E-3</v>
      </c>
      <c r="N2145" s="1473">
        <v>1.6171487571388685</v>
      </c>
      <c r="O2145" s="1473"/>
    </row>
    <row r="2146" spans="11:15">
      <c r="K2146" s="1470">
        <v>44203</v>
      </c>
      <c r="L2146" s="1471" t="s">
        <v>2129</v>
      </c>
      <c r="M2146" s="1472">
        <v>7.4689999999999999E-3</v>
      </c>
      <c r="N2146" s="1473">
        <v>1.6172695419795391</v>
      </c>
      <c r="O2146" s="1473"/>
    </row>
    <row r="2147" spans="11:15">
      <c r="K2147" s="1470">
        <v>44204</v>
      </c>
      <c r="L2147" s="1471" t="s">
        <v>2129</v>
      </c>
      <c r="M2147" s="1472">
        <v>7.4689999999999999E-3</v>
      </c>
      <c r="N2147" s="1473">
        <v>1.6173903358416295</v>
      </c>
      <c r="O2147" s="1473"/>
    </row>
    <row r="2148" spans="11:15">
      <c r="K2148" s="1470">
        <v>44205</v>
      </c>
      <c r="L2148" s="1471"/>
      <c r="M2148" s="1472">
        <v>0</v>
      </c>
      <c r="N2148" s="1473">
        <v>1.6173903358416295</v>
      </c>
      <c r="O2148" s="1473"/>
    </row>
    <row r="2149" spans="11:15">
      <c r="K2149" s="1470">
        <v>44206</v>
      </c>
      <c r="L2149" s="1471"/>
      <c r="M2149" s="1472">
        <v>0</v>
      </c>
      <c r="N2149" s="1473">
        <v>1.6173903358416295</v>
      </c>
      <c r="O2149" s="1473"/>
    </row>
    <row r="2150" spans="11:15">
      <c r="K2150" s="1470">
        <v>44207</v>
      </c>
      <c r="L2150" s="1471" t="s">
        <v>2129</v>
      </c>
      <c r="M2150" s="1472">
        <v>7.4689999999999999E-3</v>
      </c>
      <c r="N2150" s="1473">
        <v>1.6175111387258134</v>
      </c>
      <c r="O2150" s="1473"/>
    </row>
    <row r="2151" spans="11:15">
      <c r="K2151" s="1470">
        <v>44208</v>
      </c>
      <c r="L2151" s="1471" t="s">
        <v>2129</v>
      </c>
      <c r="M2151" s="1472">
        <v>7.4689999999999999E-3</v>
      </c>
      <c r="N2151" s="1473">
        <v>1.6176319506327648</v>
      </c>
      <c r="O2151" s="1473"/>
    </row>
    <row r="2152" spans="11:15">
      <c r="K2152" s="1470">
        <v>44209</v>
      </c>
      <c r="L2152" s="1471" t="s">
        <v>2129</v>
      </c>
      <c r="M2152" s="1472">
        <v>7.4689999999999999E-3</v>
      </c>
      <c r="N2152" s="1473">
        <v>1.6177527715631574</v>
      </c>
      <c r="O2152" s="1473"/>
    </row>
    <row r="2153" spans="11:15">
      <c r="K2153" s="1470">
        <v>44210</v>
      </c>
      <c r="L2153" s="1471" t="s">
        <v>2129</v>
      </c>
      <c r="M2153" s="1472">
        <v>7.4689999999999999E-3</v>
      </c>
      <c r="N2153" s="1473">
        <v>1.6178736015176653</v>
      </c>
      <c r="O2153" s="1473"/>
    </row>
    <row r="2154" spans="11:15">
      <c r="K2154" s="1470">
        <v>44211</v>
      </c>
      <c r="L2154" s="1471" t="s">
        <v>2129</v>
      </c>
      <c r="M2154" s="1472">
        <v>7.4689999999999999E-3</v>
      </c>
      <c r="N2154" s="1473">
        <v>1.6179944404969626</v>
      </c>
      <c r="O2154" s="1473"/>
    </row>
    <row r="2155" spans="11:15">
      <c r="K2155" s="1470">
        <v>44212</v>
      </c>
      <c r="L2155" s="1471"/>
      <c r="M2155" s="1472">
        <v>0</v>
      </c>
      <c r="N2155" s="1473">
        <v>1.6179944404969626</v>
      </c>
      <c r="O2155" s="1473"/>
    </row>
    <row r="2156" spans="11:15">
      <c r="K2156" s="1470">
        <v>44213</v>
      </c>
      <c r="L2156" s="1471"/>
      <c r="M2156" s="1472">
        <v>0</v>
      </c>
      <c r="N2156" s="1473">
        <v>1.6179944404969626</v>
      </c>
      <c r="O2156" s="1473"/>
    </row>
    <row r="2157" spans="11:15">
      <c r="K2157" s="1470">
        <v>44214</v>
      </c>
      <c r="L2157" s="1471" t="s">
        <v>2129</v>
      </c>
      <c r="M2157" s="1472">
        <v>7.4689999999999999E-3</v>
      </c>
      <c r="N2157" s="1473">
        <v>1.6181152885017231</v>
      </c>
      <c r="O2157" s="1473"/>
    </row>
    <row r="2158" spans="11:15">
      <c r="K2158" s="1470">
        <v>44215</v>
      </c>
      <c r="L2158" s="1471" t="s">
        <v>2129</v>
      </c>
      <c r="M2158" s="1472">
        <v>7.4689999999999999E-3</v>
      </c>
      <c r="N2158" s="1473">
        <v>1.6182361455326213</v>
      </c>
      <c r="O2158" s="1473"/>
    </row>
    <row r="2159" spans="11:15">
      <c r="K2159" s="1470">
        <v>44216</v>
      </c>
      <c r="L2159" s="1471" t="s">
        <v>2129</v>
      </c>
      <c r="M2159" s="1472">
        <v>7.4689999999999999E-3</v>
      </c>
      <c r="N2159" s="1473">
        <v>1.618357011590331</v>
      </c>
      <c r="O2159" s="1473"/>
    </row>
    <row r="2160" spans="11:15">
      <c r="K2160" s="1470">
        <v>44217</v>
      </c>
      <c r="L2160" s="1471" t="s">
        <v>2129</v>
      </c>
      <c r="M2160" s="1472">
        <v>7.4689999999999999E-3</v>
      </c>
      <c r="N2160" s="1473">
        <v>1.6184778866755265</v>
      </c>
      <c r="O2160" s="1473"/>
    </row>
    <row r="2161" spans="11:15">
      <c r="K2161" s="1470">
        <v>44218</v>
      </c>
      <c r="L2161" s="1471" t="s">
        <v>2129</v>
      </c>
      <c r="M2161" s="1472">
        <v>7.4689999999999999E-3</v>
      </c>
      <c r="N2161" s="1473">
        <v>1.6185987707888823</v>
      </c>
      <c r="O2161" s="1473"/>
    </row>
    <row r="2162" spans="11:15">
      <c r="K2162" s="1470">
        <v>44219</v>
      </c>
      <c r="L2162" s="1471"/>
      <c r="M2162" s="1472">
        <v>0</v>
      </c>
      <c r="N2162" s="1473">
        <v>1.6185987707888823</v>
      </c>
      <c r="O2162" s="1473"/>
    </row>
    <row r="2163" spans="11:15">
      <c r="K2163" s="1470">
        <v>44220</v>
      </c>
      <c r="L2163" s="1471"/>
      <c r="M2163" s="1472">
        <v>0</v>
      </c>
      <c r="N2163" s="1473">
        <v>1.6185987707888823</v>
      </c>
      <c r="O2163" s="1473"/>
    </row>
    <row r="2164" spans="11:15">
      <c r="K2164" s="1470">
        <v>44221</v>
      </c>
      <c r="L2164" s="1471" t="s">
        <v>2129</v>
      </c>
      <c r="M2164" s="1472">
        <v>7.4689999999999999E-3</v>
      </c>
      <c r="N2164" s="1473">
        <v>1.6187196639310724</v>
      </c>
      <c r="O2164" s="1473"/>
    </row>
    <row r="2165" spans="11:15">
      <c r="K2165" s="1470">
        <v>44222</v>
      </c>
      <c r="L2165" s="1471" t="s">
        <v>2129</v>
      </c>
      <c r="M2165" s="1472">
        <v>7.4689999999999999E-3</v>
      </c>
      <c r="N2165" s="1473">
        <v>1.6188405661027712</v>
      </c>
      <c r="O2165" s="1473"/>
    </row>
    <row r="2166" spans="11:15">
      <c r="K2166" s="1470">
        <v>44223</v>
      </c>
      <c r="L2166" s="1471" t="s">
        <v>2129</v>
      </c>
      <c r="M2166" s="1472">
        <v>7.4689999999999999E-3</v>
      </c>
      <c r="N2166" s="1473">
        <v>1.6189614773046532</v>
      </c>
      <c r="O2166" s="1473"/>
    </row>
    <row r="2167" spans="11:15">
      <c r="K2167" s="1470">
        <v>44224</v>
      </c>
      <c r="L2167" s="1471" t="s">
        <v>2129</v>
      </c>
      <c r="M2167" s="1472">
        <v>7.4689999999999999E-3</v>
      </c>
      <c r="N2167" s="1473">
        <v>1.6190823975373929</v>
      </c>
      <c r="O2167" s="1473"/>
    </row>
    <row r="2168" spans="11:15">
      <c r="K2168" s="1470">
        <v>44225</v>
      </c>
      <c r="L2168" s="1471" t="s">
        <v>2129</v>
      </c>
      <c r="M2168" s="1472">
        <v>7.4689999999999999E-3</v>
      </c>
      <c r="N2168" s="1473">
        <v>1.6192033268016648</v>
      </c>
      <c r="O2168" s="1473"/>
    </row>
    <row r="2169" spans="11:15">
      <c r="K2169" s="1470">
        <v>44226</v>
      </c>
      <c r="L2169" s="1471"/>
      <c r="M2169" s="1472">
        <v>0</v>
      </c>
      <c r="N2169" s="1473">
        <v>1.6192033268016648</v>
      </c>
      <c r="O2169" s="1473"/>
    </row>
    <row r="2170" spans="11:15">
      <c r="K2170" s="1470">
        <v>44227</v>
      </c>
      <c r="L2170" s="1471"/>
      <c r="M2170" s="1472">
        <v>0</v>
      </c>
      <c r="N2170" s="1473">
        <v>1.6192033268016648</v>
      </c>
      <c r="O2170" s="1473"/>
    </row>
    <row r="2171" spans="11:15">
      <c r="K2171" s="1470">
        <v>44228</v>
      </c>
      <c r="L2171" s="1471" t="s">
        <v>2129</v>
      </c>
      <c r="M2171" s="1472">
        <v>7.4689999999999999E-3</v>
      </c>
      <c r="N2171" s="1473">
        <v>1.6193242650981434</v>
      </c>
      <c r="O2171" s="1473"/>
    </row>
    <row r="2172" spans="11:15">
      <c r="K2172" s="1470">
        <v>44229</v>
      </c>
      <c r="L2172" s="1471" t="s">
        <v>2129</v>
      </c>
      <c r="M2172" s="1472">
        <v>7.4689999999999999E-3</v>
      </c>
      <c r="N2172" s="1473">
        <v>1.6194452124275034</v>
      </c>
      <c r="O2172" s="1473"/>
    </row>
    <row r="2173" spans="11:15">
      <c r="K2173" s="1470">
        <v>44230</v>
      </c>
      <c r="L2173" s="1471" t="s">
        <v>2129</v>
      </c>
      <c r="M2173" s="1472">
        <v>7.4689999999999999E-3</v>
      </c>
      <c r="N2173" s="1473">
        <v>1.6195661687904195</v>
      </c>
      <c r="O2173" s="1473"/>
    </row>
    <row r="2174" spans="11:15">
      <c r="K2174" s="1470">
        <v>44231</v>
      </c>
      <c r="L2174" s="1471" t="s">
        <v>2129</v>
      </c>
      <c r="M2174" s="1472">
        <v>7.4689999999999999E-3</v>
      </c>
      <c r="N2174" s="1473">
        <v>1.6196871341875663</v>
      </c>
      <c r="O2174" s="1473"/>
    </row>
    <row r="2175" spans="11:15">
      <c r="K2175" s="1470">
        <v>44232</v>
      </c>
      <c r="L2175" s="1471" t="s">
        <v>2129</v>
      </c>
      <c r="M2175" s="1472">
        <v>7.4689999999999999E-3</v>
      </c>
      <c r="N2175" s="1473">
        <v>1.6198081086196185</v>
      </c>
      <c r="O2175" s="1473"/>
    </row>
    <row r="2176" spans="11:15">
      <c r="K2176" s="1470">
        <v>44233</v>
      </c>
      <c r="L2176" s="1471"/>
      <c r="M2176" s="1472">
        <v>0</v>
      </c>
      <c r="N2176" s="1473">
        <v>1.6198081086196185</v>
      </c>
      <c r="O2176" s="1473"/>
    </row>
    <row r="2177" spans="11:15">
      <c r="K2177" s="1470">
        <v>44234</v>
      </c>
      <c r="L2177" s="1471"/>
      <c r="M2177" s="1472">
        <v>0</v>
      </c>
      <c r="N2177" s="1473">
        <v>1.6198081086196185</v>
      </c>
      <c r="O2177" s="1473"/>
    </row>
    <row r="2178" spans="11:15">
      <c r="K2178" s="1470">
        <v>44235</v>
      </c>
      <c r="L2178" s="1471" t="s">
        <v>2129</v>
      </c>
      <c r="M2178" s="1472">
        <v>7.4689999999999999E-3</v>
      </c>
      <c r="N2178" s="1473">
        <v>1.6199290920872513</v>
      </c>
      <c r="O2178" s="1473"/>
    </row>
    <row r="2179" spans="11:15">
      <c r="K2179" s="1470">
        <v>44236</v>
      </c>
      <c r="L2179" s="1471" t="s">
        <v>2129</v>
      </c>
      <c r="M2179" s="1472">
        <v>7.4689999999999999E-3</v>
      </c>
      <c r="N2179" s="1473">
        <v>1.6200500845911392</v>
      </c>
      <c r="O2179" s="1473"/>
    </row>
    <row r="2180" spans="11:15">
      <c r="K2180" s="1470">
        <v>44237</v>
      </c>
      <c r="L2180" s="1471" t="s">
        <v>2129</v>
      </c>
      <c r="M2180" s="1472">
        <v>7.4689999999999999E-3</v>
      </c>
      <c r="N2180" s="1473">
        <v>1.6201710861319571</v>
      </c>
      <c r="O2180" s="1473"/>
    </row>
    <row r="2181" spans="11:15">
      <c r="K2181" s="1470">
        <v>44238</v>
      </c>
      <c r="L2181" s="1471" t="s">
        <v>2129</v>
      </c>
      <c r="M2181" s="1472">
        <v>7.4689999999999999E-3</v>
      </c>
      <c r="N2181" s="1473">
        <v>1.6202920967103802</v>
      </c>
      <c r="O2181" s="1473"/>
    </row>
    <row r="2182" spans="11:15">
      <c r="K2182" s="1470">
        <v>44239</v>
      </c>
      <c r="L2182" s="1471" t="s">
        <v>2129</v>
      </c>
      <c r="M2182" s="1472">
        <v>7.4689999999999999E-3</v>
      </c>
      <c r="N2182" s="1473">
        <v>1.6204131163270834</v>
      </c>
      <c r="O2182" s="1473"/>
    </row>
    <row r="2183" spans="11:15">
      <c r="K2183" s="1470">
        <v>44240</v>
      </c>
      <c r="L2183" s="1471"/>
      <c r="M2183" s="1472">
        <v>0</v>
      </c>
      <c r="N2183" s="1473">
        <v>1.6204131163270834</v>
      </c>
      <c r="O2183" s="1473"/>
    </row>
    <row r="2184" spans="11:15">
      <c r="K2184" s="1470">
        <v>44241</v>
      </c>
      <c r="L2184" s="1471"/>
      <c r="M2184" s="1472">
        <v>0</v>
      </c>
      <c r="N2184" s="1473">
        <v>1.6204131163270834</v>
      </c>
      <c r="O2184" s="1473"/>
    </row>
    <row r="2185" spans="11:15">
      <c r="K2185" s="1470">
        <v>44242</v>
      </c>
      <c r="L2185" s="1471"/>
      <c r="M2185" s="1472">
        <v>0</v>
      </c>
      <c r="N2185" s="1473">
        <v>1.6204131163270834</v>
      </c>
      <c r="O2185" s="1473"/>
    </row>
    <row r="2186" spans="11:15">
      <c r="K2186" s="1470">
        <v>44243</v>
      </c>
      <c r="L2186" s="1471"/>
      <c r="M2186" s="1472">
        <v>0</v>
      </c>
      <c r="N2186" s="1473">
        <v>1.6204131163270834</v>
      </c>
      <c r="O2186" s="1473"/>
    </row>
    <row r="2187" spans="11:15">
      <c r="K2187" s="1470">
        <v>44244</v>
      </c>
      <c r="L2187" s="1471" t="s">
        <v>2129</v>
      </c>
      <c r="M2187" s="1472">
        <v>7.4689999999999999E-3</v>
      </c>
      <c r="N2187" s="1473">
        <v>1.6205341449827417</v>
      </c>
      <c r="O2187" s="1473"/>
    </row>
    <row r="2188" spans="11:15">
      <c r="K2188" s="1470">
        <v>44245</v>
      </c>
      <c r="L2188" s="1471" t="s">
        <v>2129</v>
      </c>
      <c r="M2188" s="1472">
        <v>7.4689999999999999E-3</v>
      </c>
      <c r="N2188" s="1473">
        <v>1.6206551826780304</v>
      </c>
      <c r="O2188" s="1473"/>
    </row>
    <row r="2189" spans="11:15">
      <c r="K2189" s="1470">
        <v>44246</v>
      </c>
      <c r="L2189" s="1471" t="s">
        <v>2129</v>
      </c>
      <c r="M2189" s="1472">
        <v>7.4689999999999999E-3</v>
      </c>
      <c r="N2189" s="1473">
        <v>1.6207762294136245</v>
      </c>
      <c r="O2189" s="1473"/>
    </row>
    <row r="2190" spans="11:15">
      <c r="K2190" s="1470">
        <v>44247</v>
      </c>
      <c r="L2190" s="1471"/>
      <c r="M2190" s="1472">
        <v>0</v>
      </c>
      <c r="N2190" s="1473">
        <v>1.6207762294136245</v>
      </c>
      <c r="O2190" s="1473"/>
    </row>
    <row r="2191" spans="11:15">
      <c r="K2191" s="1470">
        <v>44248</v>
      </c>
      <c r="L2191" s="1471"/>
      <c r="M2191" s="1472">
        <v>0</v>
      </c>
      <c r="N2191" s="1473">
        <v>1.6207762294136245</v>
      </c>
      <c r="O2191" s="1473"/>
    </row>
    <row r="2192" spans="11:15">
      <c r="K2192" s="1470">
        <v>44249</v>
      </c>
      <c r="L2192" s="1471" t="s">
        <v>2129</v>
      </c>
      <c r="M2192" s="1472">
        <v>7.4689999999999999E-3</v>
      </c>
      <c r="N2192" s="1473">
        <v>1.6208972851901993</v>
      </c>
      <c r="O2192" s="1473"/>
    </row>
    <row r="2193" spans="11:15">
      <c r="K2193" s="1470">
        <v>44250</v>
      </c>
      <c r="L2193" s="1471" t="s">
        <v>2129</v>
      </c>
      <c r="M2193" s="1472">
        <v>7.4689999999999999E-3</v>
      </c>
      <c r="N2193" s="1473">
        <v>1.6210183500084301</v>
      </c>
      <c r="O2193" s="1473"/>
    </row>
    <row r="2194" spans="11:15">
      <c r="K2194" s="1470">
        <v>44251</v>
      </c>
      <c r="L2194" s="1471" t="s">
        <v>2129</v>
      </c>
      <c r="M2194" s="1472">
        <v>7.4689999999999999E-3</v>
      </c>
      <c r="N2194" s="1473">
        <v>1.621139423868992</v>
      </c>
      <c r="O2194" s="1473"/>
    </row>
    <row r="2195" spans="11:15">
      <c r="K2195" s="1470">
        <v>44252</v>
      </c>
      <c r="L2195" s="1471" t="s">
        <v>2129</v>
      </c>
      <c r="M2195" s="1472">
        <v>7.4689999999999999E-3</v>
      </c>
      <c r="N2195" s="1473">
        <v>1.6212605067725607</v>
      </c>
      <c r="O2195" s="1473"/>
    </row>
    <row r="2196" spans="11:15">
      <c r="K2196" s="1470">
        <v>44253</v>
      </c>
      <c r="L2196" s="1471" t="s">
        <v>2129</v>
      </c>
      <c r="M2196" s="1472">
        <v>7.4689999999999999E-3</v>
      </c>
      <c r="N2196" s="1473">
        <v>1.6213815987198115</v>
      </c>
      <c r="O2196" s="1473"/>
    </row>
    <row r="2197" spans="11:15">
      <c r="K2197" s="1470">
        <v>44254</v>
      </c>
      <c r="L2197" s="1471"/>
      <c r="M2197" s="1472">
        <v>0</v>
      </c>
      <c r="N2197" s="1473">
        <v>1.6213815987198115</v>
      </c>
      <c r="O2197" s="1473"/>
    </row>
    <row r="2198" spans="11:15">
      <c r="K2198" s="1470">
        <v>44255</v>
      </c>
      <c r="L2198" s="1471"/>
      <c r="M2198" s="1472">
        <v>0</v>
      </c>
      <c r="N2198" s="1473">
        <v>1.6213815987198115</v>
      </c>
      <c r="O2198" s="1473"/>
    </row>
    <row r="2199" spans="11:15">
      <c r="K2199" s="1470">
        <v>44256</v>
      </c>
      <c r="L2199" s="1471" t="s">
        <v>2129</v>
      </c>
      <c r="M2199" s="1472">
        <v>7.4689999999999999E-3</v>
      </c>
      <c r="N2199" s="1473">
        <v>1.6215026997114197</v>
      </c>
      <c r="O2199" s="1473"/>
    </row>
    <row r="2200" spans="11:15">
      <c r="K2200" s="1470">
        <v>44257</v>
      </c>
      <c r="L2200" s="1471" t="s">
        <v>2129</v>
      </c>
      <c r="M2200" s="1472">
        <v>7.4689999999999999E-3</v>
      </c>
      <c r="N2200" s="1473">
        <v>1.6216238097480611</v>
      </c>
      <c r="O2200" s="1473"/>
    </row>
    <row r="2201" spans="11:15">
      <c r="K2201" s="1470">
        <v>44258</v>
      </c>
      <c r="L2201" s="1471" t="s">
        <v>2129</v>
      </c>
      <c r="M2201" s="1472">
        <v>7.4689999999999999E-3</v>
      </c>
      <c r="N2201" s="1473">
        <v>1.6217449288304111</v>
      </c>
      <c r="O2201" s="1473"/>
    </row>
    <row r="2202" spans="11:15">
      <c r="K2202" s="1470">
        <v>44259</v>
      </c>
      <c r="L2202" s="1471" t="s">
        <v>2129</v>
      </c>
      <c r="M2202" s="1472">
        <v>7.4689999999999999E-3</v>
      </c>
      <c r="N2202" s="1473">
        <v>1.6218660569591454</v>
      </c>
      <c r="O2202" s="1473"/>
    </row>
    <row r="2203" spans="11:15">
      <c r="K2203" s="1470">
        <v>44260</v>
      </c>
      <c r="L2203" s="1471" t="s">
        <v>2129</v>
      </c>
      <c r="M2203" s="1472">
        <v>7.4689999999999999E-3</v>
      </c>
      <c r="N2203" s="1473">
        <v>1.6219871941349395</v>
      </c>
      <c r="O2203" s="1473"/>
    </row>
    <row r="2204" spans="11:15">
      <c r="K2204" s="1470">
        <v>44261</v>
      </c>
      <c r="L2204" s="1471"/>
      <c r="M2204" s="1472">
        <v>0</v>
      </c>
      <c r="N2204" s="1473">
        <v>1.6219871941349395</v>
      </c>
      <c r="O2204" s="1473"/>
    </row>
    <row r="2205" spans="11:15">
      <c r="K2205" s="1470">
        <v>44262</v>
      </c>
      <c r="L2205" s="1471"/>
      <c r="M2205" s="1472">
        <v>0</v>
      </c>
      <c r="N2205" s="1473">
        <v>1.6219871941349395</v>
      </c>
      <c r="O2205" s="1473"/>
    </row>
    <row r="2206" spans="11:15">
      <c r="K2206" s="1470">
        <v>44263</v>
      </c>
      <c r="L2206" s="1471" t="s">
        <v>2129</v>
      </c>
      <c r="M2206" s="1472">
        <v>7.4689999999999999E-3</v>
      </c>
      <c r="N2206" s="1473">
        <v>1.6221083403584693</v>
      </c>
      <c r="O2206" s="1473"/>
    </row>
    <row r="2207" spans="11:15">
      <c r="K2207" s="1470">
        <v>44264</v>
      </c>
      <c r="L2207" s="1471" t="s">
        <v>2129</v>
      </c>
      <c r="M2207" s="1472">
        <v>7.4689999999999999E-3</v>
      </c>
      <c r="N2207" s="1473">
        <v>1.6222294956304106</v>
      </c>
      <c r="O2207" s="1473"/>
    </row>
    <row r="2208" spans="11:15">
      <c r="K2208" s="1470">
        <v>44265</v>
      </c>
      <c r="L2208" s="1471" t="s">
        <v>2129</v>
      </c>
      <c r="M2208" s="1472">
        <v>7.4689999999999999E-3</v>
      </c>
      <c r="N2208" s="1473">
        <v>1.6223506599514392</v>
      </c>
      <c r="O2208" s="1473"/>
    </row>
    <row r="2209" spans="11:15">
      <c r="K2209" s="1470">
        <v>44266</v>
      </c>
      <c r="L2209" s="1471" t="s">
        <v>2129</v>
      </c>
      <c r="M2209" s="1472">
        <v>7.4689999999999999E-3</v>
      </c>
      <c r="N2209" s="1473">
        <v>1.622471833322231</v>
      </c>
      <c r="O2209" s="1473"/>
    </row>
    <row r="2210" spans="11:15">
      <c r="K2210" s="1470">
        <v>44267</v>
      </c>
      <c r="L2210" s="1471" t="s">
        <v>2129</v>
      </c>
      <c r="M2210" s="1472">
        <v>7.4689999999999999E-3</v>
      </c>
      <c r="N2210" s="1473">
        <v>1.6225930157434618</v>
      </c>
      <c r="O2210" s="1473"/>
    </row>
    <row r="2211" spans="11:15">
      <c r="K2211" s="1470">
        <v>44268</v>
      </c>
      <c r="L2211" s="1471"/>
      <c r="M2211" s="1472">
        <v>0</v>
      </c>
      <c r="N2211" s="1473">
        <v>1.6225930157434618</v>
      </c>
      <c r="O2211" s="1473"/>
    </row>
    <row r="2212" spans="11:15">
      <c r="K2212" s="1470">
        <v>44269</v>
      </c>
      <c r="L2212" s="1471"/>
      <c r="M2212" s="1472">
        <v>0</v>
      </c>
      <c r="N2212" s="1473">
        <v>1.6225930157434618</v>
      </c>
      <c r="O2212" s="1473"/>
    </row>
    <row r="2213" spans="11:15">
      <c r="K2213" s="1470">
        <v>44270</v>
      </c>
      <c r="L2213" s="1471" t="s">
        <v>2129</v>
      </c>
      <c r="M2213" s="1472">
        <v>7.4689999999999999E-3</v>
      </c>
      <c r="N2213" s="1473">
        <v>1.6227142072158076</v>
      </c>
      <c r="O2213" s="1473"/>
    </row>
    <row r="2214" spans="11:15">
      <c r="K2214" s="1470">
        <v>44271</v>
      </c>
      <c r="L2214" s="1471" t="s">
        <v>2129</v>
      </c>
      <c r="M2214" s="1472">
        <v>7.4689999999999999E-3</v>
      </c>
      <c r="N2214" s="1473">
        <v>1.6228354077399445</v>
      </c>
      <c r="O2214" s="1473"/>
    </row>
    <row r="2215" spans="11:15">
      <c r="K2215" s="1470">
        <v>44272</v>
      </c>
      <c r="L2215" s="1471" t="s">
        <v>2129</v>
      </c>
      <c r="M2215" s="1472">
        <v>7.4689999999999999E-3</v>
      </c>
      <c r="N2215" s="1473">
        <v>1.6229566173165484</v>
      </c>
      <c r="O2215" s="1473"/>
    </row>
    <row r="2216" spans="11:15">
      <c r="K2216" s="1470">
        <v>44273</v>
      </c>
      <c r="L2216" s="1471" t="s">
        <v>2129</v>
      </c>
      <c r="M2216" s="1472">
        <v>1.0378999999999999E-2</v>
      </c>
      <c r="N2216" s="1473">
        <v>1.6231250639838597</v>
      </c>
      <c r="O2216" s="1473"/>
    </row>
    <row r="2217" spans="11:15">
      <c r="K2217" s="1470">
        <v>44274</v>
      </c>
      <c r="L2217" s="1471" t="s">
        <v>2129</v>
      </c>
      <c r="M2217" s="1472">
        <v>1.0378999999999999E-2</v>
      </c>
      <c r="N2217" s="1473">
        <v>1.6232935281342507</v>
      </c>
      <c r="O2217" s="1473"/>
    </row>
    <row r="2218" spans="11:15">
      <c r="K2218" s="1470">
        <v>44275</v>
      </c>
      <c r="L2218" s="1471"/>
      <c r="M2218" s="1472">
        <v>0</v>
      </c>
      <c r="N2218" s="1473">
        <v>1.6232935281342507</v>
      </c>
      <c r="O2218" s="1473"/>
    </row>
    <row r="2219" spans="11:15">
      <c r="K2219" s="1470">
        <v>44276</v>
      </c>
      <c r="L2219" s="1471"/>
      <c r="M2219" s="1472">
        <v>0</v>
      </c>
      <c r="N2219" s="1473">
        <v>1.6232935281342507</v>
      </c>
      <c r="O2219" s="1473"/>
    </row>
    <row r="2220" spans="11:15">
      <c r="K2220" s="1470">
        <v>44277</v>
      </c>
      <c r="L2220" s="1471" t="s">
        <v>2129</v>
      </c>
      <c r="M2220" s="1472">
        <v>1.0378999999999999E-2</v>
      </c>
      <c r="N2220" s="1473">
        <v>1.6234620097695358</v>
      </c>
      <c r="O2220" s="1473"/>
    </row>
    <row r="2221" spans="11:15">
      <c r="K2221" s="1470">
        <v>44278</v>
      </c>
      <c r="L2221" s="1471" t="s">
        <v>2129</v>
      </c>
      <c r="M2221" s="1472">
        <v>1.0378999999999999E-2</v>
      </c>
      <c r="N2221" s="1473">
        <v>1.6236305088915299</v>
      </c>
      <c r="O2221" s="1473"/>
    </row>
    <row r="2222" spans="11:15">
      <c r="K2222" s="1470">
        <v>44279</v>
      </c>
      <c r="L2222" s="1471" t="s">
        <v>2129</v>
      </c>
      <c r="M2222" s="1472">
        <v>1.0378999999999999E-2</v>
      </c>
      <c r="N2222" s="1473">
        <v>1.6237990255020478</v>
      </c>
      <c r="O2222" s="1473"/>
    </row>
    <row r="2223" spans="11:15">
      <c r="K2223" s="1470">
        <v>44280</v>
      </c>
      <c r="L2223" s="1471" t="s">
        <v>2129</v>
      </c>
      <c r="M2223" s="1472">
        <v>1.0378999999999999E-2</v>
      </c>
      <c r="N2223" s="1473">
        <v>1.6239675596029048</v>
      </c>
      <c r="O2223" s="1473"/>
    </row>
    <row r="2224" spans="11:15">
      <c r="K2224" s="1470">
        <v>44281</v>
      </c>
      <c r="L2224" s="1471" t="s">
        <v>2129</v>
      </c>
      <c r="M2224" s="1472">
        <v>1.0378999999999999E-2</v>
      </c>
      <c r="N2224" s="1473">
        <v>1.6241361111959161</v>
      </c>
      <c r="O2224" s="1473"/>
    </row>
    <row r="2225" spans="11:15">
      <c r="K2225" s="1470">
        <v>44282</v>
      </c>
      <c r="L2225" s="1471"/>
      <c r="M2225" s="1472">
        <v>0</v>
      </c>
      <c r="N2225" s="1473">
        <v>1.6241361111959161</v>
      </c>
      <c r="O2225" s="1473"/>
    </row>
    <row r="2226" spans="11:15">
      <c r="K2226" s="1470">
        <v>44283</v>
      </c>
      <c r="L2226" s="1471"/>
      <c r="M2226" s="1472">
        <v>0</v>
      </c>
      <c r="N2226" s="1473">
        <v>1.6241361111959161</v>
      </c>
      <c r="O2226" s="1473"/>
    </row>
    <row r="2227" spans="11:15">
      <c r="K2227" s="1470">
        <v>44284</v>
      </c>
      <c r="L2227" s="1471" t="s">
        <v>2129</v>
      </c>
      <c r="M2227" s="1472">
        <v>1.0378999999999999E-2</v>
      </c>
      <c r="N2227" s="1473">
        <v>1.6243046802828971</v>
      </c>
      <c r="O2227" s="1473"/>
    </row>
    <row r="2228" spans="11:15">
      <c r="K2228" s="1470">
        <v>44285</v>
      </c>
      <c r="L2228" s="1471" t="s">
        <v>2129</v>
      </c>
      <c r="M2228" s="1472">
        <v>1.0378999999999999E-2</v>
      </c>
      <c r="N2228" s="1473">
        <v>1.6244732668656638</v>
      </c>
      <c r="O2228" s="1473"/>
    </row>
    <row r="2229" spans="11:15">
      <c r="K2229" s="1470">
        <v>44286</v>
      </c>
      <c r="L2229" s="1471" t="s">
        <v>2129</v>
      </c>
      <c r="M2229" s="1472">
        <v>1.0378999999999999E-2</v>
      </c>
      <c r="N2229" s="1473">
        <v>1.624641870946032</v>
      </c>
      <c r="O2229" s="1473"/>
    </row>
    <row r="2230" spans="11:15">
      <c r="K2230" s="1470">
        <v>44287</v>
      </c>
      <c r="L2230" s="1471" t="s">
        <v>2129</v>
      </c>
      <c r="M2230" s="1472">
        <v>1.0378999999999999E-2</v>
      </c>
      <c r="N2230" s="1473">
        <v>1.6248104925258176</v>
      </c>
      <c r="O2230" s="1473"/>
    </row>
    <row r="2231" spans="11:15">
      <c r="K2231" s="1470">
        <v>44288</v>
      </c>
      <c r="L2231" s="1471"/>
      <c r="M2231" s="1472">
        <v>0</v>
      </c>
      <c r="N2231" s="1473">
        <v>1.6248104925258176</v>
      </c>
      <c r="O2231" s="1473"/>
    </row>
    <row r="2232" spans="11:15">
      <c r="K2232" s="1470">
        <v>44289</v>
      </c>
      <c r="L2232" s="1471"/>
      <c r="M2232" s="1472">
        <v>0</v>
      </c>
      <c r="N2232" s="1473">
        <v>1.6248104925258176</v>
      </c>
      <c r="O2232" s="1473"/>
    </row>
    <row r="2233" spans="11:15">
      <c r="K2233" s="1470">
        <v>44290</v>
      </c>
      <c r="L2233" s="1471"/>
      <c r="M2233" s="1472">
        <v>0</v>
      </c>
      <c r="N2233" s="1473">
        <v>1.6248104925258176</v>
      </c>
      <c r="O2233" s="1473"/>
    </row>
    <row r="2234" spans="11:15">
      <c r="K2234" s="1470">
        <v>44291</v>
      </c>
      <c r="L2234" s="1471" t="s">
        <v>2129</v>
      </c>
      <c r="M2234" s="1472">
        <v>1.0378999999999999E-2</v>
      </c>
      <c r="N2234" s="1473">
        <v>1.6249791316068369</v>
      </c>
      <c r="O2234" s="1473"/>
    </row>
    <row r="2235" spans="11:15">
      <c r="K2235" s="1470">
        <v>44292</v>
      </c>
      <c r="L2235" s="1471" t="s">
        <v>2129</v>
      </c>
      <c r="M2235" s="1472">
        <v>1.0378999999999999E-2</v>
      </c>
      <c r="N2235" s="1473">
        <v>1.6251477881909064</v>
      </c>
      <c r="O2235" s="1473"/>
    </row>
    <row r="2236" spans="11:15">
      <c r="K2236" s="1470">
        <v>44293</v>
      </c>
      <c r="L2236" s="1471" t="s">
        <v>2129</v>
      </c>
      <c r="M2236" s="1472">
        <v>1.0378999999999999E-2</v>
      </c>
      <c r="N2236" s="1473">
        <v>1.6253164622798428</v>
      </c>
      <c r="O2236" s="1473"/>
    </row>
    <row r="2237" spans="11:15">
      <c r="K2237" s="1470">
        <v>44294</v>
      </c>
      <c r="L2237" s="1471" t="s">
        <v>2129</v>
      </c>
      <c r="M2237" s="1472">
        <v>1.0378999999999999E-2</v>
      </c>
      <c r="N2237" s="1473">
        <v>1.6254851538754629</v>
      </c>
      <c r="O2237" s="1473"/>
    </row>
    <row r="2238" spans="11:15">
      <c r="K2238" s="1470">
        <v>44295</v>
      </c>
      <c r="L2238" s="1471" t="s">
        <v>2129</v>
      </c>
      <c r="M2238" s="1472">
        <v>1.0378999999999999E-2</v>
      </c>
      <c r="N2238" s="1473">
        <v>1.6256538629795838</v>
      </c>
      <c r="O2238" s="1473"/>
    </row>
    <row r="2239" spans="11:15">
      <c r="K2239" s="1470">
        <v>44296</v>
      </c>
      <c r="L2239" s="1471"/>
      <c r="M2239" s="1472">
        <v>0</v>
      </c>
      <c r="N2239" s="1473">
        <v>1.6256538629795838</v>
      </c>
      <c r="O2239" s="1473"/>
    </row>
    <row r="2240" spans="11:15">
      <c r="K2240" s="1470">
        <v>44297</v>
      </c>
      <c r="L2240" s="1471"/>
      <c r="M2240" s="1472">
        <v>0</v>
      </c>
      <c r="N2240" s="1473">
        <v>1.6256538629795838</v>
      </c>
      <c r="O2240" s="1473"/>
    </row>
    <row r="2241" spans="11:15">
      <c r="K2241" s="1470">
        <v>44298</v>
      </c>
      <c r="L2241" s="1471" t="s">
        <v>2129</v>
      </c>
      <c r="M2241" s="1472">
        <v>1.0378999999999999E-2</v>
      </c>
      <c r="N2241" s="1473">
        <v>1.6258225895940226</v>
      </c>
      <c r="O2241" s="1473"/>
    </row>
    <row r="2242" spans="11:15">
      <c r="K2242" s="1470">
        <v>44299</v>
      </c>
      <c r="L2242" s="1471" t="s">
        <v>2129</v>
      </c>
      <c r="M2242" s="1472">
        <v>1.0378999999999999E-2</v>
      </c>
      <c r="N2242" s="1473">
        <v>1.6259913337205967</v>
      </c>
      <c r="O2242" s="1473"/>
    </row>
    <row r="2243" spans="11:15">
      <c r="K2243" s="1470">
        <v>44300</v>
      </c>
      <c r="L2243" s="1471" t="s">
        <v>2129</v>
      </c>
      <c r="M2243" s="1472">
        <v>1.0378999999999999E-2</v>
      </c>
      <c r="N2243" s="1473">
        <v>1.6261600953611237</v>
      </c>
      <c r="O2243" s="1473"/>
    </row>
    <row r="2244" spans="11:15">
      <c r="K2244" s="1470">
        <v>44301</v>
      </c>
      <c r="L2244" s="1471" t="s">
        <v>2129</v>
      </c>
      <c r="M2244" s="1472">
        <v>1.0378999999999999E-2</v>
      </c>
      <c r="N2244" s="1473">
        <v>1.6263288745174214</v>
      </c>
      <c r="O2244" s="1473"/>
    </row>
    <row r="2245" spans="11:15">
      <c r="K2245" s="1470">
        <v>44302</v>
      </c>
      <c r="L2245" s="1471" t="s">
        <v>2129</v>
      </c>
      <c r="M2245" s="1472">
        <v>1.0378999999999999E-2</v>
      </c>
      <c r="N2245" s="1473">
        <v>1.6264976711913075</v>
      </c>
      <c r="O2245" s="1473"/>
    </row>
    <row r="2246" spans="11:15">
      <c r="K2246" s="1470">
        <v>44303</v>
      </c>
      <c r="L2246" s="1471"/>
      <c r="M2246" s="1472">
        <v>0</v>
      </c>
      <c r="N2246" s="1473">
        <v>1.6264976711913075</v>
      </c>
      <c r="O2246" s="1473"/>
    </row>
    <row r="2247" spans="11:15">
      <c r="K2247" s="1470">
        <v>44304</v>
      </c>
      <c r="L2247" s="1471"/>
      <c r="M2247" s="1472">
        <v>0</v>
      </c>
      <c r="N2247" s="1473">
        <v>1.6264976711913075</v>
      </c>
      <c r="O2247" s="1473"/>
    </row>
    <row r="2248" spans="11:15">
      <c r="K2248" s="1470">
        <v>44305</v>
      </c>
      <c r="L2248" s="1471" t="s">
        <v>2129</v>
      </c>
      <c r="M2248" s="1472">
        <v>1.0378999999999999E-2</v>
      </c>
      <c r="N2248" s="1473">
        <v>1.6266664853846005</v>
      </c>
      <c r="O2248" s="1473"/>
    </row>
    <row r="2249" spans="11:15">
      <c r="K2249" s="1470">
        <v>44306</v>
      </c>
      <c r="L2249" s="1471" t="s">
        <v>2129</v>
      </c>
      <c r="M2249" s="1472">
        <v>1.0378999999999999E-2</v>
      </c>
      <c r="N2249" s="1473">
        <v>1.6268353170991185</v>
      </c>
      <c r="O2249" s="1473"/>
    </row>
    <row r="2250" spans="11:15">
      <c r="K2250" s="1470">
        <v>44307</v>
      </c>
      <c r="L2250" s="1471"/>
      <c r="M2250" s="1472">
        <v>0</v>
      </c>
      <c r="N2250" s="1473">
        <v>1.6268353170991185</v>
      </c>
      <c r="O2250" s="1473"/>
    </row>
    <row r="2251" spans="11:15">
      <c r="K2251" s="1470">
        <v>44308</v>
      </c>
      <c r="L2251" s="1471" t="s">
        <v>2129</v>
      </c>
      <c r="M2251" s="1472">
        <v>1.0378999999999999E-2</v>
      </c>
      <c r="N2251" s="1473">
        <v>1.6270041663366803</v>
      </c>
      <c r="O2251" s="1473"/>
    </row>
    <row r="2252" spans="11:15">
      <c r="K2252" s="1470">
        <v>44309</v>
      </c>
      <c r="L2252" s="1471" t="s">
        <v>2129</v>
      </c>
      <c r="M2252" s="1472">
        <v>1.0378999999999999E-2</v>
      </c>
      <c r="N2252" s="1473">
        <v>1.6271730330991045</v>
      </c>
      <c r="O2252" s="1473"/>
    </row>
    <row r="2253" spans="11:15">
      <c r="K2253" s="1470">
        <v>44310</v>
      </c>
      <c r="L2253" s="1471"/>
      <c r="M2253" s="1472">
        <v>0</v>
      </c>
      <c r="N2253" s="1473">
        <v>1.6271730330991045</v>
      </c>
      <c r="O2253" s="1473"/>
    </row>
    <row r="2254" spans="11:15">
      <c r="K2254" s="1470">
        <v>44311</v>
      </c>
      <c r="L2254" s="1471"/>
      <c r="M2254" s="1472">
        <v>0</v>
      </c>
      <c r="N2254" s="1473">
        <v>1.6271730330991045</v>
      </c>
      <c r="O2254" s="1473"/>
    </row>
    <row r="2255" spans="11:15">
      <c r="K2255" s="1470">
        <v>44312</v>
      </c>
      <c r="L2255" s="1471" t="s">
        <v>2129</v>
      </c>
      <c r="M2255" s="1472">
        <v>1.0378999999999999E-2</v>
      </c>
      <c r="N2255" s="1473">
        <v>1.62734191738821</v>
      </c>
      <c r="O2255" s="1473"/>
    </row>
    <row r="2256" spans="11:15">
      <c r="K2256" s="1470">
        <v>44313</v>
      </c>
      <c r="L2256" s="1471" t="s">
        <v>2129</v>
      </c>
      <c r="M2256" s="1472">
        <v>1.0378999999999999E-2</v>
      </c>
      <c r="N2256" s="1473">
        <v>1.6275108192058159</v>
      </c>
      <c r="O2256" s="1473"/>
    </row>
    <row r="2257" spans="11:15">
      <c r="K2257" s="1470">
        <v>44314</v>
      </c>
      <c r="L2257" s="1471" t="s">
        <v>2129</v>
      </c>
      <c r="M2257" s="1472">
        <v>1.0378999999999999E-2</v>
      </c>
      <c r="N2257" s="1473">
        <v>1.6276797385537414</v>
      </c>
      <c r="O2257" s="1473"/>
    </row>
    <row r="2258" spans="11:15">
      <c r="K2258" s="1470">
        <v>44315</v>
      </c>
      <c r="L2258" s="1471" t="s">
        <v>2129</v>
      </c>
      <c r="M2258" s="1472">
        <v>1.0378999999999999E-2</v>
      </c>
      <c r="N2258" s="1473">
        <v>1.627848675433806</v>
      </c>
      <c r="O2258" s="1473"/>
    </row>
    <row r="2259" spans="11:15">
      <c r="K2259" s="1470">
        <v>44316</v>
      </c>
      <c r="L2259" s="1471" t="s">
        <v>2129</v>
      </c>
      <c r="M2259" s="1472">
        <v>1.0378999999999999E-2</v>
      </c>
      <c r="N2259" s="1473">
        <v>1.6280176298478293</v>
      </c>
      <c r="O2259" s="1473"/>
    </row>
    <row r="2260" spans="11:15">
      <c r="K2260" s="1470">
        <v>44317</v>
      </c>
      <c r="L2260" s="1471"/>
      <c r="M2260" s="1472">
        <v>0</v>
      </c>
      <c r="N2260" s="1473">
        <v>1.6280176298478293</v>
      </c>
      <c r="O2260" s="1473"/>
    </row>
    <row r="2261" spans="11:15">
      <c r="K2261" s="1470">
        <v>44318</v>
      </c>
      <c r="L2261" s="1471"/>
      <c r="M2261" s="1472">
        <v>0</v>
      </c>
      <c r="N2261" s="1473">
        <v>1.6280176298478293</v>
      </c>
      <c r="O2261" s="1473"/>
    </row>
    <row r="2262" spans="11:15">
      <c r="K2262" s="1470">
        <v>44319</v>
      </c>
      <c r="L2262" s="1471" t="s">
        <v>2129</v>
      </c>
      <c r="M2262" s="1472">
        <v>1.0378999999999999E-2</v>
      </c>
      <c r="N2262" s="1473">
        <v>1.6281866017976312</v>
      </c>
      <c r="O2262" s="1473"/>
    </row>
    <row r="2263" spans="11:15">
      <c r="K2263" s="1470">
        <v>44320</v>
      </c>
      <c r="L2263" s="1471" t="s">
        <v>2129</v>
      </c>
      <c r="M2263" s="1472">
        <v>1.0378999999999999E-2</v>
      </c>
      <c r="N2263" s="1473">
        <v>1.6283555912850318</v>
      </c>
      <c r="O2263" s="1473"/>
    </row>
    <row r="2264" spans="11:15">
      <c r="K2264" s="1470">
        <v>44321</v>
      </c>
      <c r="L2264" s="1471" t="s">
        <v>2129</v>
      </c>
      <c r="M2264" s="1472">
        <v>1.0378999999999999E-2</v>
      </c>
      <c r="N2264" s="1473">
        <v>1.6285245983118515</v>
      </c>
      <c r="O2264" s="1473"/>
    </row>
    <row r="2265" spans="11:15">
      <c r="K2265" s="1470">
        <v>44322</v>
      </c>
      <c r="L2265" s="1471" t="s">
        <v>2129</v>
      </c>
      <c r="M2265" s="1472">
        <v>1.3269E-2</v>
      </c>
      <c r="N2265" s="1473">
        <v>1.6287406872408015</v>
      </c>
      <c r="O2265" s="1473"/>
    </row>
    <row r="2266" spans="11:15">
      <c r="K2266" s="1470">
        <v>44323</v>
      </c>
      <c r="L2266" s="1471" t="s">
        <v>2129</v>
      </c>
      <c r="M2266" s="1472">
        <v>1.3269E-2</v>
      </c>
      <c r="N2266" s="1473">
        <v>1.6289568048425915</v>
      </c>
      <c r="O2266" s="1473"/>
    </row>
    <row r="2267" spans="11:15">
      <c r="K2267" s="1470">
        <v>44324</v>
      </c>
      <c r="L2267" s="1471"/>
      <c r="M2267" s="1472">
        <v>0</v>
      </c>
      <c r="N2267" s="1473">
        <v>1.6289568048425915</v>
      </c>
      <c r="O2267" s="1473"/>
    </row>
    <row r="2268" spans="11:15">
      <c r="K2268" s="1470">
        <v>44325</v>
      </c>
      <c r="L2268" s="1471"/>
      <c r="M2268" s="1472">
        <v>0</v>
      </c>
      <c r="N2268" s="1473">
        <v>1.6289568048425915</v>
      </c>
      <c r="O2268" s="1473"/>
    </row>
    <row r="2269" spans="11:15">
      <c r="K2269" s="1470">
        <v>44326</v>
      </c>
      <c r="L2269" s="1471" t="s">
        <v>2129</v>
      </c>
      <c r="M2269" s="1472">
        <v>1.3269E-2</v>
      </c>
      <c r="N2269" s="1473">
        <v>1.6291729511210262</v>
      </c>
      <c r="O2269" s="1473"/>
    </row>
    <row r="2270" spans="11:15">
      <c r="K2270" s="1470">
        <v>44327</v>
      </c>
      <c r="L2270" s="1471" t="s">
        <v>2129</v>
      </c>
      <c r="M2270" s="1472">
        <v>1.3269E-2</v>
      </c>
      <c r="N2270" s="1473">
        <v>1.6293891260799105</v>
      </c>
      <c r="O2270" s="1473"/>
    </row>
    <row r="2271" spans="11:15">
      <c r="K2271" s="1470">
        <v>44328</v>
      </c>
      <c r="L2271" s="1471" t="s">
        <v>2129</v>
      </c>
      <c r="M2271" s="1472">
        <v>1.3269E-2</v>
      </c>
      <c r="N2271" s="1473">
        <v>1.6296053297230502</v>
      </c>
      <c r="O2271" s="1473"/>
    </row>
    <row r="2272" spans="11:15">
      <c r="K2272" s="1470">
        <v>44329</v>
      </c>
      <c r="L2272" s="1471" t="s">
        <v>2129</v>
      </c>
      <c r="M2272" s="1472">
        <v>1.3269E-2</v>
      </c>
      <c r="N2272" s="1473">
        <v>1.6298215620542511</v>
      </c>
      <c r="O2272" s="1473"/>
    </row>
    <row r="2273" spans="11:15">
      <c r="K2273" s="1470">
        <v>44330</v>
      </c>
      <c r="L2273" s="1471" t="s">
        <v>2129</v>
      </c>
      <c r="M2273" s="1472">
        <v>1.3269E-2</v>
      </c>
      <c r="N2273" s="1473">
        <v>1.6300378230773203</v>
      </c>
      <c r="O2273" s="1473"/>
    </row>
    <row r="2274" spans="11:15">
      <c r="K2274" s="1470">
        <v>44331</v>
      </c>
      <c r="L2274" s="1471"/>
      <c r="M2274" s="1472">
        <v>0</v>
      </c>
      <c r="N2274" s="1473">
        <v>1.6300378230773203</v>
      </c>
      <c r="O2274" s="1473"/>
    </row>
    <row r="2275" spans="11:15">
      <c r="K2275" s="1470">
        <v>44332</v>
      </c>
      <c r="L2275" s="1471"/>
      <c r="M2275" s="1472">
        <v>0</v>
      </c>
      <c r="N2275" s="1473">
        <v>1.6300378230773203</v>
      </c>
      <c r="O2275" s="1473"/>
    </row>
    <row r="2276" spans="11:15">
      <c r="K2276" s="1470">
        <v>44333</v>
      </c>
      <c r="L2276" s="1471" t="s">
        <v>2129</v>
      </c>
      <c r="M2276" s="1472">
        <v>1.3269E-2</v>
      </c>
      <c r="N2276" s="1473">
        <v>1.6302541127960644</v>
      </c>
      <c r="O2276" s="1473"/>
    </row>
    <row r="2277" spans="11:15">
      <c r="K2277" s="1470">
        <v>44334</v>
      </c>
      <c r="L2277" s="1471" t="s">
        <v>2129</v>
      </c>
      <c r="M2277" s="1472">
        <v>1.3269E-2</v>
      </c>
      <c r="N2277" s="1473">
        <v>1.6304704312142912</v>
      </c>
      <c r="O2277" s="1473"/>
    </row>
    <row r="2278" spans="11:15">
      <c r="K2278" s="1470">
        <v>44335</v>
      </c>
      <c r="L2278" s="1471" t="s">
        <v>2129</v>
      </c>
      <c r="M2278" s="1472">
        <v>1.3269E-2</v>
      </c>
      <c r="N2278" s="1473">
        <v>1.6306867783358092</v>
      </c>
      <c r="O2278" s="1473"/>
    </row>
    <row r="2279" spans="11:15">
      <c r="K2279" s="1470">
        <v>44336</v>
      </c>
      <c r="L2279" s="1471" t="s">
        <v>2129</v>
      </c>
      <c r="M2279" s="1472">
        <v>1.3269E-2</v>
      </c>
      <c r="N2279" s="1473">
        <v>1.6309031541644268</v>
      </c>
      <c r="O2279" s="1473"/>
    </row>
    <row r="2280" spans="11:15">
      <c r="K2280" s="1470">
        <v>44337</v>
      </c>
      <c r="L2280" s="1471" t="s">
        <v>2129</v>
      </c>
      <c r="M2280" s="1472">
        <v>1.3269E-2</v>
      </c>
      <c r="N2280" s="1473">
        <v>1.6311195587039529</v>
      </c>
      <c r="O2280" s="1473"/>
    </row>
    <row r="2281" spans="11:15">
      <c r="K2281" s="1470">
        <v>44338</v>
      </c>
      <c r="L2281" s="1471"/>
      <c r="M2281" s="1472">
        <v>0</v>
      </c>
      <c r="N2281" s="1473">
        <v>1.6311195587039529</v>
      </c>
      <c r="O2281" s="1473"/>
    </row>
    <row r="2282" spans="11:15">
      <c r="K2282" s="1470">
        <v>44339</v>
      </c>
      <c r="L2282" s="1471"/>
      <c r="M2282" s="1472">
        <v>0</v>
      </c>
      <c r="N2282" s="1473">
        <v>1.6311195587039529</v>
      </c>
      <c r="O2282" s="1473"/>
    </row>
    <row r="2283" spans="11:15">
      <c r="K2283" s="1470">
        <v>44340</v>
      </c>
      <c r="L2283" s="1471" t="s">
        <v>2129</v>
      </c>
      <c r="M2283" s="1472">
        <v>1.3269E-2</v>
      </c>
      <c r="N2283" s="1473">
        <v>1.6313359919581973</v>
      </c>
      <c r="O2283" s="1473"/>
    </row>
    <row r="2284" spans="11:15">
      <c r="K2284" s="1470">
        <v>44341</v>
      </c>
      <c r="L2284" s="1471" t="s">
        <v>2129</v>
      </c>
      <c r="M2284" s="1472">
        <v>1.3269E-2</v>
      </c>
      <c r="N2284" s="1473">
        <v>1.6315524539309703</v>
      </c>
      <c r="O2284" s="1473"/>
    </row>
    <row r="2285" spans="11:15">
      <c r="K2285" s="1470">
        <v>44342</v>
      </c>
      <c r="L2285" s="1471" t="s">
        <v>2129</v>
      </c>
      <c r="M2285" s="1472">
        <v>1.3269E-2</v>
      </c>
      <c r="N2285" s="1473">
        <v>1.6317689446260824</v>
      </c>
      <c r="O2285" s="1473"/>
    </row>
    <row r="2286" spans="11:15">
      <c r="K2286" s="1470">
        <v>44343</v>
      </c>
      <c r="L2286" s="1471" t="s">
        <v>2129</v>
      </c>
      <c r="M2286" s="1472">
        <v>1.3269E-2</v>
      </c>
      <c r="N2286" s="1473">
        <v>1.6319854640473448</v>
      </c>
      <c r="O2286" s="1473"/>
    </row>
    <row r="2287" spans="11:15">
      <c r="K2287" s="1470">
        <v>44344</v>
      </c>
      <c r="L2287" s="1471" t="s">
        <v>2129</v>
      </c>
      <c r="M2287" s="1472">
        <v>1.3269E-2</v>
      </c>
      <c r="N2287" s="1473">
        <v>1.6322020121985694</v>
      </c>
      <c r="O2287" s="1473"/>
    </row>
    <row r="2288" spans="11:15">
      <c r="K2288" s="1470">
        <v>44345</v>
      </c>
      <c r="L2288" s="1471"/>
      <c r="M2288" s="1472">
        <v>0</v>
      </c>
      <c r="N2288" s="1473">
        <v>1.6322020121985694</v>
      </c>
      <c r="O2288" s="1473"/>
    </row>
    <row r="2289" spans="11:15">
      <c r="K2289" s="1470">
        <v>44346</v>
      </c>
      <c r="L2289" s="1471"/>
      <c r="M2289" s="1472">
        <v>0</v>
      </c>
      <c r="N2289" s="1473">
        <v>1.6322020121985694</v>
      </c>
      <c r="O2289" s="1473"/>
    </row>
    <row r="2290" spans="11:15">
      <c r="K2290" s="1470">
        <v>44347</v>
      </c>
      <c r="L2290" s="1471" t="s">
        <v>2129</v>
      </c>
      <c r="M2290" s="1472">
        <v>1.3269E-2</v>
      </c>
      <c r="N2290" s="1473">
        <v>1.6324185890835681</v>
      </c>
      <c r="O2290" s="1473"/>
    </row>
    <row r="2291" spans="11:15">
      <c r="K2291" s="1470">
        <v>44348</v>
      </c>
      <c r="L2291" s="1471" t="s">
        <v>2129</v>
      </c>
      <c r="M2291" s="1472">
        <v>1.3269E-2</v>
      </c>
      <c r="N2291" s="1473">
        <v>1.6326351947061537</v>
      </c>
      <c r="O2291" s="1473"/>
    </row>
    <row r="2292" spans="11:15">
      <c r="K2292" s="1470">
        <v>44349</v>
      </c>
      <c r="L2292" s="1471" t="s">
        <v>2129</v>
      </c>
      <c r="M2292" s="1472">
        <v>1.3269E-2</v>
      </c>
      <c r="N2292" s="1473">
        <v>1.6328518290701393</v>
      </c>
      <c r="O2292" s="1473"/>
    </row>
    <row r="2293" spans="11:15">
      <c r="K2293" s="1470">
        <v>44350</v>
      </c>
      <c r="L2293" s="1471"/>
      <c r="M2293" s="1472">
        <v>0</v>
      </c>
      <c r="N2293" s="1473">
        <v>1.6328518290701393</v>
      </c>
      <c r="O2293" s="1473"/>
    </row>
    <row r="2294" spans="11:15">
      <c r="K2294" s="1470">
        <v>44351</v>
      </c>
      <c r="L2294" s="1471" t="s">
        <v>2129</v>
      </c>
      <c r="M2294" s="1472">
        <v>1.3269E-2</v>
      </c>
      <c r="N2294" s="1473">
        <v>1.6330684921793386</v>
      </c>
      <c r="O2294" s="1473"/>
    </row>
    <row r="2295" spans="11:15">
      <c r="K2295" s="1470">
        <v>44352</v>
      </c>
      <c r="L2295" s="1471"/>
      <c r="M2295" s="1472">
        <v>0</v>
      </c>
      <c r="N2295" s="1473">
        <v>1.6330684921793386</v>
      </c>
      <c r="O2295" s="1473"/>
    </row>
    <row r="2296" spans="11:15">
      <c r="K2296" s="1470">
        <v>44353</v>
      </c>
      <c r="L2296" s="1471"/>
      <c r="M2296" s="1472">
        <v>0</v>
      </c>
      <c r="N2296" s="1473">
        <v>1.6330684921793386</v>
      </c>
      <c r="O2296" s="1473"/>
    </row>
    <row r="2297" spans="11:15">
      <c r="K2297" s="1470">
        <v>44354</v>
      </c>
      <c r="L2297" s="1471" t="s">
        <v>2129</v>
      </c>
      <c r="M2297" s="1472">
        <v>1.3269E-2</v>
      </c>
      <c r="N2297" s="1473">
        <v>1.633285184037566</v>
      </c>
      <c r="O2297" s="1473"/>
    </row>
    <row r="2298" spans="11:15">
      <c r="K2298" s="1470">
        <v>44355</v>
      </c>
      <c r="L2298" s="1471" t="s">
        <v>2129</v>
      </c>
      <c r="M2298" s="1472">
        <v>1.3269E-2</v>
      </c>
      <c r="N2298" s="1473">
        <v>1.6335019046486359</v>
      </c>
      <c r="O2298" s="1473"/>
    </row>
    <row r="2299" spans="11:15">
      <c r="K2299" s="1470">
        <v>44356</v>
      </c>
      <c r="L2299" s="1471" t="s">
        <v>2129</v>
      </c>
      <c r="M2299" s="1472">
        <v>1.3269E-2</v>
      </c>
      <c r="N2299" s="1473">
        <v>1.6337186540163637</v>
      </c>
      <c r="O2299" s="1473"/>
    </row>
    <row r="2300" spans="11:15">
      <c r="K2300" s="1470">
        <v>44357</v>
      </c>
      <c r="L2300" s="1471" t="s">
        <v>2129</v>
      </c>
      <c r="M2300" s="1472">
        <v>1.3269E-2</v>
      </c>
      <c r="N2300" s="1473">
        <v>1.6339354321445652</v>
      </c>
      <c r="O2300" s="1473"/>
    </row>
    <row r="2301" spans="11:15">
      <c r="K2301" s="1470">
        <v>44358</v>
      </c>
      <c r="L2301" s="1471" t="s">
        <v>2129</v>
      </c>
      <c r="M2301" s="1472">
        <v>1.3269E-2</v>
      </c>
      <c r="N2301" s="1473">
        <v>1.6341522390370564</v>
      </c>
      <c r="O2301" s="1473"/>
    </row>
    <row r="2302" spans="11:15">
      <c r="K2302" s="1470">
        <v>44359</v>
      </c>
      <c r="L2302" s="1471"/>
      <c r="M2302" s="1472">
        <v>0</v>
      </c>
      <c r="N2302" s="1473">
        <v>1.6341522390370564</v>
      </c>
      <c r="O2302" s="1473"/>
    </row>
    <row r="2303" spans="11:15">
      <c r="K2303" s="1470">
        <v>44360</v>
      </c>
      <c r="L2303" s="1471"/>
      <c r="M2303" s="1472">
        <v>0</v>
      </c>
      <c r="N2303" s="1473">
        <v>1.6341522390370564</v>
      </c>
      <c r="O2303" s="1473"/>
    </row>
    <row r="2304" spans="11:15">
      <c r="K2304" s="1470">
        <v>44361</v>
      </c>
      <c r="L2304" s="1471" t="s">
        <v>2129</v>
      </c>
      <c r="M2304" s="1472">
        <v>1.3269E-2</v>
      </c>
      <c r="N2304" s="1473">
        <v>1.6343690746976542</v>
      </c>
      <c r="O2304" s="1473"/>
    </row>
    <row r="2305" spans="11:15">
      <c r="K2305" s="1470">
        <v>44362</v>
      </c>
      <c r="L2305" s="1471" t="s">
        <v>2129</v>
      </c>
      <c r="M2305" s="1472">
        <v>1.3269E-2</v>
      </c>
      <c r="N2305" s="1473">
        <v>1.634585939130176</v>
      </c>
      <c r="O2305" s="1473"/>
    </row>
    <row r="2306" spans="11:15">
      <c r="K2306" s="1470">
        <v>44363</v>
      </c>
      <c r="L2306" s="1471" t="s">
        <v>2129</v>
      </c>
      <c r="M2306" s="1472">
        <v>1.3269E-2</v>
      </c>
      <c r="N2306" s="1473">
        <v>1.6348028323384394</v>
      </c>
      <c r="O2306" s="1473"/>
    </row>
    <row r="2307" spans="11:15">
      <c r="K2307" s="1470">
        <v>44364</v>
      </c>
      <c r="L2307" s="1471" t="s">
        <v>2129</v>
      </c>
      <c r="M2307" s="1472">
        <v>1.6136999999999999E-2</v>
      </c>
      <c r="N2307" s="1473">
        <v>1.635066640471494</v>
      </c>
      <c r="O2307" s="1473"/>
    </row>
    <row r="2308" spans="11:15">
      <c r="K2308" s="1470">
        <v>44365</v>
      </c>
      <c r="L2308" s="1471" t="s">
        <v>2129</v>
      </c>
      <c r="M2308" s="1472">
        <v>1.6136999999999999E-2</v>
      </c>
      <c r="N2308" s="1473">
        <v>1.6353304911752669</v>
      </c>
      <c r="O2308" s="1473"/>
    </row>
    <row r="2309" spans="11:15">
      <c r="K2309" s="1470">
        <v>44366</v>
      </c>
      <c r="L2309" s="1471"/>
      <c r="M2309" s="1472">
        <v>0</v>
      </c>
      <c r="N2309" s="1473">
        <v>1.6353304911752669</v>
      </c>
      <c r="O2309" s="1473"/>
    </row>
    <row r="2310" spans="11:15">
      <c r="K2310" s="1470">
        <v>44367</v>
      </c>
      <c r="L2310" s="1471"/>
      <c r="M2310" s="1472">
        <v>0</v>
      </c>
      <c r="N2310" s="1473">
        <v>1.6353304911752669</v>
      </c>
      <c r="O2310" s="1473"/>
    </row>
    <row r="2311" spans="11:15">
      <c r="K2311" s="1470">
        <v>44368</v>
      </c>
      <c r="L2311" s="1471" t="s">
        <v>2129</v>
      </c>
      <c r="M2311" s="1472">
        <v>1.6136999999999999E-2</v>
      </c>
      <c r="N2311" s="1473">
        <v>1.6355943844566279</v>
      </c>
      <c r="O2311" s="1473"/>
    </row>
    <row r="2312" spans="11:15">
      <c r="K2312" s="1470">
        <v>44369</v>
      </c>
      <c r="L2312" s="1471" t="s">
        <v>2129</v>
      </c>
      <c r="M2312" s="1472">
        <v>1.6136999999999999E-2</v>
      </c>
      <c r="N2312" s="1473">
        <v>1.6358583203224477</v>
      </c>
      <c r="O2312" s="1473"/>
    </row>
    <row r="2313" spans="11:15">
      <c r="K2313" s="1470">
        <v>44370</v>
      </c>
      <c r="L2313" s="1471" t="s">
        <v>2129</v>
      </c>
      <c r="M2313" s="1472">
        <v>1.6136999999999999E-2</v>
      </c>
      <c r="N2313" s="1473">
        <v>1.6361222987795982</v>
      </c>
      <c r="O2313" s="1473"/>
    </row>
    <row r="2314" spans="11:15">
      <c r="K2314" s="1470">
        <v>44371</v>
      </c>
      <c r="L2314" s="1471" t="s">
        <v>2129</v>
      </c>
      <c r="M2314" s="1472">
        <v>1.6136999999999999E-2</v>
      </c>
      <c r="N2314" s="1473">
        <v>1.6363863198349524</v>
      </c>
      <c r="O2314" s="1473"/>
    </row>
    <row r="2315" spans="11:15">
      <c r="K2315" s="1470">
        <v>44372</v>
      </c>
      <c r="L2315" s="1471" t="s">
        <v>2129</v>
      </c>
      <c r="M2315" s="1472">
        <v>1.6136999999999999E-2</v>
      </c>
      <c r="N2315" s="1473">
        <v>1.6366503834953843</v>
      </c>
      <c r="O2315" s="1473"/>
    </row>
    <row r="2316" spans="11:15">
      <c r="K2316" s="1470">
        <v>44373</v>
      </c>
      <c r="L2316" s="1471"/>
      <c r="M2316" s="1472">
        <v>0</v>
      </c>
      <c r="N2316" s="1473">
        <v>1.6366503834953843</v>
      </c>
      <c r="O2316" s="1473"/>
    </row>
    <row r="2317" spans="11:15">
      <c r="K2317" s="1470">
        <v>44374</v>
      </c>
      <c r="L2317" s="1471"/>
      <c r="M2317" s="1472">
        <v>0</v>
      </c>
      <c r="N2317" s="1473">
        <v>1.6366503834953843</v>
      </c>
      <c r="O2317" s="1473"/>
    </row>
    <row r="2318" spans="11:15">
      <c r="K2318" s="1470">
        <v>44375</v>
      </c>
      <c r="L2318" s="1471" t="s">
        <v>2129</v>
      </c>
      <c r="M2318" s="1472">
        <v>1.6136999999999999E-2</v>
      </c>
      <c r="N2318" s="1473">
        <v>1.636914489767769</v>
      </c>
      <c r="O2318" s="1473"/>
    </row>
    <row r="2319" spans="11:15">
      <c r="K2319" s="1470">
        <v>44376</v>
      </c>
      <c r="L2319" s="1471" t="s">
        <v>2129</v>
      </c>
      <c r="M2319" s="1472">
        <v>1.6136999999999999E-2</v>
      </c>
      <c r="N2319" s="1473">
        <v>1.6371786386589828</v>
      </c>
      <c r="O2319" s="1473"/>
    </row>
    <row r="2320" spans="11:15">
      <c r="K2320" s="1470">
        <v>44377</v>
      </c>
      <c r="L2320" s="1471" t="s">
        <v>2129</v>
      </c>
      <c r="M2320" s="1472">
        <v>1.6136999999999999E-2</v>
      </c>
      <c r="N2320" s="1473">
        <v>1.6374428301759034</v>
      </c>
      <c r="O2320" s="1473"/>
    </row>
    <row r="2321" spans="11:15">
      <c r="K2321" s="1470">
        <v>44378</v>
      </c>
      <c r="L2321" s="1471" t="s">
        <v>2129</v>
      </c>
      <c r="M2321" s="1472">
        <v>1.6136999999999999E-2</v>
      </c>
      <c r="N2321" s="1473">
        <v>1.637707064325409</v>
      </c>
      <c r="O2321" s="1473"/>
    </row>
    <row r="2322" spans="11:15">
      <c r="K2322" s="1470">
        <v>44379</v>
      </c>
      <c r="L2322" s="1471" t="s">
        <v>2129</v>
      </c>
      <c r="M2322" s="1472">
        <v>1.6136999999999999E-2</v>
      </c>
      <c r="N2322" s="1473">
        <v>1.6379713411143793</v>
      </c>
      <c r="O2322" s="1473"/>
    </row>
    <row r="2323" spans="11:15">
      <c r="K2323" s="1470">
        <v>44380</v>
      </c>
      <c r="L2323" s="1471"/>
      <c r="M2323" s="1472">
        <v>0</v>
      </c>
      <c r="N2323" s="1473">
        <v>1.6379713411143793</v>
      </c>
      <c r="O2323" s="1473"/>
    </row>
    <row r="2324" spans="11:15">
      <c r="K2324" s="1470">
        <v>44381</v>
      </c>
      <c r="L2324" s="1471"/>
      <c r="M2324" s="1472">
        <v>0</v>
      </c>
      <c r="N2324" s="1473">
        <v>1.6379713411143793</v>
      </c>
      <c r="O2324" s="1473"/>
    </row>
    <row r="2325" spans="11:15">
      <c r="K2325" s="1470">
        <v>44382</v>
      </c>
      <c r="L2325" s="1471" t="s">
        <v>2129</v>
      </c>
      <c r="M2325" s="1472">
        <v>1.6136999999999999E-2</v>
      </c>
      <c r="N2325" s="1473">
        <v>1.638235660549695</v>
      </c>
      <c r="O2325" s="1473"/>
    </row>
    <row r="2326" spans="11:15">
      <c r="K2326" s="1470">
        <v>44383</v>
      </c>
      <c r="L2326" s="1471" t="s">
        <v>2129</v>
      </c>
      <c r="M2326" s="1472">
        <v>1.6136999999999999E-2</v>
      </c>
      <c r="N2326" s="1473">
        <v>1.638500022638238</v>
      </c>
      <c r="O2326" s="1473"/>
    </row>
    <row r="2327" spans="11:15">
      <c r="K2327" s="1470">
        <v>44384</v>
      </c>
      <c r="L2327" s="1471" t="s">
        <v>2129</v>
      </c>
      <c r="M2327" s="1472">
        <v>1.6136999999999999E-2</v>
      </c>
      <c r="N2327" s="1473">
        <v>1.6387644273868913</v>
      </c>
      <c r="O2327" s="1473"/>
    </row>
    <row r="2328" spans="11:15">
      <c r="K2328" s="1470">
        <v>44385</v>
      </c>
      <c r="L2328" s="1471" t="s">
        <v>2129</v>
      </c>
      <c r="M2328" s="1472">
        <v>1.6136999999999999E-2</v>
      </c>
      <c r="N2328" s="1473">
        <v>1.6390288748025388</v>
      </c>
      <c r="O2328" s="1473"/>
    </row>
    <row r="2329" spans="11:15">
      <c r="K2329" s="1470">
        <v>44386</v>
      </c>
      <c r="L2329" s="1471" t="s">
        <v>2129</v>
      </c>
      <c r="M2329" s="1472">
        <v>1.6136999999999999E-2</v>
      </c>
      <c r="N2329" s="1473">
        <v>1.6392933648920658</v>
      </c>
      <c r="O2329" s="1473"/>
    </row>
    <row r="2330" spans="11:15">
      <c r="K2330" s="1470">
        <v>44387</v>
      </c>
      <c r="L2330" s="1471"/>
      <c r="M2330" s="1472">
        <v>0</v>
      </c>
      <c r="N2330" s="1473">
        <v>1.6392933648920658</v>
      </c>
      <c r="O2330" s="1473"/>
    </row>
    <row r="2331" spans="11:15">
      <c r="K2331" s="1470">
        <v>44388</v>
      </c>
      <c r="L2331" s="1471"/>
      <c r="M2331" s="1472">
        <v>0</v>
      </c>
      <c r="N2331" s="1473">
        <v>1.6392933648920658</v>
      </c>
      <c r="O2331" s="1473"/>
    </row>
    <row r="2332" spans="11:15">
      <c r="K2332" s="1470">
        <v>44389</v>
      </c>
      <c r="L2332" s="1471" t="s">
        <v>2129</v>
      </c>
      <c r="M2332" s="1472">
        <v>1.6136999999999999E-2</v>
      </c>
      <c r="N2332" s="1473">
        <v>1.6395578976623586</v>
      </c>
      <c r="O2332" s="1473"/>
    </row>
    <row r="2333" spans="11:15">
      <c r="K2333" s="1470">
        <v>44390</v>
      </c>
      <c r="L2333" s="1471" t="s">
        <v>2129</v>
      </c>
      <c r="M2333" s="1472">
        <v>1.6136999999999999E-2</v>
      </c>
      <c r="N2333" s="1473">
        <v>1.6398224731203044</v>
      </c>
      <c r="O2333" s="1473"/>
    </row>
    <row r="2334" spans="11:15">
      <c r="K2334" s="1470">
        <v>44391</v>
      </c>
      <c r="L2334" s="1471" t="s">
        <v>2129</v>
      </c>
      <c r="M2334" s="1472">
        <v>1.6136999999999999E-2</v>
      </c>
      <c r="N2334" s="1473">
        <v>1.6400870912727918</v>
      </c>
      <c r="O2334" s="1473"/>
    </row>
    <row r="2335" spans="11:15">
      <c r="K2335" s="1470">
        <v>44392</v>
      </c>
      <c r="L2335" s="1471" t="s">
        <v>2129</v>
      </c>
      <c r="M2335" s="1472">
        <v>1.6136999999999999E-2</v>
      </c>
      <c r="N2335" s="1473">
        <v>1.6403517521267106</v>
      </c>
      <c r="O2335" s="1473"/>
    </row>
    <row r="2336" spans="11:15">
      <c r="K2336" s="1470">
        <v>44393</v>
      </c>
      <c r="L2336" s="1471" t="s">
        <v>2129</v>
      </c>
      <c r="M2336" s="1472">
        <v>1.6136999999999999E-2</v>
      </c>
      <c r="N2336" s="1473">
        <v>1.6406164556889513</v>
      </c>
      <c r="O2336" s="1473"/>
    </row>
    <row r="2337" spans="11:15">
      <c r="K2337" s="1470">
        <v>44394</v>
      </c>
      <c r="L2337" s="1471"/>
      <c r="M2337" s="1472">
        <v>0</v>
      </c>
      <c r="N2337" s="1473">
        <v>1.6406164556889513</v>
      </c>
      <c r="O2337" s="1473"/>
    </row>
    <row r="2338" spans="11:15">
      <c r="K2338" s="1470">
        <v>44395</v>
      </c>
      <c r="L2338" s="1471"/>
      <c r="M2338" s="1472">
        <v>0</v>
      </c>
      <c r="N2338" s="1473">
        <v>1.6406164556889513</v>
      </c>
      <c r="O2338" s="1473"/>
    </row>
    <row r="2339" spans="11:15">
      <c r="K2339" s="1470">
        <v>44396</v>
      </c>
      <c r="L2339" s="1471" t="s">
        <v>2129</v>
      </c>
      <c r="M2339" s="1472">
        <v>1.6136999999999999E-2</v>
      </c>
      <c r="N2339" s="1473">
        <v>1.6408812019664059</v>
      </c>
      <c r="O2339" s="1473"/>
    </row>
    <row r="2340" spans="11:15">
      <c r="K2340" s="1470">
        <v>44397</v>
      </c>
      <c r="L2340" s="1471" t="s">
        <v>2129</v>
      </c>
      <c r="M2340" s="1472">
        <v>1.6136999999999999E-2</v>
      </c>
      <c r="N2340" s="1473">
        <v>1.6411459909659674</v>
      </c>
      <c r="O2340" s="1473"/>
    </row>
    <row r="2341" spans="11:15">
      <c r="K2341" s="1470">
        <v>44398</v>
      </c>
      <c r="L2341" s="1471" t="s">
        <v>2129</v>
      </c>
      <c r="M2341" s="1472">
        <v>1.6136999999999999E-2</v>
      </c>
      <c r="N2341" s="1473">
        <v>1.6414108226945296</v>
      </c>
      <c r="O2341" s="1473"/>
    </row>
    <row r="2342" spans="11:15">
      <c r="K2342" s="1470">
        <v>44399</v>
      </c>
      <c r="L2342" s="1471" t="s">
        <v>2129</v>
      </c>
      <c r="M2342" s="1472">
        <v>1.6136999999999999E-2</v>
      </c>
      <c r="N2342" s="1473">
        <v>1.6416756971589879</v>
      </c>
      <c r="O2342" s="1473"/>
    </row>
    <row r="2343" spans="11:15">
      <c r="K2343" s="1470">
        <v>44400</v>
      </c>
      <c r="L2343" s="1471" t="s">
        <v>2129</v>
      </c>
      <c r="M2343" s="1472">
        <v>1.6136999999999999E-2</v>
      </c>
      <c r="N2343" s="1473">
        <v>1.6419406143662385</v>
      </c>
      <c r="O2343" s="1473"/>
    </row>
    <row r="2344" spans="11:15">
      <c r="K2344" s="1470">
        <v>44401</v>
      </c>
      <c r="L2344" s="1471"/>
      <c r="M2344" s="1472">
        <v>0</v>
      </c>
      <c r="N2344" s="1473">
        <v>1.6419406143662385</v>
      </c>
      <c r="O2344" s="1473"/>
    </row>
    <row r="2345" spans="11:15">
      <c r="K2345" s="1470">
        <v>44402</v>
      </c>
      <c r="L2345" s="1471"/>
      <c r="M2345" s="1472">
        <v>0</v>
      </c>
      <c r="N2345" s="1473">
        <v>1.6419406143662385</v>
      </c>
      <c r="O2345" s="1473"/>
    </row>
    <row r="2346" spans="11:15">
      <c r="K2346" s="1470">
        <v>44403</v>
      </c>
      <c r="L2346" s="1471" t="s">
        <v>2129</v>
      </c>
      <c r="M2346" s="1472">
        <v>1.6136999999999999E-2</v>
      </c>
      <c r="N2346" s="1473">
        <v>1.6422055743231789</v>
      </c>
      <c r="O2346" s="1473"/>
    </row>
    <row r="2347" spans="11:15">
      <c r="K2347" s="1470">
        <v>44404</v>
      </c>
      <c r="L2347" s="1471" t="s">
        <v>2129</v>
      </c>
      <c r="M2347" s="1472">
        <v>1.6136999999999999E-2</v>
      </c>
      <c r="N2347" s="1473">
        <v>1.6424705770367076</v>
      </c>
      <c r="O2347" s="1473"/>
    </row>
    <row r="2348" spans="11:15">
      <c r="K2348" s="1470">
        <v>44405</v>
      </c>
      <c r="L2348" s="1471" t="s">
        <v>2129</v>
      </c>
      <c r="M2348" s="1472">
        <v>1.6136999999999999E-2</v>
      </c>
      <c r="N2348" s="1473">
        <v>1.6427356225137242</v>
      </c>
      <c r="O2348" s="1473"/>
    </row>
    <row r="2349" spans="11:15">
      <c r="K2349" s="1470">
        <v>44406</v>
      </c>
      <c r="L2349" s="1471" t="s">
        <v>2129</v>
      </c>
      <c r="M2349" s="1472">
        <v>1.6136999999999999E-2</v>
      </c>
      <c r="N2349" s="1473">
        <v>1.6430007107611293</v>
      </c>
      <c r="O2349" s="1473"/>
    </row>
    <row r="2350" spans="11:15">
      <c r="K2350" s="1470">
        <v>44407</v>
      </c>
      <c r="L2350" s="1471" t="s">
        <v>2129</v>
      </c>
      <c r="M2350" s="1472">
        <v>1.6136999999999999E-2</v>
      </c>
      <c r="N2350" s="1473">
        <v>1.6432658417858248</v>
      </c>
      <c r="O2350" s="1473"/>
    </row>
    <row r="2351" spans="11:15">
      <c r="K2351" s="1470">
        <v>44408</v>
      </c>
      <c r="L2351" s="1471"/>
      <c r="M2351" s="1472">
        <v>0</v>
      </c>
      <c r="N2351" s="1473">
        <v>1.6432658417858248</v>
      </c>
      <c r="O2351" s="1473"/>
    </row>
    <row r="2352" spans="11:15">
      <c r="K2352" s="1470">
        <v>44409</v>
      </c>
      <c r="L2352" s="1471"/>
      <c r="M2352" s="1472">
        <v>0</v>
      </c>
      <c r="N2352" s="1473">
        <v>1.6432658417858248</v>
      </c>
      <c r="O2352" s="1473"/>
    </row>
    <row r="2353" spans="11:15">
      <c r="K2353" s="1470">
        <v>44410</v>
      </c>
      <c r="L2353" s="1471" t="s">
        <v>2129</v>
      </c>
      <c r="M2353" s="1472">
        <v>1.6136999999999999E-2</v>
      </c>
      <c r="N2353" s="1473">
        <v>1.6435310155947138</v>
      </c>
      <c r="O2353" s="1473"/>
    </row>
    <row r="2354" spans="11:15">
      <c r="K2354" s="1470">
        <v>44411</v>
      </c>
      <c r="L2354" s="1471" t="s">
        <v>2129</v>
      </c>
      <c r="M2354" s="1472">
        <v>1.6136999999999999E-2</v>
      </c>
      <c r="N2354" s="1473">
        <v>1.6437962321947004</v>
      </c>
      <c r="O2354" s="1473"/>
    </row>
    <row r="2355" spans="11:15">
      <c r="K2355" s="1470">
        <v>44412</v>
      </c>
      <c r="L2355" s="1471" t="s">
        <v>2129</v>
      </c>
      <c r="M2355" s="1472">
        <v>1.6136999999999999E-2</v>
      </c>
      <c r="N2355" s="1473">
        <v>1.6440614915926897</v>
      </c>
      <c r="O2355" s="1473"/>
    </row>
    <row r="2356" spans="11:15">
      <c r="K2356" s="1470">
        <v>44413</v>
      </c>
      <c r="L2356" s="1471" t="s">
        <v>2129</v>
      </c>
      <c r="M2356" s="1472">
        <v>1.993E-2</v>
      </c>
      <c r="N2356" s="1473">
        <v>1.6443891530479642</v>
      </c>
      <c r="O2356" s="1473"/>
    </row>
    <row r="2357" spans="11:15">
      <c r="K2357" s="1470">
        <v>44414</v>
      </c>
      <c r="L2357" s="1471" t="s">
        <v>2129</v>
      </c>
      <c r="M2357" s="1472">
        <v>1.993E-2</v>
      </c>
      <c r="N2357" s="1473">
        <v>1.6447168798061667</v>
      </c>
      <c r="O2357" s="1473"/>
    </row>
    <row r="2358" spans="11:15">
      <c r="K2358" s="1470">
        <v>44415</v>
      </c>
      <c r="L2358" s="1471"/>
      <c r="M2358" s="1472">
        <v>0</v>
      </c>
      <c r="N2358" s="1473">
        <v>1.6447168798061667</v>
      </c>
      <c r="O2358" s="1473"/>
    </row>
    <row r="2359" spans="11:15">
      <c r="K2359" s="1470">
        <v>44416</v>
      </c>
      <c r="L2359" s="1471"/>
      <c r="M2359" s="1472">
        <v>0</v>
      </c>
      <c r="N2359" s="1473">
        <v>1.6447168798061667</v>
      </c>
      <c r="O2359" s="1473"/>
    </row>
    <row r="2360" spans="11:15">
      <c r="K2360" s="1470">
        <v>44417</v>
      </c>
      <c r="L2360" s="1471" t="s">
        <v>2129</v>
      </c>
      <c r="M2360" s="1472">
        <v>1.993E-2</v>
      </c>
      <c r="N2360" s="1473">
        <v>1.645044671880312</v>
      </c>
      <c r="O2360" s="1473"/>
    </row>
    <row r="2361" spans="11:15">
      <c r="K2361" s="1470">
        <v>44418</v>
      </c>
      <c r="L2361" s="1471" t="s">
        <v>2129</v>
      </c>
      <c r="M2361" s="1472">
        <v>1.993E-2</v>
      </c>
      <c r="N2361" s="1473">
        <v>1.6453725292834178</v>
      </c>
      <c r="O2361" s="1473"/>
    </row>
    <row r="2362" spans="11:15">
      <c r="K2362" s="1470">
        <v>44419</v>
      </c>
      <c r="L2362" s="1471" t="s">
        <v>2129</v>
      </c>
      <c r="M2362" s="1472">
        <v>1.993E-2</v>
      </c>
      <c r="N2362" s="1473">
        <v>1.6457004520285041</v>
      </c>
      <c r="O2362" s="1473"/>
    </row>
    <row r="2363" spans="11:15">
      <c r="K2363" s="1470">
        <v>44420</v>
      </c>
      <c r="L2363" s="1471" t="s">
        <v>2129</v>
      </c>
      <c r="M2363" s="1472">
        <v>1.993E-2</v>
      </c>
      <c r="N2363" s="1473">
        <v>1.6460284401285934</v>
      </c>
      <c r="O2363" s="1473"/>
    </row>
    <row r="2364" spans="11:15">
      <c r="K2364" s="1470">
        <v>44421</v>
      </c>
      <c r="L2364" s="1471" t="s">
        <v>2129</v>
      </c>
      <c r="M2364" s="1472">
        <v>1.993E-2</v>
      </c>
      <c r="N2364" s="1473">
        <v>1.646356493596711</v>
      </c>
      <c r="O2364" s="1473"/>
    </row>
    <row r="2365" spans="11:15">
      <c r="K2365" s="1470">
        <v>44422</v>
      </c>
      <c r="L2365" s="1471"/>
      <c r="M2365" s="1472">
        <v>0</v>
      </c>
      <c r="N2365" s="1473">
        <v>1.646356493596711</v>
      </c>
      <c r="O2365" s="1473"/>
    </row>
    <row r="2366" spans="11:15">
      <c r="K2366" s="1470">
        <v>44423</v>
      </c>
      <c r="L2366" s="1471"/>
      <c r="M2366" s="1472">
        <v>0</v>
      </c>
      <c r="N2366" s="1473">
        <v>1.646356493596711</v>
      </c>
      <c r="O2366" s="1473"/>
    </row>
    <row r="2367" spans="11:15">
      <c r="K2367" s="1470">
        <v>44424</v>
      </c>
      <c r="L2367" s="1471" t="s">
        <v>2129</v>
      </c>
      <c r="M2367" s="1472">
        <v>1.993E-2</v>
      </c>
      <c r="N2367" s="1473">
        <v>1.6466846124458849</v>
      </c>
      <c r="O2367" s="1473"/>
    </row>
    <row r="2368" spans="11:15">
      <c r="K2368" s="1470">
        <v>44425</v>
      </c>
      <c r="L2368" s="1471" t="s">
        <v>2129</v>
      </c>
      <c r="M2368" s="1472">
        <v>1.993E-2</v>
      </c>
      <c r="N2368" s="1473">
        <v>1.6470127966891455</v>
      </c>
      <c r="O2368" s="1473"/>
    </row>
    <row r="2369" spans="11:15">
      <c r="K2369" s="1470">
        <v>44426</v>
      </c>
      <c r="L2369" s="1471" t="s">
        <v>2129</v>
      </c>
      <c r="M2369" s="1472">
        <v>1.993E-2</v>
      </c>
      <c r="N2369" s="1473">
        <v>1.6473410463395257</v>
      </c>
      <c r="O2369" s="1473"/>
    </row>
    <row r="2370" spans="11:15">
      <c r="K2370" s="1470">
        <v>44427</v>
      </c>
      <c r="L2370" s="1471" t="s">
        <v>2129</v>
      </c>
      <c r="M2370" s="1472">
        <v>1.993E-2</v>
      </c>
      <c r="N2370" s="1473">
        <v>1.6476693614100613</v>
      </c>
      <c r="O2370" s="1473"/>
    </row>
    <row r="2371" spans="11:15">
      <c r="K2371" s="1470">
        <v>44428</v>
      </c>
      <c r="L2371" s="1471" t="s">
        <v>2129</v>
      </c>
      <c r="M2371" s="1472">
        <v>1.993E-2</v>
      </c>
      <c r="N2371" s="1473">
        <v>1.6479977419137903</v>
      </c>
      <c r="O2371" s="1473"/>
    </row>
    <row r="2372" spans="11:15">
      <c r="K2372" s="1470">
        <v>44429</v>
      </c>
      <c r="L2372" s="1471"/>
      <c r="M2372" s="1472">
        <v>0</v>
      </c>
      <c r="N2372" s="1473">
        <v>1.6479977419137903</v>
      </c>
      <c r="O2372" s="1473"/>
    </row>
    <row r="2373" spans="11:15">
      <c r="K2373" s="1470">
        <v>44430</v>
      </c>
      <c r="L2373" s="1471"/>
      <c r="M2373" s="1472">
        <v>0</v>
      </c>
      <c r="N2373" s="1473">
        <v>1.6479977419137903</v>
      </c>
      <c r="O2373" s="1473"/>
    </row>
    <row r="2374" spans="11:15">
      <c r="K2374" s="1470">
        <v>44431</v>
      </c>
      <c r="L2374" s="1471" t="s">
        <v>2129</v>
      </c>
      <c r="M2374" s="1472">
        <v>1.993E-2</v>
      </c>
      <c r="N2374" s="1473">
        <v>1.6483261878637538</v>
      </c>
      <c r="O2374" s="1473"/>
    </row>
    <row r="2375" spans="11:15">
      <c r="K2375" s="1470">
        <v>44432</v>
      </c>
      <c r="L2375" s="1471" t="s">
        <v>2129</v>
      </c>
      <c r="M2375" s="1472">
        <v>1.993E-2</v>
      </c>
      <c r="N2375" s="1473">
        <v>1.6486546992729951</v>
      </c>
      <c r="O2375" s="1473"/>
    </row>
    <row r="2376" spans="11:15">
      <c r="K2376" s="1470">
        <v>44433</v>
      </c>
      <c r="L2376" s="1471" t="s">
        <v>2129</v>
      </c>
      <c r="M2376" s="1472">
        <v>1.993E-2</v>
      </c>
      <c r="N2376" s="1473">
        <v>1.6489832761545602</v>
      </c>
      <c r="O2376" s="1473"/>
    </row>
    <row r="2377" spans="11:15">
      <c r="K2377" s="1470">
        <v>44434</v>
      </c>
      <c r="L2377" s="1471" t="s">
        <v>2129</v>
      </c>
      <c r="M2377" s="1472">
        <v>1.993E-2</v>
      </c>
      <c r="N2377" s="1473">
        <v>1.6493119185214977</v>
      </c>
      <c r="O2377" s="1473"/>
    </row>
    <row r="2378" spans="11:15">
      <c r="K2378" s="1470">
        <v>44435</v>
      </c>
      <c r="L2378" s="1471" t="s">
        <v>2129</v>
      </c>
      <c r="M2378" s="1472">
        <v>1.993E-2</v>
      </c>
      <c r="N2378" s="1473">
        <v>1.649640626386859</v>
      </c>
      <c r="O2378" s="1473"/>
    </row>
    <row r="2379" spans="11:15">
      <c r="K2379" s="1470">
        <v>44436</v>
      </c>
      <c r="L2379" s="1471"/>
      <c r="M2379" s="1472">
        <v>0</v>
      </c>
      <c r="N2379" s="1473">
        <v>1.649640626386859</v>
      </c>
      <c r="O2379" s="1473"/>
    </row>
    <row r="2380" spans="11:15">
      <c r="K2380" s="1470">
        <v>44437</v>
      </c>
      <c r="L2380" s="1471"/>
      <c r="M2380" s="1472">
        <v>0</v>
      </c>
      <c r="N2380" s="1473">
        <v>1.649640626386859</v>
      </c>
      <c r="O2380" s="1473"/>
    </row>
    <row r="2381" spans="11:15">
      <c r="K2381" s="1470">
        <v>44438</v>
      </c>
      <c r="L2381" s="1471" t="s">
        <v>2129</v>
      </c>
      <c r="M2381" s="1472">
        <v>1.993E-2</v>
      </c>
      <c r="N2381" s="1473">
        <v>1.6499693997636979</v>
      </c>
      <c r="O2381" s="1473"/>
    </row>
    <row r="2382" spans="11:15">
      <c r="K2382" s="1470">
        <v>44439</v>
      </c>
      <c r="L2382" s="1471" t="s">
        <v>2129</v>
      </c>
      <c r="M2382" s="1472">
        <v>1.993E-2</v>
      </c>
      <c r="N2382" s="1473">
        <v>1.6502982386650709</v>
      </c>
      <c r="O2382" s="1473"/>
    </row>
    <row r="2383" spans="11:15">
      <c r="K2383" s="1470">
        <v>44440</v>
      </c>
      <c r="L2383" s="1471" t="s">
        <v>2129</v>
      </c>
      <c r="M2383" s="1472">
        <v>1.993E-2</v>
      </c>
      <c r="N2383" s="1473">
        <v>1.6506271431040369</v>
      </c>
      <c r="O2383" s="1473"/>
    </row>
    <row r="2384" spans="11:15">
      <c r="K2384" s="1470">
        <v>44441</v>
      </c>
      <c r="L2384" s="1471" t="s">
        <v>2129</v>
      </c>
      <c r="M2384" s="1472">
        <v>1.993E-2</v>
      </c>
      <c r="N2384" s="1473">
        <v>1.6509561130936576</v>
      </c>
      <c r="O2384" s="1473"/>
    </row>
    <row r="2385" spans="11:15">
      <c r="K2385" s="1470">
        <v>44442</v>
      </c>
      <c r="L2385" s="1471" t="s">
        <v>2129</v>
      </c>
      <c r="M2385" s="1472">
        <v>1.993E-2</v>
      </c>
      <c r="N2385" s="1473">
        <v>1.6512851486469973</v>
      </c>
      <c r="O2385" s="1473"/>
    </row>
    <row r="2386" spans="11:15">
      <c r="K2386" s="1470">
        <v>44443</v>
      </c>
      <c r="L2386" s="1471"/>
      <c r="M2386" s="1472">
        <v>0</v>
      </c>
      <c r="N2386" s="1473">
        <v>1.6512851486469973</v>
      </c>
      <c r="O2386" s="1473"/>
    </row>
    <row r="2387" spans="11:15">
      <c r="K2387" s="1470">
        <v>44444</v>
      </c>
      <c r="L2387" s="1471"/>
      <c r="M2387" s="1472">
        <v>0</v>
      </c>
      <c r="N2387" s="1473">
        <v>1.6512851486469973</v>
      </c>
      <c r="O2387" s="1473"/>
    </row>
    <row r="2388" spans="11:15">
      <c r="K2388" s="1470">
        <v>44445</v>
      </c>
      <c r="L2388" s="1471" t="s">
        <v>2129</v>
      </c>
      <c r="M2388" s="1472">
        <v>1.993E-2</v>
      </c>
      <c r="N2388" s="1473">
        <v>1.6516142497771227</v>
      </c>
      <c r="O2388" s="1473"/>
    </row>
    <row r="2389" spans="11:15">
      <c r="K2389" s="1470">
        <v>44446</v>
      </c>
      <c r="L2389" s="1471"/>
      <c r="M2389" s="1472">
        <v>0</v>
      </c>
      <c r="N2389" s="1473">
        <v>1.6516142497771227</v>
      </c>
      <c r="O2389" s="1473"/>
    </row>
    <row r="2390" spans="11:15">
      <c r="K2390" s="1470">
        <v>44447</v>
      </c>
      <c r="L2390" s="1471" t="s">
        <v>2129</v>
      </c>
      <c r="M2390" s="1472">
        <v>1.993E-2</v>
      </c>
      <c r="N2390" s="1473">
        <v>1.6519434164971032</v>
      </c>
      <c r="O2390" s="1473"/>
    </row>
    <row r="2391" spans="11:15">
      <c r="K2391" s="1470">
        <v>44448</v>
      </c>
      <c r="L2391" s="1471" t="s">
        <v>2129</v>
      </c>
      <c r="M2391" s="1472">
        <v>1.993E-2</v>
      </c>
      <c r="N2391" s="1473">
        <v>1.652272648820011</v>
      </c>
      <c r="O2391" s="1473"/>
    </row>
    <row r="2392" spans="11:15">
      <c r="K2392" s="1470">
        <v>44449</v>
      </c>
      <c r="L2392" s="1471" t="s">
        <v>2129</v>
      </c>
      <c r="M2392" s="1472">
        <v>1.993E-2</v>
      </c>
      <c r="N2392" s="1473">
        <v>1.6526019467589208</v>
      </c>
      <c r="O2392" s="1473"/>
    </row>
    <row r="2393" spans="11:15">
      <c r="K2393" s="1470">
        <v>44450</v>
      </c>
      <c r="L2393" s="1471"/>
      <c r="M2393" s="1472">
        <v>0</v>
      </c>
      <c r="N2393" s="1473">
        <v>1.6526019467589208</v>
      </c>
      <c r="O2393" s="1473"/>
    </row>
    <row r="2394" spans="11:15">
      <c r="K2394" s="1470">
        <v>44451</v>
      </c>
      <c r="L2394" s="1471"/>
      <c r="M2394" s="1472">
        <v>0</v>
      </c>
      <c r="N2394" s="1473">
        <v>1.6526019467589208</v>
      </c>
      <c r="O2394" s="1473"/>
    </row>
    <row r="2395" spans="11:15">
      <c r="K2395" s="1470">
        <v>44452</v>
      </c>
      <c r="L2395" s="1471" t="s">
        <v>2129</v>
      </c>
      <c r="M2395" s="1472">
        <v>1.993E-2</v>
      </c>
      <c r="N2395" s="1473">
        <v>1.6529313103269099</v>
      </c>
      <c r="O2395" s="1473"/>
    </row>
    <row r="2396" spans="11:15">
      <c r="K2396" s="1470">
        <v>44453</v>
      </c>
      <c r="L2396" s="1471" t="s">
        <v>2129</v>
      </c>
      <c r="M2396" s="1472">
        <v>1.993E-2</v>
      </c>
      <c r="N2396" s="1473">
        <v>1.653260739537058</v>
      </c>
      <c r="O2396" s="1473"/>
    </row>
    <row r="2397" spans="11:15">
      <c r="K2397" s="1470">
        <v>44454</v>
      </c>
      <c r="L2397" s="1471" t="s">
        <v>2129</v>
      </c>
      <c r="M2397" s="1472">
        <v>1.993E-2</v>
      </c>
      <c r="N2397" s="1473">
        <v>1.6535902344024478</v>
      </c>
      <c r="O2397" s="1473"/>
    </row>
    <row r="2398" spans="11:15">
      <c r="K2398" s="1470">
        <v>44455</v>
      </c>
      <c r="L2398" s="1471" t="s">
        <v>2129</v>
      </c>
      <c r="M2398" s="1472">
        <v>1.993E-2</v>
      </c>
      <c r="N2398" s="1473">
        <v>1.6539197949361641</v>
      </c>
      <c r="O2398" s="1473"/>
    </row>
    <row r="2399" spans="11:15">
      <c r="K2399" s="1470">
        <v>44456</v>
      </c>
      <c r="L2399" s="1471" t="s">
        <v>2129</v>
      </c>
      <c r="M2399" s="1472">
        <v>1.993E-2</v>
      </c>
      <c r="N2399" s="1473">
        <v>1.654249421151295</v>
      </c>
      <c r="O2399" s="1473"/>
    </row>
    <row r="2400" spans="11:15">
      <c r="K2400" s="1470">
        <v>44457</v>
      </c>
      <c r="L2400" s="1471"/>
      <c r="M2400" s="1472">
        <v>0</v>
      </c>
      <c r="N2400" s="1473">
        <v>1.654249421151295</v>
      </c>
      <c r="O2400" s="1473"/>
    </row>
    <row r="2401" spans="11:15">
      <c r="K2401" s="1470">
        <v>44458</v>
      </c>
      <c r="L2401" s="1471"/>
      <c r="M2401" s="1472">
        <v>0</v>
      </c>
      <c r="N2401" s="1473">
        <v>1.654249421151295</v>
      </c>
      <c r="O2401" s="1473"/>
    </row>
    <row r="2402" spans="11:15">
      <c r="K2402" s="1470">
        <v>44459</v>
      </c>
      <c r="L2402" s="1471" t="s">
        <v>2129</v>
      </c>
      <c r="M2402" s="1472">
        <v>1.993E-2</v>
      </c>
      <c r="N2402" s="1473">
        <v>1.6545791130609304</v>
      </c>
      <c r="O2402" s="1473"/>
    </row>
    <row r="2403" spans="11:15">
      <c r="K2403" s="1470">
        <v>44460</v>
      </c>
      <c r="L2403" s="1471" t="s">
        <v>2129</v>
      </c>
      <c r="M2403" s="1472">
        <v>1.993E-2</v>
      </c>
      <c r="N2403" s="1473">
        <v>1.6549088706781634</v>
      </c>
      <c r="O2403" s="1473"/>
    </row>
    <row r="2404" spans="11:15">
      <c r="K2404" s="1470">
        <v>44461</v>
      </c>
      <c r="L2404" s="1471" t="s">
        <v>2129</v>
      </c>
      <c r="M2404" s="1472">
        <v>1.993E-2</v>
      </c>
      <c r="N2404" s="1473">
        <v>1.6552386940160895</v>
      </c>
      <c r="O2404" s="1473"/>
    </row>
    <row r="2405" spans="11:15">
      <c r="K2405" s="1470">
        <v>44462</v>
      </c>
      <c r="L2405" s="1471" t="s">
        <v>2129</v>
      </c>
      <c r="M2405" s="1472">
        <v>2.3687E-2</v>
      </c>
      <c r="N2405" s="1473">
        <v>1.6556307704055411</v>
      </c>
      <c r="O2405" s="1473"/>
    </row>
    <row r="2406" spans="11:15">
      <c r="K2406" s="1470">
        <v>44463</v>
      </c>
      <c r="L2406" s="1471" t="s">
        <v>2129</v>
      </c>
      <c r="M2406" s="1472">
        <v>2.3687E-2</v>
      </c>
      <c r="N2406" s="1473">
        <v>1.656022939666127</v>
      </c>
      <c r="O2406" s="1473"/>
    </row>
    <row r="2407" spans="11:15">
      <c r="K2407" s="1470">
        <v>44464</v>
      </c>
      <c r="L2407" s="1471"/>
      <c r="M2407" s="1472">
        <v>0</v>
      </c>
      <c r="N2407" s="1473">
        <v>1.656022939666127</v>
      </c>
      <c r="O2407" s="1473"/>
    </row>
    <row r="2408" spans="11:15">
      <c r="K2408" s="1470">
        <v>44465</v>
      </c>
      <c r="L2408" s="1471"/>
      <c r="M2408" s="1472">
        <v>0</v>
      </c>
      <c r="N2408" s="1473">
        <v>1.656022939666127</v>
      </c>
      <c r="O2408" s="1473"/>
    </row>
    <row r="2409" spans="11:15">
      <c r="K2409" s="1470">
        <v>44466</v>
      </c>
      <c r="L2409" s="1471" t="s">
        <v>2129</v>
      </c>
      <c r="M2409" s="1472">
        <v>2.3687E-2</v>
      </c>
      <c r="N2409" s="1473">
        <v>1.6564152018198457</v>
      </c>
      <c r="O2409" s="1473"/>
    </row>
    <row r="2410" spans="11:15">
      <c r="K2410" s="1470">
        <v>44467</v>
      </c>
      <c r="L2410" s="1471" t="s">
        <v>2129</v>
      </c>
      <c r="M2410" s="1472">
        <v>2.3687E-2</v>
      </c>
      <c r="N2410" s="1473">
        <v>1.6568075568887006</v>
      </c>
      <c r="O2410" s="1473"/>
    </row>
    <row r="2411" spans="11:15">
      <c r="K2411" s="1470">
        <v>44468</v>
      </c>
      <c r="L2411" s="1471" t="s">
        <v>2129</v>
      </c>
      <c r="M2411" s="1472">
        <v>2.3687E-2</v>
      </c>
      <c r="N2411" s="1473">
        <v>1.6572000048947009</v>
      </c>
      <c r="O2411" s="1473"/>
    </row>
    <row r="2412" spans="11:15">
      <c r="K2412" s="1470">
        <v>44469</v>
      </c>
      <c r="L2412" s="1471" t="s">
        <v>2129</v>
      </c>
      <c r="M2412" s="1472">
        <v>2.3687E-2</v>
      </c>
      <c r="N2412" s="1473">
        <v>1.6575925458598602</v>
      </c>
      <c r="O2412" s="1473"/>
    </row>
    <row r="2413" spans="11:15">
      <c r="K2413" s="1470">
        <v>44470</v>
      </c>
      <c r="L2413" s="1471" t="s">
        <v>2129</v>
      </c>
      <c r="M2413" s="1472">
        <v>2.3687E-2</v>
      </c>
      <c r="N2413" s="1473">
        <v>1.657985179806198</v>
      </c>
      <c r="O2413" s="1473"/>
    </row>
    <row r="2414" spans="11:15">
      <c r="K2414" s="1470">
        <v>44471</v>
      </c>
      <c r="L2414" s="1471"/>
      <c r="M2414" s="1472">
        <v>0</v>
      </c>
      <c r="N2414" s="1473">
        <v>1.657985179806198</v>
      </c>
      <c r="O2414" s="1473"/>
    </row>
    <row r="2415" spans="11:15">
      <c r="K2415" s="1470">
        <v>44472</v>
      </c>
      <c r="L2415" s="1471"/>
      <c r="M2415" s="1472">
        <v>0</v>
      </c>
      <c r="N2415" s="1473">
        <v>1.657985179806198</v>
      </c>
      <c r="O2415" s="1473"/>
    </row>
    <row r="2416" spans="11:15">
      <c r="K2416" s="1470">
        <v>44473</v>
      </c>
      <c r="L2416" s="1471" t="s">
        <v>2129</v>
      </c>
      <c r="M2416" s="1472">
        <v>2.3687E-2</v>
      </c>
      <c r="N2416" s="1473">
        <v>1.6583779067557385</v>
      </c>
      <c r="O2416" s="1473"/>
    </row>
    <row r="2417" spans="11:15">
      <c r="K2417" s="1470">
        <v>44474</v>
      </c>
      <c r="L2417" s="1471" t="s">
        <v>2129</v>
      </c>
      <c r="M2417" s="1472">
        <v>2.3687E-2</v>
      </c>
      <c r="N2417" s="1473">
        <v>1.6587707267305116</v>
      </c>
      <c r="O2417" s="1473"/>
    </row>
    <row r="2418" spans="11:15">
      <c r="K2418" s="1470">
        <v>44475</v>
      </c>
      <c r="L2418" s="1471" t="s">
        <v>2129</v>
      </c>
      <c r="M2418" s="1472">
        <v>2.3687E-2</v>
      </c>
      <c r="N2418" s="1473">
        <v>1.6591636397525522</v>
      </c>
      <c r="O2418" s="1473"/>
    </row>
    <row r="2419" spans="11:15">
      <c r="K2419" s="1470">
        <v>44476</v>
      </c>
      <c r="L2419" s="1471" t="s">
        <v>2129</v>
      </c>
      <c r="M2419" s="1472">
        <v>2.3687E-2</v>
      </c>
      <c r="N2419" s="1473">
        <v>1.6595566458439004</v>
      </c>
      <c r="O2419" s="1473"/>
    </row>
    <row r="2420" spans="11:15">
      <c r="K2420" s="1470">
        <v>44477</v>
      </c>
      <c r="L2420" s="1471" t="s">
        <v>2129</v>
      </c>
      <c r="M2420" s="1472">
        <v>2.3687E-2</v>
      </c>
      <c r="N2420" s="1473">
        <v>1.6599497450266014</v>
      </c>
      <c r="O2420" s="1473"/>
    </row>
    <row r="2421" spans="11:15">
      <c r="K2421" s="1470">
        <v>44478</v>
      </c>
      <c r="L2421" s="1471"/>
      <c r="M2421" s="1472">
        <v>0</v>
      </c>
      <c r="N2421" s="1473">
        <v>1.6599497450266014</v>
      </c>
      <c r="O2421" s="1473"/>
    </row>
    <row r="2422" spans="11:15">
      <c r="K2422" s="1470">
        <v>44479</v>
      </c>
      <c r="L2422" s="1471"/>
      <c r="M2422" s="1472">
        <v>0</v>
      </c>
      <c r="N2422" s="1473">
        <v>1.6599497450266014</v>
      </c>
      <c r="O2422" s="1473"/>
    </row>
    <row r="2423" spans="11:15">
      <c r="K2423" s="1470">
        <v>44480</v>
      </c>
      <c r="L2423" s="1471" t="s">
        <v>2129</v>
      </c>
      <c r="M2423" s="1472">
        <v>2.3687E-2</v>
      </c>
      <c r="N2423" s="1473">
        <v>1.6603429373227059</v>
      </c>
      <c r="O2423" s="1473"/>
    </row>
    <row r="2424" spans="11:15">
      <c r="K2424" s="1470">
        <v>44481</v>
      </c>
      <c r="L2424" s="1471"/>
      <c r="M2424" s="1472">
        <v>0</v>
      </c>
      <c r="N2424" s="1473">
        <v>1.6603429373227059</v>
      </c>
      <c r="O2424" s="1473"/>
    </row>
    <row r="2425" spans="11:15">
      <c r="K2425" s="1470">
        <v>44482</v>
      </c>
      <c r="L2425" s="1471" t="s">
        <v>2129</v>
      </c>
      <c r="M2425" s="1472">
        <v>2.3687E-2</v>
      </c>
      <c r="N2425" s="1473">
        <v>1.6607362227542695</v>
      </c>
      <c r="O2425" s="1473"/>
    </row>
    <row r="2426" spans="11:15">
      <c r="K2426" s="1470">
        <v>44483</v>
      </c>
      <c r="L2426" s="1471" t="s">
        <v>2129</v>
      </c>
      <c r="M2426" s="1472">
        <v>2.3687E-2</v>
      </c>
      <c r="N2426" s="1473">
        <v>1.6611296013433532</v>
      </c>
      <c r="O2426" s="1473"/>
    </row>
    <row r="2427" spans="11:15">
      <c r="K2427" s="1470">
        <v>44484</v>
      </c>
      <c r="L2427" s="1471" t="s">
        <v>2129</v>
      </c>
      <c r="M2427" s="1472">
        <v>2.3687E-2</v>
      </c>
      <c r="N2427" s="1473">
        <v>1.6615230731120234</v>
      </c>
      <c r="O2427" s="1473"/>
    </row>
    <row r="2428" spans="11:15">
      <c r="K2428" s="1470">
        <v>44485</v>
      </c>
      <c r="L2428" s="1471"/>
      <c r="M2428" s="1472">
        <v>0</v>
      </c>
      <c r="N2428" s="1473">
        <v>1.6615230731120234</v>
      </c>
      <c r="O2428" s="1473"/>
    </row>
    <row r="2429" spans="11:15">
      <c r="K2429" s="1470">
        <v>44486</v>
      </c>
      <c r="L2429" s="1471"/>
      <c r="M2429" s="1472">
        <v>0</v>
      </c>
      <c r="N2429" s="1473">
        <v>1.6615230731120234</v>
      </c>
      <c r="O2429" s="1473"/>
    </row>
    <row r="2430" spans="11:15">
      <c r="K2430" s="1470">
        <v>44487</v>
      </c>
      <c r="L2430" s="1471" t="s">
        <v>2129</v>
      </c>
      <c r="M2430" s="1472">
        <v>2.3687E-2</v>
      </c>
      <c r="N2430" s="1473">
        <v>1.6619166380823513</v>
      </c>
      <c r="O2430" s="1473"/>
    </row>
    <row r="2431" spans="11:15">
      <c r="K2431" s="1470">
        <v>44488</v>
      </c>
      <c r="L2431" s="1471" t="s">
        <v>2129</v>
      </c>
      <c r="M2431" s="1472">
        <v>2.3687E-2</v>
      </c>
      <c r="N2431" s="1473">
        <v>1.6623102962764138</v>
      </c>
      <c r="O2431" s="1473"/>
    </row>
    <row r="2432" spans="11:15">
      <c r="K2432" s="1470">
        <v>44489</v>
      </c>
      <c r="L2432" s="1471" t="s">
        <v>2129</v>
      </c>
      <c r="M2432" s="1472">
        <v>2.3687E-2</v>
      </c>
      <c r="N2432" s="1473">
        <v>1.6627040477162927</v>
      </c>
      <c r="O2432" s="1473"/>
    </row>
    <row r="2433" spans="11:15">
      <c r="K2433" s="1470">
        <v>44490</v>
      </c>
      <c r="L2433" s="1471" t="s">
        <v>2129</v>
      </c>
      <c r="M2433" s="1472">
        <v>2.3687E-2</v>
      </c>
      <c r="N2433" s="1473">
        <v>1.6630978924240751</v>
      </c>
      <c r="O2433" s="1473"/>
    </row>
    <row r="2434" spans="11:15">
      <c r="K2434" s="1470">
        <v>44491</v>
      </c>
      <c r="L2434" s="1471" t="s">
        <v>2129</v>
      </c>
      <c r="M2434" s="1472">
        <v>2.3687E-2</v>
      </c>
      <c r="N2434" s="1473">
        <v>1.6634918304218536</v>
      </c>
      <c r="O2434" s="1473"/>
    </row>
    <row r="2435" spans="11:15">
      <c r="K2435" s="1470">
        <v>44492</v>
      </c>
      <c r="L2435" s="1471"/>
      <c r="M2435" s="1472">
        <v>0</v>
      </c>
      <c r="N2435" s="1473">
        <v>1.6634918304218536</v>
      </c>
      <c r="O2435" s="1473"/>
    </row>
    <row r="2436" spans="11:15">
      <c r="K2436" s="1470">
        <v>44493</v>
      </c>
      <c r="L2436" s="1471"/>
      <c r="M2436" s="1472">
        <v>0</v>
      </c>
      <c r="N2436" s="1473">
        <v>1.6634918304218536</v>
      </c>
      <c r="O2436" s="1473"/>
    </row>
    <row r="2437" spans="11:15">
      <c r="K2437" s="1470">
        <v>44494</v>
      </c>
      <c r="L2437" s="1471" t="s">
        <v>2129</v>
      </c>
      <c r="M2437" s="1472">
        <v>2.3687E-2</v>
      </c>
      <c r="N2437" s="1473">
        <v>1.6638858617317256</v>
      </c>
      <c r="O2437" s="1473"/>
    </row>
    <row r="2438" spans="11:15">
      <c r="K2438" s="1470">
        <v>44495</v>
      </c>
      <c r="L2438" s="1471" t="s">
        <v>2129</v>
      </c>
      <c r="M2438" s="1472">
        <v>2.3687E-2</v>
      </c>
      <c r="N2438" s="1473">
        <v>1.664279986375794</v>
      </c>
      <c r="O2438" s="1473"/>
    </row>
    <row r="2439" spans="11:15">
      <c r="K2439" s="1470">
        <v>44496</v>
      </c>
      <c r="L2439" s="1471" t="s">
        <v>2129</v>
      </c>
      <c r="M2439" s="1472">
        <v>2.3687E-2</v>
      </c>
      <c r="N2439" s="1473">
        <v>1.6646742043761666</v>
      </c>
      <c r="O2439" s="1473"/>
    </row>
    <row r="2440" spans="11:15">
      <c r="K2440" s="1470">
        <v>44497</v>
      </c>
      <c r="L2440" s="1471" t="s">
        <v>2129</v>
      </c>
      <c r="M2440" s="1472">
        <v>2.9256000000000001E-2</v>
      </c>
      <c r="N2440" s="1473">
        <v>1.6651612214613991</v>
      </c>
      <c r="O2440" s="1473"/>
    </row>
    <row r="2441" spans="11:15">
      <c r="K2441" s="1470">
        <v>44498</v>
      </c>
      <c r="L2441" s="1471" t="s">
        <v>2129</v>
      </c>
      <c r="M2441" s="1472">
        <v>2.9256000000000001E-2</v>
      </c>
      <c r="N2441" s="1473">
        <v>1.66564838102835</v>
      </c>
      <c r="O2441" s="1473"/>
    </row>
    <row r="2442" spans="11:15">
      <c r="K2442" s="1470">
        <v>44499</v>
      </c>
      <c r="L2442" s="1471"/>
      <c r="M2442" s="1472">
        <v>0</v>
      </c>
      <c r="N2442" s="1473">
        <v>1.66564838102835</v>
      </c>
      <c r="O2442" s="1473"/>
    </row>
    <row r="2443" spans="11:15">
      <c r="K2443" s="1470">
        <v>44500</v>
      </c>
      <c r="L2443" s="1471"/>
      <c r="M2443" s="1472">
        <v>0</v>
      </c>
      <c r="N2443" s="1473">
        <v>1.66564838102835</v>
      </c>
      <c r="O2443" s="1473"/>
    </row>
    <row r="2444" spans="11:15">
      <c r="K2444" s="1470">
        <v>44501</v>
      </c>
      <c r="L2444" s="1471" t="s">
        <v>2129</v>
      </c>
      <c r="M2444" s="1472">
        <v>2.9256000000000001E-2</v>
      </c>
      <c r="N2444" s="1473">
        <v>1.6661356831187037</v>
      </c>
      <c r="O2444" s="1473"/>
    </row>
    <row r="2445" spans="11:15">
      <c r="K2445" s="1470">
        <v>44502</v>
      </c>
      <c r="L2445" s="1471"/>
      <c r="M2445" s="1472">
        <v>0</v>
      </c>
      <c r="N2445" s="1473">
        <v>1.6661356831187037</v>
      </c>
      <c r="O2445" s="1473"/>
    </row>
    <row r="2446" spans="11:15">
      <c r="K2446" s="1470">
        <v>44503</v>
      </c>
      <c r="L2446" s="1471" t="s">
        <v>2129</v>
      </c>
      <c r="M2446" s="1472">
        <v>2.9256000000000001E-2</v>
      </c>
      <c r="N2446" s="1473">
        <v>1.6666231277741572</v>
      </c>
      <c r="O2446" s="1473"/>
    </row>
    <row r="2447" spans="11:15">
      <c r="K2447" s="1470">
        <v>44504</v>
      </c>
      <c r="L2447" s="1471" t="s">
        <v>2129</v>
      </c>
      <c r="M2447" s="1472">
        <v>2.9256000000000001E-2</v>
      </c>
      <c r="N2447" s="1473">
        <v>1.6671107150364191</v>
      </c>
      <c r="O2447" s="1473"/>
    </row>
    <row r="2448" spans="11:15">
      <c r="K2448" s="1470">
        <v>44505</v>
      </c>
      <c r="L2448" s="1471" t="s">
        <v>2129</v>
      </c>
      <c r="M2448" s="1472">
        <v>2.9256000000000001E-2</v>
      </c>
      <c r="N2448" s="1473">
        <v>1.6675984449472103</v>
      </c>
      <c r="O2448" s="1473"/>
    </row>
    <row r="2449" spans="11:15">
      <c r="K2449" s="1470">
        <v>44506</v>
      </c>
      <c r="L2449" s="1471"/>
      <c r="M2449" s="1472">
        <v>0</v>
      </c>
      <c r="N2449" s="1473">
        <v>1.6675984449472103</v>
      </c>
      <c r="O2449" s="1473"/>
    </row>
    <row r="2450" spans="11:15">
      <c r="K2450" s="1470">
        <v>44507</v>
      </c>
      <c r="L2450" s="1471"/>
      <c r="M2450" s="1472">
        <v>0</v>
      </c>
      <c r="N2450" s="1473">
        <v>1.6675984449472103</v>
      </c>
      <c r="O2450" s="1473"/>
    </row>
    <row r="2451" spans="11:15">
      <c r="K2451" s="1470">
        <v>44508</v>
      </c>
      <c r="L2451" s="1471" t="s">
        <v>2129</v>
      </c>
      <c r="M2451" s="1472">
        <v>2.9256000000000001E-2</v>
      </c>
      <c r="N2451" s="1473">
        <v>1.6680863175482643</v>
      </c>
      <c r="O2451" s="1473"/>
    </row>
    <row r="2452" spans="11:15">
      <c r="K2452" s="1470">
        <v>44509</v>
      </c>
      <c r="L2452" s="1471" t="s">
        <v>2129</v>
      </c>
      <c r="M2452" s="1472">
        <v>2.9256000000000001E-2</v>
      </c>
      <c r="N2452" s="1473">
        <v>1.6685743328813265</v>
      </c>
      <c r="O2452" s="1473"/>
    </row>
    <row r="2453" spans="11:15">
      <c r="K2453" s="1470">
        <v>44510</v>
      </c>
      <c r="L2453" s="1471" t="s">
        <v>2129</v>
      </c>
      <c r="M2453" s="1472">
        <v>2.9256000000000001E-2</v>
      </c>
      <c r="N2453" s="1473">
        <v>1.6690624909881544</v>
      </c>
      <c r="O2453" s="1473"/>
    </row>
    <row r="2454" spans="11:15">
      <c r="K2454" s="1470">
        <v>44511</v>
      </c>
      <c r="L2454" s="1471" t="s">
        <v>2129</v>
      </c>
      <c r="M2454" s="1472">
        <v>2.9256000000000001E-2</v>
      </c>
      <c r="N2454" s="1473">
        <v>1.6695507919105181</v>
      </c>
      <c r="O2454" s="1473"/>
    </row>
    <row r="2455" spans="11:15">
      <c r="K2455" s="1470">
        <v>44512</v>
      </c>
      <c r="L2455" s="1471" t="s">
        <v>2129</v>
      </c>
      <c r="M2455" s="1472">
        <v>2.9256000000000001E-2</v>
      </c>
      <c r="N2455" s="1473">
        <v>1.6700392356901996</v>
      </c>
      <c r="O2455" s="1473"/>
    </row>
    <row r="2456" spans="11:15">
      <c r="K2456" s="1470">
        <v>44513</v>
      </c>
      <c r="L2456" s="1471"/>
      <c r="M2456" s="1472">
        <v>0</v>
      </c>
      <c r="N2456" s="1473">
        <v>1.6700392356901996</v>
      </c>
      <c r="O2456" s="1473"/>
    </row>
    <row r="2457" spans="11:15">
      <c r="K2457" s="1470">
        <v>44514</v>
      </c>
      <c r="L2457" s="1471"/>
      <c r="M2457" s="1472">
        <v>0</v>
      </c>
      <c r="N2457" s="1473">
        <v>1.6700392356901996</v>
      </c>
      <c r="O2457" s="1473"/>
    </row>
    <row r="2458" spans="11:15">
      <c r="K2458" s="1470">
        <v>44515</v>
      </c>
      <c r="L2458" s="1471"/>
      <c r="M2458" s="1472">
        <v>0</v>
      </c>
      <c r="N2458" s="1473">
        <v>1.6700392356901996</v>
      </c>
      <c r="O2458" s="1473"/>
    </row>
    <row r="2459" spans="11:15">
      <c r="K2459" s="1470">
        <v>44516</v>
      </c>
      <c r="L2459" s="1471" t="s">
        <v>2129</v>
      </c>
      <c r="M2459" s="1472">
        <v>2.9256000000000001E-2</v>
      </c>
      <c r="N2459" s="1473">
        <v>1.6705278223689934</v>
      </c>
      <c r="O2459" s="1473"/>
    </row>
    <row r="2460" spans="11:15">
      <c r="K2460" s="1470">
        <v>44517</v>
      </c>
      <c r="L2460" s="1471" t="s">
        <v>2129</v>
      </c>
      <c r="M2460" s="1472">
        <v>2.9256000000000001E-2</v>
      </c>
      <c r="N2460" s="1473">
        <v>1.6710165519887059</v>
      </c>
      <c r="O2460" s="1473"/>
    </row>
    <row r="2461" spans="11:15">
      <c r="K2461" s="1470">
        <v>44518</v>
      </c>
      <c r="L2461" s="1471" t="s">
        <v>2129</v>
      </c>
      <c r="M2461" s="1472">
        <v>2.9256000000000001E-2</v>
      </c>
      <c r="N2461" s="1473">
        <v>1.6715054245911558</v>
      </c>
      <c r="O2461" s="1473"/>
    </row>
    <row r="2462" spans="11:15">
      <c r="K2462" s="1470">
        <v>44519</v>
      </c>
      <c r="L2462" s="1471" t="s">
        <v>2129</v>
      </c>
      <c r="M2462" s="1472">
        <v>2.9256000000000001E-2</v>
      </c>
      <c r="N2462" s="1473">
        <v>1.6719944402181743</v>
      </c>
      <c r="O2462" s="1473"/>
    </row>
    <row r="2463" spans="11:15">
      <c r="K2463" s="1470">
        <v>44520</v>
      </c>
      <c r="L2463" s="1471"/>
      <c r="M2463" s="1472">
        <v>0</v>
      </c>
      <c r="N2463" s="1473">
        <v>1.6719944402181743</v>
      </c>
      <c r="O2463" s="1473"/>
    </row>
    <row r="2464" spans="11:15">
      <c r="K2464" s="1470">
        <v>44521</v>
      </c>
      <c r="L2464" s="1471"/>
      <c r="M2464" s="1472">
        <v>0</v>
      </c>
      <c r="N2464" s="1473">
        <v>1.6719944402181743</v>
      </c>
      <c r="O2464" s="1473"/>
    </row>
    <row r="2465" spans="11:15">
      <c r="K2465" s="1470">
        <v>44522</v>
      </c>
      <c r="L2465" s="1471" t="s">
        <v>2129</v>
      </c>
      <c r="M2465" s="1472">
        <v>2.9256000000000001E-2</v>
      </c>
      <c r="N2465" s="1473">
        <v>1.6724835989116047</v>
      </c>
      <c r="O2465" s="1473"/>
    </row>
    <row r="2466" spans="11:15">
      <c r="K2466" s="1470">
        <v>44523</v>
      </c>
      <c r="L2466" s="1471" t="s">
        <v>2129</v>
      </c>
      <c r="M2466" s="1472">
        <v>2.9256000000000001E-2</v>
      </c>
      <c r="N2466" s="1473">
        <v>1.6729729007133025</v>
      </c>
      <c r="O2466" s="1473"/>
    </row>
    <row r="2467" spans="11:15">
      <c r="K2467" s="1470">
        <v>44524</v>
      </c>
      <c r="L2467" s="1471" t="s">
        <v>2129</v>
      </c>
      <c r="M2467" s="1472">
        <v>2.9256000000000001E-2</v>
      </c>
      <c r="N2467" s="1473">
        <v>1.6734623456651354</v>
      </c>
      <c r="O2467" s="1473"/>
    </row>
    <row r="2468" spans="11:15">
      <c r="K2468" s="1470">
        <v>44525</v>
      </c>
      <c r="L2468" s="1471" t="s">
        <v>2129</v>
      </c>
      <c r="M2468" s="1472">
        <v>2.9256000000000001E-2</v>
      </c>
      <c r="N2468" s="1473">
        <v>1.6739519338089834</v>
      </c>
      <c r="O2468" s="1473"/>
    </row>
    <row r="2469" spans="11:15">
      <c r="K2469" s="1470">
        <v>44526</v>
      </c>
      <c r="L2469" s="1471" t="s">
        <v>2129</v>
      </c>
      <c r="M2469" s="1472">
        <v>2.9256000000000001E-2</v>
      </c>
      <c r="N2469" s="1473">
        <v>1.6744416651867389</v>
      </c>
      <c r="O2469" s="1473"/>
    </row>
    <row r="2470" spans="11:15">
      <c r="K2470" s="1470">
        <v>44527</v>
      </c>
      <c r="L2470" s="1471"/>
      <c r="M2470" s="1472">
        <v>0</v>
      </c>
      <c r="N2470" s="1473">
        <v>1.6744416651867389</v>
      </c>
      <c r="O2470" s="1473"/>
    </row>
    <row r="2471" spans="11:15">
      <c r="K2471" s="1470">
        <v>44528</v>
      </c>
      <c r="L2471" s="1471"/>
      <c r="M2471" s="1472">
        <v>0</v>
      </c>
      <c r="N2471" s="1473">
        <v>1.6744416651867389</v>
      </c>
      <c r="O2471" s="1473"/>
    </row>
    <row r="2472" spans="11:15">
      <c r="K2472" s="1470">
        <v>44529</v>
      </c>
      <c r="L2472" s="1471" t="s">
        <v>2129</v>
      </c>
      <c r="M2472" s="1472">
        <v>2.9256000000000001E-2</v>
      </c>
      <c r="N2472" s="1473">
        <v>1.6749315398403062</v>
      </c>
      <c r="O2472" s="1473"/>
    </row>
    <row r="2473" spans="11:15">
      <c r="K2473" s="1470">
        <v>44530</v>
      </c>
      <c r="L2473" s="1471" t="s">
        <v>2129</v>
      </c>
      <c r="M2473" s="1472">
        <v>2.9256000000000001E-2</v>
      </c>
      <c r="N2473" s="1473">
        <v>1.6754215578116021</v>
      </c>
      <c r="O2473" s="1473"/>
    </row>
    <row r="2474" spans="11:15">
      <c r="K2474" s="1470">
        <v>44531</v>
      </c>
      <c r="L2474" s="1471" t="s">
        <v>2129</v>
      </c>
      <c r="M2474" s="1472">
        <v>2.9256000000000001E-2</v>
      </c>
      <c r="N2474" s="1473">
        <v>1.6759117191425557</v>
      </c>
      <c r="O2474" s="1473"/>
    </row>
    <row r="2475" spans="11:15">
      <c r="K2475" s="1470">
        <v>44532</v>
      </c>
      <c r="L2475" s="1471" t="s">
        <v>2129</v>
      </c>
      <c r="M2475" s="1472">
        <v>2.9256000000000001E-2</v>
      </c>
      <c r="N2475" s="1473">
        <v>1.6764020238751083</v>
      </c>
      <c r="O2475" s="1473"/>
    </row>
    <row r="2476" spans="11:15">
      <c r="K2476" s="1470">
        <v>44533</v>
      </c>
      <c r="L2476" s="1471" t="s">
        <v>2129</v>
      </c>
      <c r="M2476" s="1472">
        <v>2.9256000000000001E-2</v>
      </c>
      <c r="N2476" s="1473">
        <v>1.6768924720512133</v>
      </c>
      <c r="O2476" s="1473"/>
    </row>
    <row r="2477" spans="11:15">
      <c r="K2477" s="1470">
        <v>44534</v>
      </c>
      <c r="L2477" s="1471"/>
      <c r="M2477" s="1472">
        <v>0</v>
      </c>
      <c r="N2477" s="1473">
        <v>1.6768924720512133</v>
      </c>
      <c r="O2477" s="1473"/>
    </row>
    <row r="2478" spans="11:15">
      <c r="K2478" s="1470">
        <v>44535</v>
      </c>
      <c r="L2478" s="1471"/>
      <c r="M2478" s="1472">
        <v>0</v>
      </c>
      <c r="N2478" s="1473">
        <v>1.6768924720512133</v>
      </c>
      <c r="O2478" s="1473"/>
    </row>
    <row r="2479" spans="11:15">
      <c r="K2479" s="1470">
        <v>44536</v>
      </c>
      <c r="L2479" s="1471" t="s">
        <v>2129</v>
      </c>
      <c r="M2479" s="1472">
        <v>2.9256000000000001E-2</v>
      </c>
      <c r="N2479" s="1473">
        <v>1.6773830637128369</v>
      </c>
      <c r="O2479" s="1473"/>
    </row>
    <row r="2480" spans="11:15">
      <c r="K2480" s="1470">
        <v>44537</v>
      </c>
      <c r="L2480" s="1471" t="s">
        <v>2129</v>
      </c>
      <c r="M2480" s="1472">
        <v>2.9256000000000001E-2</v>
      </c>
      <c r="N2480" s="1473">
        <v>1.6778737989019568</v>
      </c>
      <c r="O2480" s="1473"/>
    </row>
    <row r="2481" spans="11:15">
      <c r="K2481" s="1470">
        <v>44538</v>
      </c>
      <c r="L2481" s="1471" t="s">
        <v>2129</v>
      </c>
      <c r="M2481" s="1472">
        <v>2.9256000000000001E-2</v>
      </c>
      <c r="N2481" s="1473">
        <v>1.6783646776605636</v>
      </c>
      <c r="O2481" s="1473"/>
    </row>
    <row r="2482" spans="11:15">
      <c r="K2482" s="1470">
        <v>44539</v>
      </c>
      <c r="L2482" s="1471" t="s">
        <v>2129</v>
      </c>
      <c r="M2482" s="1472">
        <v>3.4749000000000002E-2</v>
      </c>
      <c r="N2482" s="1473">
        <v>1.678947892602404</v>
      </c>
      <c r="O2482" s="1473"/>
    </row>
    <row r="2483" spans="11:15">
      <c r="K2483" s="1470">
        <v>44540</v>
      </c>
      <c r="L2483" s="1471" t="s">
        <v>2129</v>
      </c>
      <c r="M2483" s="1472">
        <v>3.4749000000000002E-2</v>
      </c>
      <c r="N2483" s="1473">
        <v>1.6795313102056044</v>
      </c>
      <c r="O2483" s="1473"/>
    </row>
    <row r="2484" spans="11:15">
      <c r="K2484" s="1470">
        <v>44541</v>
      </c>
      <c r="L2484" s="1471"/>
      <c r="M2484" s="1472">
        <v>0</v>
      </c>
      <c r="N2484" s="1473">
        <v>1.6795313102056044</v>
      </c>
      <c r="O2484" s="1473"/>
    </row>
    <row r="2485" spans="11:15">
      <c r="K2485" s="1470">
        <v>44542</v>
      </c>
      <c r="L2485" s="1471"/>
      <c r="M2485" s="1472">
        <v>0</v>
      </c>
      <c r="N2485" s="1473">
        <v>1.6795313102056044</v>
      </c>
      <c r="O2485" s="1473"/>
    </row>
    <row r="2486" spans="11:15">
      <c r="K2486" s="1470">
        <v>44543</v>
      </c>
      <c r="L2486" s="1471" t="s">
        <v>2129</v>
      </c>
      <c r="M2486" s="1472">
        <v>3.4749000000000002E-2</v>
      </c>
      <c r="N2486" s="1473">
        <v>1.6801149305405878</v>
      </c>
      <c r="O2486" s="1473"/>
    </row>
    <row r="2487" spans="11:15">
      <c r="K2487" s="1470">
        <v>44544</v>
      </c>
      <c r="L2487" s="1471" t="s">
        <v>2129</v>
      </c>
      <c r="M2487" s="1472">
        <v>3.4749000000000002E-2</v>
      </c>
      <c r="N2487" s="1473">
        <v>1.6806987536778013</v>
      </c>
      <c r="O2487" s="1473"/>
    </row>
    <row r="2488" spans="11:15">
      <c r="K2488" s="1470">
        <v>44545</v>
      </c>
      <c r="L2488" s="1471" t="s">
        <v>2129</v>
      </c>
      <c r="M2488" s="1472">
        <v>3.4749000000000002E-2</v>
      </c>
      <c r="N2488" s="1473">
        <v>1.6812827796877168</v>
      </c>
      <c r="O2488" s="1473"/>
    </row>
    <row r="2489" spans="11:15">
      <c r="K2489" s="1470">
        <v>44546</v>
      </c>
      <c r="L2489" s="1471" t="s">
        <v>2129</v>
      </c>
      <c r="M2489" s="1472">
        <v>3.4749000000000002E-2</v>
      </c>
      <c r="N2489" s="1473">
        <v>1.6818670086408305</v>
      </c>
      <c r="O2489" s="1473"/>
    </row>
    <row r="2490" spans="11:15">
      <c r="K2490" s="1470">
        <v>44547</v>
      </c>
      <c r="L2490" s="1471" t="s">
        <v>2129</v>
      </c>
      <c r="M2490" s="1472">
        <v>3.4749000000000002E-2</v>
      </c>
      <c r="N2490" s="1473">
        <v>1.6824514406076632</v>
      </c>
      <c r="O2490" s="1473"/>
    </row>
    <row r="2491" spans="11:15">
      <c r="K2491" s="1470">
        <v>44548</v>
      </c>
      <c r="L2491" s="1471"/>
      <c r="M2491" s="1472">
        <v>0</v>
      </c>
      <c r="N2491" s="1473">
        <v>1.6824514406076632</v>
      </c>
      <c r="O2491" s="1473"/>
    </row>
    <row r="2492" spans="11:15">
      <c r="K2492" s="1470">
        <v>44549</v>
      </c>
      <c r="L2492" s="1471"/>
      <c r="M2492" s="1472">
        <v>0</v>
      </c>
      <c r="N2492" s="1473">
        <v>1.6824514406076632</v>
      </c>
      <c r="O2492" s="1473"/>
    </row>
    <row r="2493" spans="11:15">
      <c r="K2493" s="1470">
        <v>44550</v>
      </c>
      <c r="L2493" s="1471" t="s">
        <v>2129</v>
      </c>
      <c r="M2493" s="1472">
        <v>3.4749000000000002E-2</v>
      </c>
      <c r="N2493" s="1473">
        <v>1.6830360756587599</v>
      </c>
      <c r="O2493" s="1473"/>
    </row>
    <row r="2494" spans="11:15">
      <c r="K2494" s="1470">
        <v>44551</v>
      </c>
      <c r="L2494" s="1471" t="s">
        <v>2129</v>
      </c>
      <c r="M2494" s="1472">
        <v>3.4749000000000002E-2</v>
      </c>
      <c r="N2494" s="1473">
        <v>1.6836209138646905</v>
      </c>
      <c r="O2494" s="1473"/>
    </row>
    <row r="2495" spans="11:15">
      <c r="K2495" s="1470">
        <v>44552</v>
      </c>
      <c r="L2495" s="1471" t="s">
        <v>2129</v>
      </c>
      <c r="M2495" s="1472">
        <v>3.4749000000000002E-2</v>
      </c>
      <c r="N2495" s="1473">
        <v>1.6842059552960493</v>
      </c>
      <c r="O2495" s="1473"/>
    </row>
    <row r="2496" spans="11:15">
      <c r="K2496" s="1470">
        <v>44553</v>
      </c>
      <c r="L2496" s="1471" t="s">
        <v>2129</v>
      </c>
      <c r="M2496" s="1472">
        <v>3.4749000000000002E-2</v>
      </c>
      <c r="N2496" s="1473">
        <v>1.6847912000234551</v>
      </c>
      <c r="O2496" s="1473"/>
    </row>
    <row r="2497" spans="11:15">
      <c r="K2497" s="1470">
        <v>44554</v>
      </c>
      <c r="L2497" s="1471" t="s">
        <v>2129</v>
      </c>
      <c r="M2497" s="1472">
        <v>3.4749000000000002E-2</v>
      </c>
      <c r="N2497" s="1473">
        <v>1.6853766481175512</v>
      </c>
      <c r="O2497" s="1473"/>
    </row>
    <row r="2498" spans="11:15">
      <c r="K2498" s="1470">
        <v>44555</v>
      </c>
      <c r="L2498" s="1471"/>
      <c r="M2498" s="1472">
        <v>0</v>
      </c>
      <c r="N2498" s="1473">
        <v>1.6853766481175512</v>
      </c>
      <c r="O2498" s="1473"/>
    </row>
    <row r="2499" spans="11:15">
      <c r="K2499" s="1470">
        <v>44556</v>
      </c>
      <c r="L2499" s="1471"/>
      <c r="M2499" s="1472">
        <v>0</v>
      </c>
      <c r="N2499" s="1473">
        <v>1.6853766481175512</v>
      </c>
      <c r="O2499" s="1473"/>
    </row>
    <row r="2500" spans="11:15">
      <c r="K2500" s="1470">
        <v>44557</v>
      </c>
      <c r="L2500" s="1471" t="s">
        <v>2129</v>
      </c>
      <c r="M2500" s="1472">
        <v>3.4749000000000002E-2</v>
      </c>
      <c r="N2500" s="1473">
        <v>1.6859622996490056</v>
      </c>
      <c r="O2500" s="1473"/>
    </row>
    <row r="2501" spans="11:15">
      <c r="K2501" s="1470">
        <v>44558</v>
      </c>
      <c r="L2501" s="1471" t="s">
        <v>2129</v>
      </c>
      <c r="M2501" s="1472">
        <v>3.4749000000000002E-2</v>
      </c>
      <c r="N2501" s="1473">
        <v>1.6865481546885106</v>
      </c>
      <c r="O2501" s="1473"/>
    </row>
    <row r="2502" spans="11:15">
      <c r="K2502" s="1470">
        <v>44559</v>
      </c>
      <c r="L2502" s="1471" t="s">
        <v>2129</v>
      </c>
      <c r="M2502" s="1472">
        <v>3.4749000000000002E-2</v>
      </c>
      <c r="N2502" s="1473">
        <v>1.6871342133067833</v>
      </c>
      <c r="O2502" s="1473"/>
    </row>
    <row r="2503" spans="11:15">
      <c r="K2503" s="1470">
        <v>44560</v>
      </c>
      <c r="L2503" s="1471" t="s">
        <v>2129</v>
      </c>
      <c r="M2503" s="1472">
        <v>3.4749000000000002E-2</v>
      </c>
      <c r="N2503" s="1473">
        <v>1.6877204755745652</v>
      </c>
      <c r="O2503" s="1473"/>
    </row>
    <row r="2504" spans="11:15">
      <c r="K2504" s="1470">
        <v>44561</v>
      </c>
      <c r="L2504" s="1471" t="s">
        <v>2129</v>
      </c>
      <c r="M2504" s="1472">
        <v>3.4749000000000002E-2</v>
      </c>
      <c r="N2504" s="1473">
        <v>1.6883069415626226</v>
      </c>
      <c r="O2504" s="1473"/>
    </row>
    <row r="2505" spans="11:15">
      <c r="K2505" s="1470">
        <v>44562</v>
      </c>
      <c r="L2505" s="1471"/>
      <c r="M2505" s="1472">
        <v>0</v>
      </c>
      <c r="N2505" s="1473">
        <v>1.6883069415626226</v>
      </c>
      <c r="O2505" s="1473"/>
    </row>
    <row r="2506" spans="11:15">
      <c r="K2506" s="1470">
        <v>44563</v>
      </c>
      <c r="L2506" s="1471"/>
      <c r="M2506" s="1472">
        <v>0</v>
      </c>
      <c r="N2506" s="1473">
        <v>1.6883069415626226</v>
      </c>
      <c r="O2506" s="1473"/>
    </row>
    <row r="2507" spans="11:15">
      <c r="K2507" s="1470">
        <v>44564</v>
      </c>
      <c r="L2507" s="1471" t="s">
        <v>2129</v>
      </c>
      <c r="M2507" s="1472">
        <v>3.4749000000000002E-2</v>
      </c>
      <c r="N2507" s="1473">
        <v>1.6888936113417463</v>
      </c>
      <c r="O2507" s="1473"/>
    </row>
    <row r="2508" spans="11:15">
      <c r="K2508" s="1470">
        <v>44565</v>
      </c>
      <c r="L2508" s="1471" t="s">
        <v>2129</v>
      </c>
      <c r="M2508" s="1472">
        <v>3.4749000000000002E-2</v>
      </c>
      <c r="N2508" s="1473">
        <v>1.6894804849827514</v>
      </c>
      <c r="O2508" s="1473"/>
    </row>
    <row r="2509" spans="11:15">
      <c r="K2509" s="1470">
        <v>44566</v>
      </c>
      <c r="L2509" s="1471" t="s">
        <v>2129</v>
      </c>
      <c r="M2509" s="1472">
        <v>3.4749000000000002E-2</v>
      </c>
      <c r="N2509" s="1473">
        <v>1.6900675625564781</v>
      </c>
      <c r="O2509" s="1473"/>
    </row>
    <row r="2510" spans="11:15">
      <c r="K2510" s="1470">
        <v>44567</v>
      </c>
      <c r="L2510" s="1471" t="s">
        <v>2129</v>
      </c>
      <c r="M2510" s="1472">
        <v>3.4749000000000002E-2</v>
      </c>
      <c r="N2510" s="1473">
        <v>1.6906548441337907</v>
      </c>
      <c r="O2510" s="1473"/>
    </row>
    <row r="2511" spans="11:15">
      <c r="K2511" s="1470">
        <v>44568</v>
      </c>
      <c r="L2511" s="1471" t="s">
        <v>2129</v>
      </c>
      <c r="M2511" s="1472">
        <v>3.4749000000000002E-2</v>
      </c>
      <c r="N2511" s="1473">
        <v>1.6912423297855788</v>
      </c>
      <c r="O2511" s="1473"/>
    </row>
    <row r="2512" spans="11:15">
      <c r="K2512" s="1470">
        <v>44569</v>
      </c>
      <c r="L2512" s="1471"/>
      <c r="M2512" s="1472">
        <v>0</v>
      </c>
      <c r="N2512" s="1473">
        <v>1.6912423297855788</v>
      </c>
      <c r="O2512" s="1473"/>
    </row>
    <row r="2513" spans="11:15">
      <c r="K2513" s="1470">
        <v>44570</v>
      </c>
      <c r="L2513" s="1471"/>
      <c r="M2513" s="1472">
        <v>0</v>
      </c>
      <c r="N2513" s="1473">
        <v>1.6912423297855788</v>
      </c>
      <c r="O2513" s="1473"/>
    </row>
    <row r="2514" spans="11:15">
      <c r="K2514" s="1470">
        <v>44571</v>
      </c>
      <c r="L2514" s="1471" t="s">
        <v>2129</v>
      </c>
      <c r="M2514" s="1472">
        <v>3.4749000000000002E-2</v>
      </c>
      <c r="N2514" s="1473">
        <v>1.691830019582756</v>
      </c>
      <c r="O2514" s="1473"/>
    </row>
    <row r="2515" spans="11:15">
      <c r="K2515" s="1470">
        <v>44572</v>
      </c>
      <c r="L2515" s="1471" t="s">
        <v>2129</v>
      </c>
      <c r="M2515" s="1472">
        <v>3.4749000000000002E-2</v>
      </c>
      <c r="N2515" s="1473">
        <v>1.6924179135962609</v>
      </c>
      <c r="O2515" s="1473"/>
    </row>
    <row r="2516" spans="11:15">
      <c r="K2516" s="1470">
        <v>44573</v>
      </c>
      <c r="L2516" s="1471" t="s">
        <v>2129</v>
      </c>
      <c r="M2516" s="1472">
        <v>3.4749000000000002E-2</v>
      </c>
      <c r="N2516" s="1473">
        <v>1.6930060118970565</v>
      </c>
      <c r="O2516" s="1473"/>
    </row>
    <row r="2517" spans="11:15">
      <c r="K2517" s="1470">
        <v>44574</v>
      </c>
      <c r="L2517" s="1471" t="s">
        <v>2129</v>
      </c>
      <c r="M2517" s="1472">
        <v>3.4749000000000002E-2</v>
      </c>
      <c r="N2517" s="1473">
        <v>1.6935943145561305</v>
      </c>
      <c r="O2517" s="1473"/>
    </row>
    <row r="2518" spans="11:15">
      <c r="K2518" s="1470">
        <v>44575</v>
      </c>
      <c r="L2518" s="1471" t="s">
        <v>2129</v>
      </c>
      <c r="M2518" s="1472">
        <v>3.4749000000000002E-2</v>
      </c>
      <c r="N2518" s="1473">
        <v>1.6941828216444956</v>
      </c>
      <c r="O2518" s="1473"/>
    </row>
    <row r="2519" spans="11:15">
      <c r="K2519" s="1470">
        <v>44576</v>
      </c>
      <c r="L2519" s="1471"/>
      <c r="M2519" s="1472">
        <v>0</v>
      </c>
      <c r="N2519" s="1473">
        <v>1.6941828216444956</v>
      </c>
      <c r="O2519" s="1473"/>
    </row>
    <row r="2520" spans="11:15">
      <c r="K2520" s="1470">
        <v>44577</v>
      </c>
      <c r="L2520" s="1471"/>
      <c r="M2520" s="1472">
        <v>0</v>
      </c>
      <c r="N2520" s="1473">
        <v>1.6941828216444956</v>
      </c>
      <c r="O2520" s="1473"/>
    </row>
    <row r="2521" spans="11:15">
      <c r="K2521" s="1470">
        <v>44578</v>
      </c>
      <c r="L2521" s="1471" t="s">
        <v>2129</v>
      </c>
      <c r="M2521" s="1472">
        <v>3.4749000000000002E-2</v>
      </c>
      <c r="N2521" s="1473">
        <v>1.694771533233189</v>
      </c>
      <c r="O2521" s="1473"/>
    </row>
    <row r="2522" spans="11:15">
      <c r="K2522" s="1470">
        <v>44579</v>
      </c>
      <c r="L2522" s="1471" t="s">
        <v>2129</v>
      </c>
      <c r="M2522" s="1472">
        <v>3.4749000000000002E-2</v>
      </c>
      <c r="N2522" s="1473">
        <v>1.6953604493932721</v>
      </c>
      <c r="O2522" s="1473"/>
    </row>
    <row r="2523" spans="11:15">
      <c r="K2523" s="1470">
        <v>44580</v>
      </c>
      <c r="L2523" s="1471" t="s">
        <v>2129</v>
      </c>
      <c r="M2523" s="1472">
        <v>3.4749000000000002E-2</v>
      </c>
      <c r="N2523" s="1473">
        <v>1.6959495701958318</v>
      </c>
      <c r="O2523" s="1473"/>
    </row>
    <row r="2524" spans="11:15">
      <c r="K2524" s="1470">
        <v>44581</v>
      </c>
      <c r="L2524" s="1471" t="s">
        <v>2129</v>
      </c>
      <c r="M2524" s="1472">
        <v>3.4749000000000002E-2</v>
      </c>
      <c r="N2524" s="1473">
        <v>1.6965388957119791</v>
      </c>
      <c r="O2524" s="1473"/>
    </row>
    <row r="2525" spans="11:15">
      <c r="K2525" s="1470">
        <v>44582</v>
      </c>
      <c r="L2525" s="1471" t="s">
        <v>2129</v>
      </c>
      <c r="M2525" s="1472">
        <v>3.4749000000000002E-2</v>
      </c>
      <c r="N2525" s="1473">
        <v>1.6971284260128501</v>
      </c>
      <c r="O2525" s="1473"/>
    </row>
    <row r="2526" spans="11:15">
      <c r="K2526" s="1470">
        <v>44583</v>
      </c>
      <c r="L2526" s="1471"/>
      <c r="M2526" s="1472">
        <v>0</v>
      </c>
      <c r="N2526" s="1473">
        <v>1.6971284260128501</v>
      </c>
      <c r="O2526" s="1473"/>
    </row>
    <row r="2527" spans="11:15">
      <c r="K2527" s="1470">
        <v>44584</v>
      </c>
      <c r="L2527" s="1471"/>
      <c r="M2527" s="1472">
        <v>0</v>
      </c>
      <c r="N2527" s="1473">
        <v>1.6971284260128501</v>
      </c>
      <c r="O2527" s="1473"/>
    </row>
    <row r="2528" spans="11:15">
      <c r="K2528" s="1470">
        <v>44585</v>
      </c>
      <c r="L2528" s="1471" t="s">
        <v>2129</v>
      </c>
      <c r="M2528" s="1472">
        <v>3.4749000000000002E-2</v>
      </c>
      <c r="N2528" s="1473">
        <v>1.6977181611696053</v>
      </c>
      <c r="O2528" s="1473"/>
    </row>
    <row r="2529" spans="11:15">
      <c r="K2529" s="1470">
        <v>44586</v>
      </c>
      <c r="L2529" s="1471" t="s">
        <v>2129</v>
      </c>
      <c r="M2529" s="1472">
        <v>3.4749000000000002E-2</v>
      </c>
      <c r="N2529" s="1473">
        <v>1.69830810125343</v>
      </c>
      <c r="O2529" s="1473"/>
    </row>
    <row r="2530" spans="11:15">
      <c r="K2530" s="1470">
        <v>44587</v>
      </c>
      <c r="L2530" s="1471" t="s">
        <v>2129</v>
      </c>
      <c r="M2530" s="1472">
        <v>3.4749000000000002E-2</v>
      </c>
      <c r="N2530" s="1473">
        <v>1.6988982463355347</v>
      </c>
      <c r="O2530" s="1473"/>
    </row>
    <row r="2531" spans="11:15">
      <c r="K2531" s="1470">
        <v>44588</v>
      </c>
      <c r="L2531" s="1471" t="s">
        <v>2129</v>
      </c>
      <c r="M2531" s="1472">
        <v>3.4749000000000002E-2</v>
      </c>
      <c r="N2531" s="1473">
        <v>1.6994885964871538</v>
      </c>
      <c r="O2531" s="1473"/>
    </row>
    <row r="2532" spans="11:15">
      <c r="K2532" s="1470">
        <v>44589</v>
      </c>
      <c r="L2532" s="1471" t="s">
        <v>2129</v>
      </c>
      <c r="M2532" s="1472">
        <v>3.4749000000000002E-2</v>
      </c>
      <c r="N2532" s="1473">
        <v>1.700079151779547</v>
      </c>
      <c r="O2532" s="1473"/>
    </row>
    <row r="2533" spans="11:15">
      <c r="K2533" s="1470">
        <v>44590</v>
      </c>
      <c r="L2533" s="1471"/>
      <c r="M2533" s="1472">
        <v>0</v>
      </c>
      <c r="N2533" s="1473">
        <v>1.700079151779547</v>
      </c>
      <c r="O2533" s="1473"/>
    </row>
    <row r="2534" spans="11:15">
      <c r="K2534" s="1470">
        <v>44591</v>
      </c>
      <c r="L2534" s="1471"/>
      <c r="M2534" s="1472">
        <v>0</v>
      </c>
      <c r="N2534" s="1473">
        <v>1.700079151779547</v>
      </c>
      <c r="O2534" s="1473"/>
    </row>
    <row r="2535" spans="11:15">
      <c r="K2535" s="1470">
        <v>44592</v>
      </c>
      <c r="L2535" s="1471" t="s">
        <v>2129</v>
      </c>
      <c r="M2535" s="1472">
        <v>3.4749000000000002E-2</v>
      </c>
      <c r="N2535" s="1473">
        <v>1.700669912283999</v>
      </c>
      <c r="O2535" s="1473"/>
    </row>
    <row r="2536" spans="11:15">
      <c r="K2536" s="1470">
        <v>44593</v>
      </c>
      <c r="L2536" s="1471" t="s">
        <v>2129</v>
      </c>
      <c r="M2536" s="1472">
        <v>3.4749000000000002E-2</v>
      </c>
      <c r="N2536" s="1473">
        <v>1.7012608780718186</v>
      </c>
      <c r="O2536" s="1473"/>
    </row>
    <row r="2537" spans="11:15">
      <c r="K2537" s="1470">
        <v>44594</v>
      </c>
      <c r="L2537" s="1471" t="s">
        <v>2129</v>
      </c>
      <c r="M2537" s="1472">
        <v>3.4749000000000002E-2</v>
      </c>
      <c r="N2537" s="1473">
        <v>1.7018520492143399</v>
      </c>
      <c r="O2537" s="1473"/>
    </row>
    <row r="2538" spans="11:15">
      <c r="K2538" s="1470">
        <v>44595</v>
      </c>
      <c r="L2538" s="1471" t="s">
        <v>2129</v>
      </c>
      <c r="M2538" s="1472">
        <v>4.0168000000000002E-2</v>
      </c>
      <c r="N2538" s="1473">
        <v>1.7025356491454682</v>
      </c>
      <c r="O2538" s="1473"/>
    </row>
    <row r="2539" spans="11:15">
      <c r="K2539" s="1470">
        <v>44596</v>
      </c>
      <c r="L2539" s="1471" t="s">
        <v>2129</v>
      </c>
      <c r="M2539" s="1472">
        <v>4.0168000000000002E-2</v>
      </c>
      <c r="N2539" s="1473">
        <v>1.7032195236650169</v>
      </c>
      <c r="O2539" s="1473"/>
    </row>
    <row r="2540" spans="11:15">
      <c r="K2540" s="1470">
        <v>44597</v>
      </c>
      <c r="L2540" s="1471"/>
      <c r="M2540" s="1472">
        <v>0</v>
      </c>
      <c r="N2540" s="1473">
        <v>1.7032195236650169</v>
      </c>
      <c r="O2540" s="1473"/>
    </row>
    <row r="2541" spans="11:15">
      <c r="K2541" s="1470">
        <v>44598</v>
      </c>
      <c r="L2541" s="1471"/>
      <c r="M2541" s="1472">
        <v>0</v>
      </c>
      <c r="N2541" s="1473">
        <v>1.7032195236650169</v>
      </c>
      <c r="O2541" s="1473"/>
    </row>
    <row r="2542" spans="11:15">
      <c r="K2542" s="1470">
        <v>44599</v>
      </c>
      <c r="L2542" s="1471" t="s">
        <v>2129</v>
      </c>
      <c r="M2542" s="1472">
        <v>4.0168000000000002E-2</v>
      </c>
      <c r="N2542" s="1473">
        <v>1.7039036728832826</v>
      </c>
      <c r="O2542" s="1473"/>
    </row>
    <row r="2543" spans="11:15">
      <c r="K2543" s="1470">
        <v>44600</v>
      </c>
      <c r="L2543" s="1471" t="s">
        <v>2129</v>
      </c>
      <c r="M2543" s="1472">
        <v>4.0168000000000002E-2</v>
      </c>
      <c r="N2543" s="1473">
        <v>1.7045880969106062</v>
      </c>
      <c r="O2543" s="1473"/>
    </row>
    <row r="2544" spans="11:15">
      <c r="K2544" s="1470">
        <v>44601</v>
      </c>
      <c r="L2544" s="1471" t="s">
        <v>2129</v>
      </c>
      <c r="M2544" s="1472">
        <v>4.0168000000000002E-2</v>
      </c>
      <c r="N2544" s="1473">
        <v>1.7052727958573732</v>
      </c>
      <c r="O2544" s="1473"/>
    </row>
    <row r="2545" spans="11:15">
      <c r="K2545" s="1470">
        <v>44602</v>
      </c>
      <c r="L2545" s="1471" t="s">
        <v>2129</v>
      </c>
      <c r="M2545" s="1472">
        <v>4.0168000000000002E-2</v>
      </c>
      <c r="N2545" s="1473">
        <v>1.7059577698340131</v>
      </c>
      <c r="O2545" s="1473"/>
    </row>
    <row r="2546" spans="11:15">
      <c r="K2546" s="1470">
        <v>44603</v>
      </c>
      <c r="L2546" s="1471" t="s">
        <v>2129</v>
      </c>
      <c r="M2546" s="1472">
        <v>4.0168000000000002E-2</v>
      </c>
      <c r="N2546" s="1473">
        <v>1.706643018951</v>
      </c>
      <c r="O2546" s="1473"/>
    </row>
    <row r="2547" spans="11:15">
      <c r="K2547" s="1470">
        <v>44604</v>
      </c>
      <c r="L2547" s="1471"/>
      <c r="M2547" s="1472">
        <v>0</v>
      </c>
      <c r="N2547" s="1473">
        <v>1.706643018951</v>
      </c>
      <c r="O2547" s="1473"/>
    </row>
    <row r="2548" spans="11:15">
      <c r="K2548" s="1470">
        <v>44605</v>
      </c>
      <c r="L2548" s="1471"/>
      <c r="M2548" s="1472">
        <v>0</v>
      </c>
      <c r="N2548" s="1473">
        <v>1.706643018951</v>
      </c>
      <c r="O2548" s="1473"/>
    </row>
    <row r="2549" spans="11:15">
      <c r="K2549" s="1470">
        <v>44606</v>
      </c>
      <c r="L2549" s="1471" t="s">
        <v>2129</v>
      </c>
      <c r="M2549" s="1472">
        <v>4.0168000000000002E-2</v>
      </c>
      <c r="N2549" s="1473">
        <v>1.7073285433188521</v>
      </c>
      <c r="O2549" s="1473"/>
    </row>
    <row r="2550" spans="11:15">
      <c r="K2550" s="1470">
        <v>44607</v>
      </c>
      <c r="L2550" s="1471" t="s">
        <v>2129</v>
      </c>
      <c r="M2550" s="1472">
        <v>4.0168000000000002E-2</v>
      </c>
      <c r="N2550" s="1473">
        <v>1.7080143430481323</v>
      </c>
      <c r="O2550" s="1473"/>
    </row>
    <row r="2551" spans="11:15">
      <c r="K2551" s="1470">
        <v>44608</v>
      </c>
      <c r="L2551" s="1471" t="s">
        <v>2129</v>
      </c>
      <c r="M2551" s="1472">
        <v>4.0168000000000002E-2</v>
      </c>
      <c r="N2551" s="1473">
        <v>1.7087004182494478</v>
      </c>
      <c r="O2551" s="1473"/>
    </row>
    <row r="2552" spans="11:15">
      <c r="K2552" s="1470">
        <v>44609</v>
      </c>
      <c r="L2552" s="1471" t="s">
        <v>2129</v>
      </c>
      <c r="M2552" s="1472">
        <v>4.0168000000000002E-2</v>
      </c>
      <c r="N2552" s="1473">
        <v>1.7093867690334503</v>
      </c>
      <c r="O2552" s="1473"/>
    </row>
    <row r="2553" spans="11:15">
      <c r="K2553" s="1470">
        <v>44610</v>
      </c>
      <c r="L2553" s="1471" t="s">
        <v>2129</v>
      </c>
      <c r="M2553" s="1472">
        <v>4.0168000000000002E-2</v>
      </c>
      <c r="N2553" s="1473">
        <v>1.7100733955108356</v>
      </c>
      <c r="O2553" s="1473"/>
    </row>
    <row r="2554" spans="11:15">
      <c r="K2554" s="1470">
        <v>44611</v>
      </c>
      <c r="L2554" s="1471"/>
      <c r="M2554" s="1472">
        <v>0</v>
      </c>
      <c r="N2554" s="1473">
        <v>1.7100733955108356</v>
      </c>
      <c r="O2554" s="1473"/>
    </row>
    <row r="2555" spans="11:15">
      <c r="K2555" s="1470">
        <v>44612</v>
      </c>
      <c r="L2555" s="1471"/>
      <c r="M2555" s="1472">
        <v>0</v>
      </c>
      <c r="N2555" s="1473">
        <v>1.7100733955108356</v>
      </c>
      <c r="O2555" s="1473"/>
    </row>
    <row r="2556" spans="11:15">
      <c r="K2556" s="1470">
        <v>44613</v>
      </c>
      <c r="L2556" s="1471" t="s">
        <v>2129</v>
      </c>
      <c r="M2556" s="1472">
        <v>4.0168000000000002E-2</v>
      </c>
      <c r="N2556" s="1473">
        <v>1.7107602977923444</v>
      </c>
      <c r="O2556" s="1473"/>
    </row>
    <row r="2557" spans="11:15">
      <c r="K2557" s="1470">
        <v>44614</v>
      </c>
      <c r="L2557" s="1471" t="s">
        <v>2129</v>
      </c>
      <c r="M2557" s="1472">
        <v>4.0168000000000002E-2</v>
      </c>
      <c r="N2557" s="1473">
        <v>1.7114474759887615</v>
      </c>
      <c r="O2557" s="1473"/>
    </row>
    <row r="2558" spans="11:15">
      <c r="K2558" s="1470">
        <v>44615</v>
      </c>
      <c r="L2558" s="1471" t="s">
        <v>2129</v>
      </c>
      <c r="M2558" s="1472">
        <v>4.0168000000000002E-2</v>
      </c>
      <c r="N2558" s="1473">
        <v>1.7121349302109166</v>
      </c>
      <c r="O2558" s="1473"/>
    </row>
    <row r="2559" spans="11:15">
      <c r="K2559" s="1470">
        <v>44616</v>
      </c>
      <c r="L2559" s="1471" t="s">
        <v>2129</v>
      </c>
      <c r="M2559" s="1472">
        <v>4.0168000000000002E-2</v>
      </c>
      <c r="N2559" s="1473">
        <v>1.7128226605696837</v>
      </c>
      <c r="O2559" s="1473"/>
    </row>
    <row r="2560" spans="11:15">
      <c r="K2560" s="1470">
        <v>44617</v>
      </c>
      <c r="L2560" s="1471" t="s">
        <v>2129</v>
      </c>
      <c r="M2560" s="1472">
        <v>4.0168000000000002E-2</v>
      </c>
      <c r="N2560" s="1473">
        <v>1.7135106671759812</v>
      </c>
      <c r="O2560" s="1473"/>
    </row>
    <row r="2561" spans="11:15">
      <c r="K2561" s="1470">
        <v>44618</v>
      </c>
      <c r="L2561" s="1471"/>
      <c r="M2561" s="1472">
        <v>0</v>
      </c>
      <c r="N2561" s="1473">
        <v>1.7135106671759812</v>
      </c>
      <c r="O2561" s="1473"/>
    </row>
    <row r="2562" spans="11:15">
      <c r="K2562" s="1470">
        <v>44619</v>
      </c>
      <c r="L2562" s="1471"/>
      <c r="M2562" s="1472">
        <v>0</v>
      </c>
      <c r="N2562" s="1473">
        <v>1.7135106671759812</v>
      </c>
      <c r="O2562" s="1473"/>
    </row>
    <row r="2563" spans="11:15">
      <c r="K2563" s="1470">
        <v>44620</v>
      </c>
      <c r="L2563" s="1471"/>
      <c r="M2563" s="1472">
        <v>0</v>
      </c>
      <c r="N2563" s="1473">
        <v>1.7135106671759812</v>
      </c>
      <c r="O2563" s="1473"/>
    </row>
    <row r="2564" spans="11:15">
      <c r="K2564" s="1470">
        <v>44621</v>
      </c>
      <c r="L2564" s="1471"/>
      <c r="M2564" s="1472">
        <v>0</v>
      </c>
      <c r="N2564" s="1473">
        <v>1.7135106671759812</v>
      </c>
      <c r="O2564" s="1473"/>
    </row>
    <row r="2565" spans="11:15">
      <c r="K2565" s="1470">
        <v>44622</v>
      </c>
      <c r="L2565" s="1471" t="s">
        <v>2129</v>
      </c>
      <c r="M2565" s="1472">
        <v>4.0168000000000002E-2</v>
      </c>
      <c r="N2565" s="1473">
        <v>1.7141989501407724</v>
      </c>
      <c r="O2565" s="1473"/>
    </row>
    <row r="2566" spans="11:15">
      <c r="K2566" s="1470">
        <v>44623</v>
      </c>
      <c r="L2566" s="1471" t="s">
        <v>2129</v>
      </c>
      <c r="M2566" s="1472">
        <v>4.0168000000000002E-2</v>
      </c>
      <c r="N2566" s="1473">
        <v>1.7148875095750649</v>
      </c>
      <c r="O2566" s="1473"/>
    </row>
    <row r="2567" spans="11:15">
      <c r="K2567" s="1470">
        <v>44624</v>
      </c>
      <c r="L2567" s="1471" t="s">
        <v>2129</v>
      </c>
      <c r="M2567" s="1472">
        <v>4.0168000000000002E-2</v>
      </c>
      <c r="N2567" s="1473">
        <v>1.7155763455899109</v>
      </c>
      <c r="O2567" s="1473"/>
    </row>
    <row r="2568" spans="11:15">
      <c r="K2568" s="1470">
        <v>44625</v>
      </c>
      <c r="L2568" s="1471"/>
      <c r="M2568" s="1472">
        <v>0</v>
      </c>
      <c r="N2568" s="1473">
        <v>1.7155763455899109</v>
      </c>
      <c r="O2568" s="1473"/>
    </row>
    <row r="2569" spans="11:15">
      <c r="K2569" s="1470">
        <v>44626</v>
      </c>
      <c r="L2569" s="1471"/>
      <c r="M2569" s="1472">
        <v>0</v>
      </c>
      <c r="N2569" s="1473">
        <v>1.7155763455899109</v>
      </c>
      <c r="O2569" s="1473"/>
    </row>
    <row r="2570" spans="11:15">
      <c r="K2570" s="1470">
        <v>44627</v>
      </c>
      <c r="L2570" s="1471" t="s">
        <v>2129</v>
      </c>
      <c r="M2570" s="1472">
        <v>4.0168000000000002E-2</v>
      </c>
      <c r="N2570" s="1473">
        <v>1.7162654582964074</v>
      </c>
      <c r="O2570" s="1473"/>
    </row>
    <row r="2571" spans="11:15">
      <c r="K2571" s="1470">
        <v>44628</v>
      </c>
      <c r="L2571" s="1471" t="s">
        <v>2129</v>
      </c>
      <c r="M2571" s="1472">
        <v>4.0168000000000002E-2</v>
      </c>
      <c r="N2571" s="1473">
        <v>1.716954847805696</v>
      </c>
      <c r="O2571" s="1473"/>
    </row>
    <row r="2572" spans="11:15">
      <c r="K2572" s="1470">
        <v>44629</v>
      </c>
      <c r="L2572" s="1471" t="s">
        <v>2129</v>
      </c>
      <c r="M2572" s="1472">
        <v>4.0168000000000002E-2</v>
      </c>
      <c r="N2572" s="1473">
        <v>1.7176445142289625</v>
      </c>
      <c r="O2572" s="1473"/>
    </row>
    <row r="2573" spans="11:15">
      <c r="K2573" s="1470">
        <v>44630</v>
      </c>
      <c r="L2573" s="1471" t="s">
        <v>2129</v>
      </c>
      <c r="M2573" s="1472">
        <v>4.0168000000000002E-2</v>
      </c>
      <c r="N2573" s="1473">
        <v>1.718334457677438</v>
      </c>
      <c r="O2573" s="1473"/>
    </row>
    <row r="2574" spans="11:15">
      <c r="K2574" s="1470">
        <v>44631</v>
      </c>
      <c r="L2574" s="1471" t="s">
        <v>2129</v>
      </c>
      <c r="M2574" s="1472">
        <v>4.0168000000000002E-2</v>
      </c>
      <c r="N2574" s="1473">
        <v>1.7190246782623977</v>
      </c>
      <c r="O2574" s="1473"/>
    </row>
    <row r="2575" spans="11:15">
      <c r="K2575" s="1470">
        <v>44632</v>
      </c>
      <c r="L2575" s="1471"/>
      <c r="M2575" s="1472">
        <v>0</v>
      </c>
      <c r="N2575" s="1473">
        <v>1.7190246782623977</v>
      </c>
      <c r="O2575" s="1473"/>
    </row>
    <row r="2576" spans="11:15">
      <c r="K2576" s="1470">
        <v>44633</v>
      </c>
      <c r="L2576" s="1471"/>
      <c r="M2576" s="1472">
        <v>0</v>
      </c>
      <c r="N2576" s="1473">
        <v>1.7190246782623977</v>
      </c>
      <c r="O2576" s="1473"/>
    </row>
    <row r="2577" spans="11:15">
      <c r="K2577" s="1470">
        <v>44634</v>
      </c>
      <c r="L2577" s="1471" t="s">
        <v>2129</v>
      </c>
      <c r="M2577" s="1472">
        <v>4.0168000000000002E-2</v>
      </c>
      <c r="N2577" s="1473">
        <v>1.7197151760951621</v>
      </c>
      <c r="O2577" s="1473"/>
    </row>
    <row r="2578" spans="11:15">
      <c r="K2578" s="1470">
        <v>44635</v>
      </c>
      <c r="L2578" s="1471" t="s">
        <v>2129</v>
      </c>
      <c r="M2578" s="1472">
        <v>4.0168000000000002E-2</v>
      </c>
      <c r="N2578" s="1473">
        <v>1.7204059512870959</v>
      </c>
      <c r="O2578" s="1473"/>
    </row>
    <row r="2579" spans="11:15">
      <c r="K2579" s="1470">
        <v>44636</v>
      </c>
      <c r="L2579" s="1471" t="s">
        <v>2129</v>
      </c>
      <c r="M2579" s="1472">
        <v>4.0168000000000002E-2</v>
      </c>
      <c r="N2579" s="1473">
        <v>1.721097003949609</v>
      </c>
      <c r="O2579" s="1473"/>
    </row>
    <row r="2580" spans="11:15">
      <c r="K2580" s="1470">
        <v>44637</v>
      </c>
      <c r="L2580" s="1471" t="s">
        <v>2129</v>
      </c>
      <c r="M2580" s="1472">
        <v>4.3739E-2</v>
      </c>
      <c r="N2580" s="1473">
        <v>1.7218497945681666</v>
      </c>
      <c r="O2580" s="1473"/>
    </row>
    <row r="2581" spans="11:15">
      <c r="K2581" s="1470">
        <v>44638</v>
      </c>
      <c r="L2581" s="1471" t="s">
        <v>2129</v>
      </c>
      <c r="M2581" s="1472">
        <v>4.3739E-2</v>
      </c>
      <c r="N2581" s="1473">
        <v>1.7226029144498129</v>
      </c>
      <c r="O2581" s="1473"/>
    </row>
    <row r="2582" spans="11:15">
      <c r="K2582" s="1470">
        <v>44639</v>
      </c>
      <c r="L2582" s="1471"/>
      <c r="M2582" s="1472">
        <v>0</v>
      </c>
      <c r="N2582" s="1473">
        <v>1.7226029144498129</v>
      </c>
      <c r="O2582" s="1473"/>
    </row>
    <row r="2583" spans="11:15">
      <c r="K2583" s="1470">
        <v>44640</v>
      </c>
      <c r="L2583" s="1471"/>
      <c r="M2583" s="1472">
        <v>0</v>
      </c>
      <c r="N2583" s="1473">
        <v>1.7226029144498129</v>
      </c>
      <c r="O2583" s="1473"/>
    </row>
    <row r="2584" spans="11:15">
      <c r="K2584" s="1470">
        <v>44641</v>
      </c>
      <c r="L2584" s="1471" t="s">
        <v>2129</v>
      </c>
      <c r="M2584" s="1472">
        <v>4.3739E-2</v>
      </c>
      <c r="N2584" s="1473">
        <v>1.7233563637385643</v>
      </c>
      <c r="O2584" s="1473"/>
    </row>
    <row r="2585" spans="11:15">
      <c r="K2585" s="1470">
        <v>44642</v>
      </c>
      <c r="L2585" s="1471" t="s">
        <v>2129</v>
      </c>
      <c r="M2585" s="1472">
        <v>4.3739E-2</v>
      </c>
      <c r="N2585" s="1473">
        <v>1.7241101425785001</v>
      </c>
      <c r="O2585" s="1473"/>
    </row>
    <row r="2586" spans="11:15">
      <c r="K2586" s="1470">
        <v>44643</v>
      </c>
      <c r="L2586" s="1471" t="s">
        <v>2129</v>
      </c>
      <c r="M2586" s="1472">
        <v>4.3739E-2</v>
      </c>
      <c r="N2586" s="1473">
        <v>1.7248642511137626</v>
      </c>
      <c r="O2586" s="1473"/>
    </row>
    <row r="2587" spans="11:15">
      <c r="K2587" s="1470">
        <v>44644</v>
      </c>
      <c r="L2587" s="1471" t="s">
        <v>2129</v>
      </c>
      <c r="M2587" s="1472">
        <v>4.3739E-2</v>
      </c>
      <c r="N2587" s="1473">
        <v>1.7256186894885575</v>
      </c>
      <c r="O2587" s="1473"/>
    </row>
    <row r="2588" spans="11:15">
      <c r="K2588" s="1470">
        <v>44645</v>
      </c>
      <c r="L2588" s="1471" t="s">
        <v>2129</v>
      </c>
      <c r="M2588" s="1472">
        <v>4.3739E-2</v>
      </c>
      <c r="N2588" s="1473">
        <v>1.726373457847153</v>
      </c>
      <c r="O2588" s="1473"/>
    </row>
    <row r="2589" spans="11:15">
      <c r="K2589" s="1470">
        <v>44646</v>
      </c>
      <c r="L2589" s="1471"/>
      <c r="M2589" s="1472">
        <v>0</v>
      </c>
      <c r="N2589" s="1473">
        <v>1.726373457847153</v>
      </c>
      <c r="O2589" s="1473"/>
    </row>
    <row r="2590" spans="11:15">
      <c r="K2590" s="1470">
        <v>44647</v>
      </c>
      <c r="L2590" s="1471"/>
      <c r="M2590" s="1472">
        <v>0</v>
      </c>
      <c r="N2590" s="1473">
        <v>1.726373457847153</v>
      </c>
      <c r="O2590" s="1473"/>
    </row>
    <row r="2591" spans="11:15">
      <c r="K2591" s="1470">
        <v>44648</v>
      </c>
      <c r="L2591" s="1471" t="s">
        <v>2129</v>
      </c>
      <c r="M2591" s="1472">
        <v>4.3739E-2</v>
      </c>
      <c r="N2591" s="1473">
        <v>1.727128556333881</v>
      </c>
      <c r="O2591" s="1473"/>
    </row>
    <row r="2592" spans="11:15">
      <c r="K2592" s="1470">
        <v>44649</v>
      </c>
      <c r="L2592" s="1471" t="s">
        <v>2129</v>
      </c>
      <c r="M2592" s="1472">
        <v>4.3739E-2</v>
      </c>
      <c r="N2592" s="1473">
        <v>1.727883985093136</v>
      </c>
      <c r="O2592" s="1473"/>
    </row>
    <row r="2593" spans="11:15">
      <c r="K2593" s="1470">
        <v>44650</v>
      </c>
      <c r="L2593" s="1471" t="s">
        <v>2129</v>
      </c>
      <c r="M2593" s="1472">
        <v>4.3739E-2</v>
      </c>
      <c r="N2593" s="1473">
        <v>1.7286397442693762</v>
      </c>
      <c r="O2593" s="1473"/>
    </row>
    <row r="2594" spans="11:15">
      <c r="K2594" s="1470">
        <v>44651</v>
      </c>
      <c r="L2594" s="1471" t="s">
        <v>2129</v>
      </c>
      <c r="M2594" s="1472">
        <v>4.3739E-2</v>
      </c>
      <c r="N2594" s="1473">
        <v>1.7293958340071223</v>
      </c>
      <c r="O2594" s="1473"/>
    </row>
    <row r="2595" spans="11:15">
      <c r="K2595" s="1470">
        <v>44652</v>
      </c>
      <c r="L2595" s="1471" t="s">
        <v>2129</v>
      </c>
      <c r="M2595" s="1472">
        <v>4.3739E-2</v>
      </c>
      <c r="N2595" s="1473">
        <v>1.7301522544509589</v>
      </c>
      <c r="O2595" s="1473"/>
    </row>
    <row r="2596" spans="11:15">
      <c r="K2596" s="1470">
        <v>44653</v>
      </c>
      <c r="L2596" s="1471"/>
      <c r="M2596" s="1472">
        <v>0</v>
      </c>
      <c r="N2596" s="1473">
        <v>1.7301522544509589</v>
      </c>
      <c r="O2596" s="1473"/>
    </row>
    <row r="2597" spans="11:15">
      <c r="K2597" s="1470">
        <v>44654</v>
      </c>
      <c r="L2597" s="1471"/>
      <c r="M2597" s="1472">
        <v>0</v>
      </c>
      <c r="N2597" s="1473">
        <v>1.7301522544509589</v>
      </c>
      <c r="O2597" s="1473"/>
    </row>
    <row r="2598" spans="11:15">
      <c r="K2598" s="1470">
        <v>44655</v>
      </c>
      <c r="L2598" s="1471" t="s">
        <v>2129</v>
      </c>
      <c r="M2598" s="1472">
        <v>4.3739E-2</v>
      </c>
      <c r="N2598" s="1473">
        <v>1.7309090057455334</v>
      </c>
      <c r="O2598" s="1473"/>
    </row>
    <row r="2599" spans="11:15">
      <c r="K2599" s="1470">
        <v>44656</v>
      </c>
      <c r="L2599" s="1471" t="s">
        <v>2129</v>
      </c>
      <c r="M2599" s="1472">
        <v>4.3739E-2</v>
      </c>
      <c r="N2599" s="1473">
        <v>1.7316660880355565</v>
      </c>
      <c r="O2599" s="1473"/>
    </row>
    <row r="2600" spans="11:15">
      <c r="K2600" s="1470">
        <v>44657</v>
      </c>
      <c r="L2600" s="1471" t="s">
        <v>2129</v>
      </c>
      <c r="M2600" s="1472">
        <v>4.3739E-2</v>
      </c>
      <c r="N2600" s="1473">
        <v>1.7324235014658025</v>
      </c>
      <c r="O2600" s="1473"/>
    </row>
    <row r="2601" spans="11:15">
      <c r="K2601" s="1470">
        <v>44658</v>
      </c>
      <c r="L2601" s="1471" t="s">
        <v>2129</v>
      </c>
      <c r="M2601" s="1472">
        <v>4.3739E-2</v>
      </c>
      <c r="N2601" s="1473">
        <v>1.7331812461811087</v>
      </c>
      <c r="O2601" s="1473"/>
    </row>
    <row r="2602" spans="11:15">
      <c r="K2602" s="1470">
        <v>44659</v>
      </c>
      <c r="L2602" s="1471" t="s">
        <v>2129</v>
      </c>
      <c r="M2602" s="1472">
        <v>4.3739E-2</v>
      </c>
      <c r="N2602" s="1473">
        <v>1.7339393223263759</v>
      </c>
      <c r="O2602" s="1473"/>
    </row>
    <row r="2603" spans="11:15">
      <c r="K2603" s="1470">
        <v>44660</v>
      </c>
      <c r="L2603" s="1471"/>
      <c r="M2603" s="1472">
        <v>0</v>
      </c>
      <c r="N2603" s="1473">
        <v>1.7339393223263759</v>
      </c>
      <c r="O2603" s="1473"/>
    </row>
    <row r="2604" spans="11:15">
      <c r="K2604" s="1470">
        <v>44661</v>
      </c>
      <c r="L2604" s="1471"/>
      <c r="M2604" s="1472">
        <v>0</v>
      </c>
      <c r="N2604" s="1473">
        <v>1.7339393223263759</v>
      </c>
      <c r="O2604" s="1473"/>
    </row>
    <row r="2605" spans="11:15">
      <c r="K2605" s="1470">
        <v>44662</v>
      </c>
      <c r="L2605" s="1471" t="s">
        <v>2129</v>
      </c>
      <c r="M2605" s="1472">
        <v>4.3739E-2</v>
      </c>
      <c r="N2605" s="1473">
        <v>1.7346977300465685</v>
      </c>
      <c r="O2605" s="1473"/>
    </row>
    <row r="2606" spans="11:15">
      <c r="K2606" s="1470">
        <v>44663</v>
      </c>
      <c r="L2606" s="1471" t="s">
        <v>2129</v>
      </c>
      <c r="M2606" s="1472">
        <v>4.3739E-2</v>
      </c>
      <c r="N2606" s="1473">
        <v>1.7354564694867136</v>
      </c>
      <c r="O2606" s="1473"/>
    </row>
    <row r="2607" spans="11:15">
      <c r="K2607" s="1470">
        <v>44664</v>
      </c>
      <c r="L2607" s="1471" t="s">
        <v>2129</v>
      </c>
      <c r="M2607" s="1472">
        <v>4.3739E-2</v>
      </c>
      <c r="N2607" s="1473">
        <v>1.7362155407919027</v>
      </c>
      <c r="O2607" s="1473"/>
    </row>
    <row r="2608" spans="11:15">
      <c r="K2608" s="1470">
        <v>44665</v>
      </c>
      <c r="L2608" s="1471" t="s">
        <v>2129</v>
      </c>
      <c r="M2608" s="1472">
        <v>4.3739E-2</v>
      </c>
      <c r="N2608" s="1473">
        <v>1.7369749441072897</v>
      </c>
      <c r="O2608" s="1473"/>
    </row>
    <row r="2609" spans="11:15">
      <c r="K2609" s="1470">
        <v>44666</v>
      </c>
      <c r="L2609" s="1471"/>
      <c r="M2609" s="1472">
        <v>0</v>
      </c>
      <c r="N2609" s="1473">
        <v>1.7369749441072897</v>
      </c>
      <c r="O2609" s="1473"/>
    </row>
    <row r="2610" spans="11:15">
      <c r="K2610" s="1470">
        <v>44667</v>
      </c>
      <c r="L2610" s="1471"/>
      <c r="M2610" s="1472">
        <v>0</v>
      </c>
      <c r="N2610" s="1473">
        <v>1.7369749441072897</v>
      </c>
      <c r="O2610" s="1473"/>
    </row>
    <row r="2611" spans="11:15">
      <c r="K2611" s="1470">
        <v>44668</v>
      </c>
      <c r="L2611" s="1471"/>
      <c r="M2611" s="1472">
        <v>0</v>
      </c>
      <c r="N2611" s="1473">
        <v>1.7369749441072897</v>
      </c>
      <c r="O2611" s="1473"/>
    </row>
    <row r="2612" spans="11:15">
      <c r="K2612" s="1470">
        <v>44669</v>
      </c>
      <c r="L2612" s="1471" t="s">
        <v>2129</v>
      </c>
      <c r="M2612" s="1472">
        <v>4.3739E-2</v>
      </c>
      <c r="N2612" s="1473">
        <v>1.737734679578093</v>
      </c>
      <c r="O2612" s="1473"/>
    </row>
    <row r="2613" spans="11:15">
      <c r="K2613" s="1470">
        <v>44670</v>
      </c>
      <c r="L2613" s="1471" t="s">
        <v>2129</v>
      </c>
      <c r="M2613" s="1472">
        <v>4.3739E-2</v>
      </c>
      <c r="N2613" s="1473">
        <v>1.7384947473495937</v>
      </c>
      <c r="O2613" s="1473"/>
    </row>
    <row r="2614" spans="11:15">
      <c r="K2614" s="1470">
        <v>44671</v>
      </c>
      <c r="L2614" s="1471" t="s">
        <v>2129</v>
      </c>
      <c r="M2614" s="1472">
        <v>4.3739E-2</v>
      </c>
      <c r="N2614" s="1473">
        <v>1.7392551475671372</v>
      </c>
      <c r="O2614" s="1473"/>
    </row>
    <row r="2615" spans="11:15">
      <c r="K2615" s="1470">
        <v>44672</v>
      </c>
      <c r="L2615" s="1471"/>
      <c r="M2615" s="1472">
        <v>0</v>
      </c>
      <c r="N2615" s="1473">
        <v>1.7392551475671372</v>
      </c>
      <c r="O2615" s="1473"/>
    </row>
    <row r="2616" spans="11:15">
      <c r="K2616" s="1470">
        <v>44673</v>
      </c>
      <c r="L2616" s="1471" t="s">
        <v>2129</v>
      </c>
      <c r="M2616" s="1472">
        <v>4.3739E-2</v>
      </c>
      <c r="N2616" s="1473">
        <v>1.7400158803761316</v>
      </c>
      <c r="O2616" s="1473"/>
    </row>
    <row r="2617" spans="11:15">
      <c r="K2617" s="1470">
        <v>44674</v>
      </c>
      <c r="L2617" s="1471"/>
      <c r="M2617" s="1472">
        <v>0</v>
      </c>
      <c r="N2617" s="1473">
        <v>1.7400158803761316</v>
      </c>
      <c r="O2617" s="1473"/>
    </row>
    <row r="2618" spans="11:15">
      <c r="K2618" s="1470">
        <v>44675</v>
      </c>
      <c r="L2618" s="1471"/>
      <c r="M2618" s="1472">
        <v>0</v>
      </c>
      <c r="N2618" s="1473">
        <v>1.7400158803761316</v>
      </c>
      <c r="O2618" s="1473"/>
    </row>
    <row r="2619" spans="11:15">
      <c r="K2619" s="1470">
        <v>44676</v>
      </c>
      <c r="L2619" s="1471" t="s">
        <v>2129</v>
      </c>
      <c r="M2619" s="1472">
        <v>4.3739E-2</v>
      </c>
      <c r="N2619" s="1473">
        <v>1.7407769459220495</v>
      </c>
      <c r="O2619" s="1473"/>
    </row>
    <row r="2620" spans="11:15">
      <c r="K2620" s="1470">
        <v>44677</v>
      </c>
      <c r="L2620" s="1471" t="s">
        <v>2129</v>
      </c>
      <c r="M2620" s="1472">
        <v>4.3739E-2</v>
      </c>
      <c r="N2620" s="1473">
        <v>1.7415383443504264</v>
      </c>
      <c r="O2620" s="1473"/>
    </row>
    <row r="2621" spans="11:15">
      <c r="K2621" s="1470">
        <v>44678</v>
      </c>
      <c r="L2621" s="1471" t="s">
        <v>2129</v>
      </c>
      <c r="M2621" s="1472">
        <v>4.3739E-2</v>
      </c>
      <c r="N2621" s="1473">
        <v>1.7423000758068621</v>
      </c>
      <c r="O2621" s="1473"/>
    </row>
    <row r="2622" spans="11:15">
      <c r="K2622" s="1470">
        <v>44679</v>
      </c>
      <c r="L2622" s="1471" t="s">
        <v>2129</v>
      </c>
      <c r="M2622" s="1472">
        <v>4.3739E-2</v>
      </c>
      <c r="N2622" s="1473">
        <v>1.7430621404370195</v>
      </c>
      <c r="O2622" s="1473"/>
    </row>
    <row r="2623" spans="11:15">
      <c r="K2623" s="1470">
        <v>44680</v>
      </c>
      <c r="L2623" s="1471" t="s">
        <v>2129</v>
      </c>
      <c r="M2623" s="1472">
        <v>4.3739E-2</v>
      </c>
      <c r="N2623" s="1473">
        <v>1.7438245383866253</v>
      </c>
      <c r="O2623" s="1473"/>
    </row>
    <row r="2624" spans="11:15">
      <c r="K2624" s="1470">
        <v>44681</v>
      </c>
      <c r="L2624" s="1471"/>
      <c r="M2624" s="1472">
        <v>0</v>
      </c>
      <c r="N2624" s="1473">
        <v>1.7438245383866253</v>
      </c>
      <c r="O2624" s="1473"/>
    </row>
    <row r="2625" spans="11:15">
      <c r="K2625" s="1470">
        <v>44682</v>
      </c>
      <c r="L2625" s="1471"/>
      <c r="M2625" s="1472">
        <v>0</v>
      </c>
      <c r="N2625" s="1473">
        <v>1.7438245383866253</v>
      </c>
      <c r="O2625" s="1473"/>
    </row>
    <row r="2626" spans="11:15">
      <c r="K2626" s="1470">
        <v>44683</v>
      </c>
      <c r="L2626" s="1471" t="s">
        <v>2129</v>
      </c>
      <c r="M2626" s="1472">
        <v>4.3739E-2</v>
      </c>
      <c r="N2626" s="1473">
        <v>1.7445872698014704</v>
      </c>
      <c r="O2626" s="1473"/>
    </row>
    <row r="2627" spans="11:15">
      <c r="K2627" s="1470">
        <v>44684</v>
      </c>
      <c r="L2627" s="1471" t="s">
        <v>2129</v>
      </c>
      <c r="M2627" s="1472">
        <v>4.3739E-2</v>
      </c>
      <c r="N2627" s="1473">
        <v>1.7453503348274091</v>
      </c>
      <c r="O2627" s="1473"/>
    </row>
    <row r="2628" spans="11:15">
      <c r="K2628" s="1470">
        <v>44685</v>
      </c>
      <c r="L2628" s="1471" t="s">
        <v>2129</v>
      </c>
      <c r="M2628" s="1472">
        <v>4.3739E-2</v>
      </c>
      <c r="N2628" s="1473">
        <v>1.7461137336103594</v>
      </c>
      <c r="O2628" s="1473"/>
    </row>
    <row r="2629" spans="11:15">
      <c r="K2629" s="1470">
        <v>44686</v>
      </c>
      <c r="L2629" s="1471" t="s">
        <v>2129</v>
      </c>
      <c r="M2629" s="1472">
        <v>4.7279000000000002E-2</v>
      </c>
      <c r="N2629" s="1473">
        <v>1.7469392787224729</v>
      </c>
      <c r="O2629" s="1473"/>
    </row>
    <row r="2630" spans="11:15">
      <c r="K2630" s="1470">
        <v>44687</v>
      </c>
      <c r="L2630" s="1471" t="s">
        <v>2129</v>
      </c>
      <c r="M2630" s="1472">
        <v>4.7279000000000002E-2</v>
      </c>
      <c r="N2630" s="1473">
        <v>1.7477652141440598</v>
      </c>
      <c r="O2630" s="1473"/>
    </row>
    <row r="2631" spans="11:15">
      <c r="K2631" s="1470">
        <v>44688</v>
      </c>
      <c r="L2631" s="1471"/>
      <c r="M2631" s="1472">
        <v>0</v>
      </c>
      <c r="N2631" s="1473">
        <v>1.7477652141440598</v>
      </c>
      <c r="O2631" s="1473"/>
    </row>
    <row r="2632" spans="11:15">
      <c r="K2632" s="1470">
        <v>44689</v>
      </c>
      <c r="L2632" s="1471"/>
      <c r="M2632" s="1472">
        <v>0</v>
      </c>
      <c r="N2632" s="1473">
        <v>1.7477652141440598</v>
      </c>
      <c r="O2632" s="1473"/>
    </row>
    <row r="2633" spans="11:15">
      <c r="K2633" s="1470">
        <v>44690</v>
      </c>
      <c r="L2633" s="1471" t="s">
        <v>2129</v>
      </c>
      <c r="M2633" s="1472">
        <v>4.7279000000000002E-2</v>
      </c>
      <c r="N2633" s="1473">
        <v>1.7485915400596548</v>
      </c>
      <c r="O2633" s="1473"/>
    </row>
    <row r="2634" spans="11:15">
      <c r="K2634" s="1470">
        <v>44691</v>
      </c>
      <c r="L2634" s="1471" t="s">
        <v>2129</v>
      </c>
      <c r="M2634" s="1472">
        <v>4.7279000000000002E-2</v>
      </c>
      <c r="N2634" s="1473">
        <v>1.7494182566538794</v>
      </c>
      <c r="O2634" s="1473"/>
    </row>
    <row r="2635" spans="11:15">
      <c r="K2635" s="1470">
        <v>44692</v>
      </c>
      <c r="L2635" s="1471" t="s">
        <v>2129</v>
      </c>
      <c r="M2635" s="1472">
        <v>4.7279000000000002E-2</v>
      </c>
      <c r="N2635" s="1473">
        <v>1.7502453641114426</v>
      </c>
      <c r="O2635" s="1473"/>
    </row>
    <row r="2636" spans="11:15">
      <c r="K2636" s="1470">
        <v>44693</v>
      </c>
      <c r="L2636" s="1471" t="s">
        <v>2129</v>
      </c>
      <c r="M2636" s="1472">
        <v>4.7279000000000002E-2</v>
      </c>
      <c r="N2636" s="1473">
        <v>1.7510728626171406</v>
      </c>
      <c r="O2636" s="1473"/>
    </row>
    <row r="2637" spans="11:15">
      <c r="K2637" s="1470">
        <v>44694</v>
      </c>
      <c r="L2637" s="1471" t="s">
        <v>2129</v>
      </c>
      <c r="M2637" s="1472">
        <v>4.7279000000000002E-2</v>
      </c>
      <c r="N2637" s="1473">
        <v>1.7519007523558572</v>
      </c>
      <c r="O2637" s="1473"/>
    </row>
    <row r="2638" spans="11:15">
      <c r="K2638" s="1470">
        <v>44695</v>
      </c>
      <c r="L2638" s="1471"/>
      <c r="M2638" s="1472">
        <v>0</v>
      </c>
      <c r="N2638" s="1473">
        <v>1.7519007523558572</v>
      </c>
      <c r="O2638" s="1473"/>
    </row>
    <row r="2639" spans="11:15">
      <c r="K2639" s="1470">
        <v>44696</v>
      </c>
      <c r="L2639" s="1471"/>
      <c r="M2639" s="1472">
        <v>0</v>
      </c>
      <c r="N2639" s="1473">
        <v>1.7519007523558572</v>
      </c>
      <c r="O2639" s="1473"/>
    </row>
    <row r="2640" spans="11:15">
      <c r="K2640" s="1470">
        <v>44697</v>
      </c>
      <c r="L2640" s="1471" t="s">
        <v>2129</v>
      </c>
      <c r="M2640" s="1472">
        <v>4.7279000000000002E-2</v>
      </c>
      <c r="N2640" s="1473">
        <v>1.7527290335125634</v>
      </c>
      <c r="O2640" s="1473"/>
    </row>
    <row r="2641" spans="11:15">
      <c r="K2641" s="1470">
        <v>44698</v>
      </c>
      <c r="L2641" s="1471" t="s">
        <v>2129</v>
      </c>
      <c r="M2641" s="1472">
        <v>4.7279000000000002E-2</v>
      </c>
      <c r="N2641" s="1473">
        <v>1.7535577062723176</v>
      </c>
      <c r="O2641" s="1473"/>
    </row>
    <row r="2642" spans="11:15">
      <c r="K2642" s="1470">
        <v>44699</v>
      </c>
      <c r="L2642" s="1471" t="s">
        <v>2129</v>
      </c>
      <c r="M2642" s="1472">
        <v>4.7279000000000002E-2</v>
      </c>
      <c r="N2642" s="1473">
        <v>1.7543867708202658</v>
      </c>
      <c r="O2642" s="1473"/>
    </row>
    <row r="2643" spans="11:15">
      <c r="K2643" s="1470">
        <v>44700</v>
      </c>
      <c r="L2643" s="1471" t="s">
        <v>2129</v>
      </c>
      <c r="M2643" s="1472">
        <v>4.7279000000000002E-2</v>
      </c>
      <c r="N2643" s="1473">
        <v>1.7552162273416418</v>
      </c>
      <c r="O2643" s="1473"/>
    </row>
    <row r="2644" spans="11:15">
      <c r="K2644" s="1470">
        <v>44701</v>
      </c>
      <c r="L2644" s="1471" t="s">
        <v>2129</v>
      </c>
      <c r="M2644" s="1472">
        <v>4.7279000000000002E-2</v>
      </c>
      <c r="N2644" s="1473">
        <v>1.7560460760217664</v>
      </c>
      <c r="O2644" s="1473"/>
    </row>
    <row r="2645" spans="11:15">
      <c r="K2645" s="1470">
        <v>44702</v>
      </c>
      <c r="L2645" s="1471"/>
      <c r="M2645" s="1472">
        <v>0</v>
      </c>
      <c r="N2645" s="1473">
        <v>1.7560460760217664</v>
      </c>
      <c r="O2645" s="1473"/>
    </row>
    <row r="2646" spans="11:15">
      <c r="K2646" s="1470">
        <v>44703</v>
      </c>
      <c r="L2646" s="1471"/>
      <c r="M2646" s="1472">
        <v>0</v>
      </c>
      <c r="N2646" s="1473">
        <v>1.7560460760217664</v>
      </c>
      <c r="O2646" s="1473"/>
    </row>
    <row r="2647" spans="11:15">
      <c r="K2647" s="1470">
        <v>44704</v>
      </c>
      <c r="L2647" s="1471" t="s">
        <v>2129</v>
      </c>
      <c r="M2647" s="1472">
        <v>4.7279000000000002E-2</v>
      </c>
      <c r="N2647" s="1473">
        <v>1.7568763170460486</v>
      </c>
      <c r="O2647" s="1473"/>
    </row>
    <row r="2648" spans="11:15">
      <c r="K2648" s="1470">
        <v>44705</v>
      </c>
      <c r="L2648" s="1471" t="s">
        <v>2129</v>
      </c>
      <c r="M2648" s="1472">
        <v>4.7279000000000002E-2</v>
      </c>
      <c r="N2648" s="1473">
        <v>1.7577069505999847</v>
      </c>
      <c r="O2648" s="1473"/>
    </row>
    <row r="2649" spans="11:15">
      <c r="K2649" s="1470">
        <v>44706</v>
      </c>
      <c r="L2649" s="1471" t="s">
        <v>2129</v>
      </c>
      <c r="M2649" s="1472">
        <v>4.7279000000000002E-2</v>
      </c>
      <c r="N2649" s="1473">
        <v>1.7585379768691587</v>
      </c>
      <c r="O2649" s="1473"/>
    </row>
    <row r="2650" spans="11:15">
      <c r="K2650" s="1470">
        <v>44707</v>
      </c>
      <c r="L2650" s="1471" t="s">
        <v>2129</v>
      </c>
      <c r="M2650" s="1472">
        <v>4.7279000000000002E-2</v>
      </c>
      <c r="N2650" s="1473">
        <v>1.7593693960392425</v>
      </c>
      <c r="O2650" s="1473"/>
    </row>
    <row r="2651" spans="11:15">
      <c r="K2651" s="1470">
        <v>44708</v>
      </c>
      <c r="L2651" s="1471" t="s">
        <v>2129</v>
      </c>
      <c r="M2651" s="1472">
        <v>4.7279000000000002E-2</v>
      </c>
      <c r="N2651" s="1473">
        <v>1.7602012082959957</v>
      </c>
      <c r="O2651" s="1473"/>
    </row>
    <row r="2652" spans="11:15">
      <c r="K2652" s="1470">
        <v>44709</v>
      </c>
      <c r="L2652" s="1471"/>
      <c r="M2652" s="1472">
        <v>0</v>
      </c>
      <c r="N2652" s="1473">
        <v>1.7602012082959957</v>
      </c>
      <c r="O2652" s="1473"/>
    </row>
    <row r="2653" spans="11:15">
      <c r="K2653" s="1470">
        <v>44710</v>
      </c>
      <c r="L2653" s="1471"/>
      <c r="M2653" s="1472">
        <v>0</v>
      </c>
      <c r="N2653" s="1473">
        <v>1.7602012082959957</v>
      </c>
      <c r="O2653" s="1473"/>
    </row>
    <row r="2654" spans="11:15">
      <c r="K2654" s="1470">
        <v>44711</v>
      </c>
      <c r="L2654" s="1471" t="s">
        <v>2129</v>
      </c>
      <c r="M2654" s="1472">
        <v>4.7279000000000002E-2</v>
      </c>
      <c r="N2654" s="1473">
        <v>1.7610334138252657</v>
      </c>
      <c r="O2654" s="1473"/>
    </row>
    <row r="2655" spans="11:15">
      <c r="K2655" s="1470">
        <v>44712</v>
      </c>
      <c r="L2655" s="1471" t="s">
        <v>2129</v>
      </c>
      <c r="M2655" s="1472">
        <v>4.7279000000000002E-2</v>
      </c>
      <c r="N2655" s="1473">
        <v>1.7618660128129879</v>
      </c>
      <c r="O2655" s="1473"/>
    </row>
    <row r="2656" spans="11:15">
      <c r="K2656" s="1470">
        <v>44713</v>
      </c>
      <c r="L2656" s="1471" t="s">
        <v>2129</v>
      </c>
      <c r="M2656" s="1472">
        <v>4.7279000000000002E-2</v>
      </c>
      <c r="N2656" s="1473">
        <v>1.7626990054451857</v>
      </c>
      <c r="O2656" s="1473"/>
    </row>
    <row r="2657" spans="11:15">
      <c r="K2657" s="1470">
        <v>44714</v>
      </c>
      <c r="L2657" s="1471" t="s">
        <v>2129</v>
      </c>
      <c r="M2657" s="1472">
        <v>4.7279000000000002E-2</v>
      </c>
      <c r="N2657" s="1473">
        <v>1.76353239190797</v>
      </c>
      <c r="O2657" s="1473"/>
    </row>
    <row r="2658" spans="11:15">
      <c r="K2658" s="1470">
        <v>44715</v>
      </c>
      <c r="L2658" s="1471" t="s">
        <v>2129</v>
      </c>
      <c r="M2658" s="1472">
        <v>4.7279000000000002E-2</v>
      </c>
      <c r="N2658" s="1473">
        <v>1.7643661723875399</v>
      </c>
      <c r="O2658" s="1473"/>
    </row>
    <row r="2659" spans="11:15">
      <c r="K2659" s="1470">
        <v>44716</v>
      </c>
      <c r="L2659" s="1471"/>
      <c r="M2659" s="1472">
        <v>0</v>
      </c>
      <c r="N2659" s="1473">
        <v>1.7643661723875399</v>
      </c>
      <c r="O2659" s="1473"/>
    </row>
    <row r="2660" spans="11:15">
      <c r="K2660" s="1470">
        <v>44717</v>
      </c>
      <c r="L2660" s="1471"/>
      <c r="M2660" s="1472">
        <v>0</v>
      </c>
      <c r="N2660" s="1473">
        <v>1.7643661723875399</v>
      </c>
      <c r="O2660" s="1473"/>
    </row>
    <row r="2661" spans="11:15">
      <c r="K2661" s="1470">
        <v>44718</v>
      </c>
      <c r="L2661" s="1471" t="s">
        <v>2129</v>
      </c>
      <c r="M2661" s="1472">
        <v>4.7279000000000002E-2</v>
      </c>
      <c r="N2661" s="1473">
        <v>1.7652003470701829</v>
      </c>
      <c r="O2661" s="1473"/>
    </row>
    <row r="2662" spans="11:15">
      <c r="K2662" s="1470">
        <v>44719</v>
      </c>
      <c r="L2662" s="1471" t="s">
        <v>2129</v>
      </c>
      <c r="M2662" s="1472">
        <v>4.7279000000000002E-2</v>
      </c>
      <c r="N2662" s="1473">
        <v>1.7660349161422739</v>
      </c>
      <c r="O2662" s="1473"/>
    </row>
    <row r="2663" spans="11:15">
      <c r="K2663" s="1470">
        <v>44720</v>
      </c>
      <c r="L2663" s="1471" t="s">
        <v>2129</v>
      </c>
      <c r="M2663" s="1472">
        <v>4.7279000000000002E-2</v>
      </c>
      <c r="N2663" s="1473">
        <v>1.7668698797902767</v>
      </c>
      <c r="O2663" s="1473"/>
    </row>
    <row r="2664" spans="11:15">
      <c r="K2664" s="1470">
        <v>44721</v>
      </c>
      <c r="L2664" s="1471" t="s">
        <v>2129</v>
      </c>
      <c r="M2664" s="1472">
        <v>4.7279000000000002E-2</v>
      </c>
      <c r="N2664" s="1473">
        <v>1.7677052382007425</v>
      </c>
      <c r="O2664" s="1473"/>
    </row>
    <row r="2665" spans="11:15">
      <c r="K2665" s="1470">
        <v>44722</v>
      </c>
      <c r="L2665" s="1471" t="s">
        <v>2129</v>
      </c>
      <c r="M2665" s="1472">
        <v>4.7279000000000002E-2</v>
      </c>
      <c r="N2665" s="1473">
        <v>1.7685409915603112</v>
      </c>
      <c r="O2665" s="1473"/>
    </row>
    <row r="2666" spans="11:15">
      <c r="K2666" s="1470">
        <v>44723</v>
      </c>
      <c r="L2666" s="1471"/>
      <c r="M2666" s="1472">
        <v>0</v>
      </c>
      <c r="N2666" s="1473">
        <v>1.7685409915603112</v>
      </c>
      <c r="O2666" s="1473"/>
    </row>
    <row r="2667" spans="11:15">
      <c r="K2667" s="1470">
        <v>44724</v>
      </c>
      <c r="L2667" s="1471"/>
      <c r="M2667" s="1472">
        <v>0</v>
      </c>
      <c r="N2667" s="1473">
        <v>1.7685409915603112</v>
      </c>
      <c r="O2667" s="1473"/>
    </row>
    <row r="2668" spans="11:15">
      <c r="K2668" s="1470">
        <v>44725</v>
      </c>
      <c r="L2668" s="1471" t="s">
        <v>2129</v>
      </c>
      <c r="M2668" s="1472">
        <v>4.7279000000000002E-2</v>
      </c>
      <c r="N2668" s="1473">
        <v>1.7693771400557108</v>
      </c>
      <c r="O2668" s="1473"/>
    </row>
    <row r="2669" spans="11:15">
      <c r="K2669" s="1470">
        <v>44726</v>
      </c>
      <c r="L2669" s="1471" t="s">
        <v>2129</v>
      </c>
      <c r="M2669" s="1472">
        <v>4.7279000000000002E-2</v>
      </c>
      <c r="N2669" s="1473">
        <v>1.7702136838737574</v>
      </c>
      <c r="O2669" s="1473"/>
    </row>
    <row r="2670" spans="11:15">
      <c r="K2670" s="1470">
        <v>44727</v>
      </c>
      <c r="L2670" s="1471" t="s">
        <v>2129</v>
      </c>
      <c r="M2670" s="1472">
        <v>4.7279000000000002E-2</v>
      </c>
      <c r="N2670" s="1473">
        <v>1.7710506232013559</v>
      </c>
      <c r="O2670" s="1473"/>
    </row>
    <row r="2671" spans="11:15">
      <c r="K2671" s="1470">
        <v>44728</v>
      </c>
      <c r="L2671" s="1471"/>
      <c r="M2671" s="1472">
        <v>0</v>
      </c>
      <c r="N2671" s="1473">
        <v>1.7710506232013559</v>
      </c>
      <c r="O2671" s="1473"/>
    </row>
    <row r="2672" spans="11:15">
      <c r="K2672" s="1470">
        <v>44729</v>
      </c>
      <c r="L2672" s="1471" t="s">
        <v>2129</v>
      </c>
      <c r="M2672" s="1472">
        <v>4.9036999999999997E-2</v>
      </c>
      <c r="N2672" s="1473">
        <v>1.7719190932954552</v>
      </c>
      <c r="O2672" s="1473"/>
    </row>
    <row r="2673" spans="11:15">
      <c r="K2673" s="1470">
        <v>44730</v>
      </c>
      <c r="L2673" s="1471"/>
      <c r="M2673" s="1472">
        <v>0</v>
      </c>
      <c r="N2673" s="1473">
        <v>1.7719190932954552</v>
      </c>
      <c r="O2673" s="1473"/>
    </row>
    <row r="2674" spans="11:15">
      <c r="K2674" s="1470">
        <v>44731</v>
      </c>
      <c r="L2674" s="1471"/>
      <c r="M2674" s="1472">
        <v>0</v>
      </c>
      <c r="N2674" s="1473">
        <v>1.7719190932954552</v>
      </c>
      <c r="O2674" s="1473"/>
    </row>
    <row r="2675" spans="11:15">
      <c r="K2675" s="1470">
        <v>44732</v>
      </c>
      <c r="L2675" s="1471" t="s">
        <v>2129</v>
      </c>
      <c r="M2675" s="1472">
        <v>4.9036999999999997E-2</v>
      </c>
      <c r="N2675" s="1473">
        <v>1.7727879892612346</v>
      </c>
      <c r="O2675" s="1473"/>
    </row>
    <row r="2676" spans="11:15">
      <c r="K2676" s="1470">
        <v>44733</v>
      </c>
      <c r="L2676" s="1471" t="s">
        <v>2129</v>
      </c>
      <c r="M2676" s="1472">
        <v>4.9036999999999997E-2</v>
      </c>
      <c r="N2676" s="1473">
        <v>1.7736573113075287</v>
      </c>
      <c r="O2676" s="1473"/>
    </row>
    <row r="2677" spans="11:15">
      <c r="K2677" s="1470">
        <v>44734</v>
      </c>
      <c r="L2677" s="1471" t="s">
        <v>2129</v>
      </c>
      <c r="M2677" s="1472">
        <v>4.9036999999999997E-2</v>
      </c>
      <c r="N2677" s="1473">
        <v>1.7745270596432747</v>
      </c>
      <c r="O2677" s="1473"/>
    </row>
    <row r="2678" spans="11:15">
      <c r="K2678" s="1470">
        <v>44735</v>
      </c>
      <c r="L2678" s="1471" t="s">
        <v>2129</v>
      </c>
      <c r="M2678" s="1472">
        <v>4.9036999999999997E-2</v>
      </c>
      <c r="N2678" s="1473">
        <v>1.7753972344775122</v>
      </c>
      <c r="O2678" s="1473"/>
    </row>
    <row r="2679" spans="11:15">
      <c r="K2679" s="1470">
        <v>44736</v>
      </c>
      <c r="L2679" s="1471" t="s">
        <v>2129</v>
      </c>
      <c r="M2679" s="1472">
        <v>4.9036999999999997E-2</v>
      </c>
      <c r="N2679" s="1473">
        <v>1.7762678360193831</v>
      </c>
      <c r="O2679" s="1473"/>
    </row>
    <row r="2680" spans="11:15">
      <c r="K2680" s="1470">
        <v>44737</v>
      </c>
      <c r="L2680" s="1471"/>
      <c r="M2680" s="1472">
        <v>0</v>
      </c>
      <c r="N2680" s="1473">
        <v>1.7762678360193831</v>
      </c>
      <c r="O2680" s="1473"/>
    </row>
    <row r="2681" spans="11:15">
      <c r="K2681" s="1470">
        <v>44738</v>
      </c>
      <c r="L2681" s="1471"/>
      <c r="M2681" s="1472">
        <v>0</v>
      </c>
      <c r="N2681" s="1473">
        <v>1.7762678360193831</v>
      </c>
      <c r="O2681" s="1473"/>
    </row>
    <row r="2682" spans="11:15">
      <c r="K2682" s="1470">
        <v>44739</v>
      </c>
      <c r="L2682" s="1471" t="s">
        <v>2129</v>
      </c>
      <c r="M2682" s="1472">
        <v>4.9036999999999997E-2</v>
      </c>
      <c r="N2682" s="1473">
        <v>1.7771388644781321</v>
      </c>
      <c r="O2682" s="1473"/>
    </row>
    <row r="2683" spans="11:15">
      <c r="K2683" s="1470">
        <v>44740</v>
      </c>
      <c r="L2683" s="1471" t="s">
        <v>2129</v>
      </c>
      <c r="M2683" s="1472">
        <v>4.9036999999999997E-2</v>
      </c>
      <c r="N2683" s="1473">
        <v>1.7780103200631063</v>
      </c>
      <c r="O2683" s="1473"/>
    </row>
    <row r="2684" spans="11:15">
      <c r="K2684" s="1470">
        <v>44741</v>
      </c>
      <c r="L2684" s="1471" t="s">
        <v>2129</v>
      </c>
      <c r="M2684" s="1472">
        <v>4.9036999999999997E-2</v>
      </c>
      <c r="N2684" s="1473">
        <v>1.7788822029837559</v>
      </c>
      <c r="O2684" s="1473"/>
    </row>
    <row r="2685" spans="11:15">
      <c r="K2685" s="1470">
        <v>44742</v>
      </c>
      <c r="L2685" s="1471" t="s">
        <v>2129</v>
      </c>
      <c r="M2685" s="1472">
        <v>4.9036999999999997E-2</v>
      </c>
      <c r="N2685" s="1473">
        <v>1.7797545134496331</v>
      </c>
      <c r="O2685" s="1473"/>
    </row>
    <row r="2686" spans="11:15">
      <c r="K2686" s="1470">
        <v>44743</v>
      </c>
      <c r="L2686" s="1471" t="s">
        <v>2129</v>
      </c>
      <c r="M2686" s="1472">
        <v>4.9036999999999997E-2</v>
      </c>
      <c r="N2686" s="1473">
        <v>1.7806272516703936</v>
      </c>
      <c r="O2686" s="1473"/>
    </row>
    <row r="2687" spans="11:15">
      <c r="K2687" s="1470">
        <v>44744</v>
      </c>
      <c r="L2687" s="1471"/>
      <c r="M2687" s="1472">
        <v>0</v>
      </c>
      <c r="N2687" s="1473">
        <v>1.7806272516703936</v>
      </c>
      <c r="O2687" s="1473"/>
    </row>
    <row r="2688" spans="11:15">
      <c r="K2688" s="1470">
        <v>44745</v>
      </c>
      <c r="L2688" s="1471"/>
      <c r="M2688" s="1472">
        <v>0</v>
      </c>
      <c r="N2688" s="1473">
        <v>1.7806272516703936</v>
      </c>
      <c r="O2688" s="1473"/>
    </row>
    <row r="2689" spans="11:15">
      <c r="K2689" s="1470">
        <v>44746</v>
      </c>
      <c r="L2689" s="1471" t="s">
        <v>2129</v>
      </c>
      <c r="M2689" s="1472">
        <v>4.9036999999999997E-2</v>
      </c>
      <c r="N2689" s="1473">
        <v>1.7815004178557954</v>
      </c>
      <c r="O2689" s="1473"/>
    </row>
    <row r="2690" spans="11:15">
      <c r="K2690" s="1470">
        <v>44747</v>
      </c>
      <c r="L2690" s="1471" t="s">
        <v>2129</v>
      </c>
      <c r="M2690" s="1472">
        <v>4.9036999999999997E-2</v>
      </c>
      <c r="N2690" s="1473">
        <v>1.7823740122156995</v>
      </c>
      <c r="O2690" s="1473"/>
    </row>
    <row r="2691" spans="11:15">
      <c r="K2691" s="1470">
        <v>44748</v>
      </c>
      <c r="L2691" s="1471" t="s">
        <v>2129</v>
      </c>
      <c r="M2691" s="1472">
        <v>4.9036999999999997E-2</v>
      </c>
      <c r="N2691" s="1473">
        <v>1.7832480349600699</v>
      </c>
      <c r="O2691" s="1473"/>
    </row>
    <row r="2692" spans="11:15">
      <c r="K2692" s="1470">
        <v>44749</v>
      </c>
      <c r="L2692" s="1471" t="s">
        <v>2129</v>
      </c>
      <c r="M2692" s="1472">
        <v>4.9036999999999997E-2</v>
      </c>
      <c r="N2692" s="1473">
        <v>1.7841224862989733</v>
      </c>
      <c r="O2692" s="1473"/>
    </row>
    <row r="2693" spans="11:15">
      <c r="K2693" s="1470">
        <v>44750</v>
      </c>
      <c r="L2693" s="1471" t="s">
        <v>2129</v>
      </c>
      <c r="M2693" s="1472">
        <v>4.9036999999999997E-2</v>
      </c>
      <c r="N2693" s="1473">
        <v>1.7849973664425798</v>
      </c>
      <c r="O2693" s="1473"/>
    </row>
    <row r="2694" spans="11:15">
      <c r="K2694" s="1470">
        <v>44751</v>
      </c>
      <c r="L2694" s="1471"/>
      <c r="M2694" s="1472">
        <v>0</v>
      </c>
      <c r="N2694" s="1473">
        <v>1.7849973664425798</v>
      </c>
      <c r="O2694" s="1473"/>
    </row>
    <row r="2695" spans="11:15">
      <c r="K2695" s="1470">
        <v>44752</v>
      </c>
      <c r="L2695" s="1471"/>
      <c r="M2695" s="1472">
        <v>0</v>
      </c>
      <c r="N2695" s="1473">
        <v>1.7849973664425798</v>
      </c>
      <c r="O2695" s="1473"/>
    </row>
    <row r="2696" spans="11:15">
      <c r="K2696" s="1470">
        <v>44753</v>
      </c>
      <c r="L2696" s="1471" t="s">
        <v>2129</v>
      </c>
      <c r="M2696" s="1472">
        <v>4.9036999999999997E-2</v>
      </c>
      <c r="N2696" s="1473">
        <v>1.7858726756011623</v>
      </c>
      <c r="O2696" s="1473"/>
    </row>
    <row r="2697" spans="11:15">
      <c r="K2697" s="1470">
        <v>44754</v>
      </c>
      <c r="L2697" s="1471" t="s">
        <v>2129</v>
      </c>
      <c r="M2697" s="1472">
        <v>4.9036999999999997E-2</v>
      </c>
      <c r="N2697" s="1473">
        <v>1.7867484139850969</v>
      </c>
      <c r="O2697" s="1473"/>
    </row>
    <row r="2698" spans="11:15">
      <c r="K2698" s="1470">
        <v>44755</v>
      </c>
      <c r="L2698" s="1471" t="s">
        <v>2129</v>
      </c>
      <c r="M2698" s="1472">
        <v>4.9036999999999997E-2</v>
      </c>
      <c r="N2698" s="1473">
        <v>1.7876245818048628</v>
      </c>
      <c r="O2698" s="1473"/>
    </row>
    <row r="2699" spans="11:15">
      <c r="K2699" s="1470">
        <v>44756</v>
      </c>
      <c r="L2699" s="1471" t="s">
        <v>2129</v>
      </c>
      <c r="M2699" s="1472">
        <v>4.9036999999999997E-2</v>
      </c>
      <c r="N2699" s="1473">
        <v>1.7885011792710426</v>
      </c>
      <c r="O2699" s="1473"/>
    </row>
    <row r="2700" spans="11:15">
      <c r="K2700" s="1470">
        <v>44757</v>
      </c>
      <c r="L2700" s="1471" t="s">
        <v>2129</v>
      </c>
      <c r="M2700" s="1472">
        <v>4.9036999999999997E-2</v>
      </c>
      <c r="N2700" s="1473">
        <v>1.7893782065943218</v>
      </c>
      <c r="O2700" s="1473"/>
    </row>
    <row r="2701" spans="11:15">
      <c r="K2701" s="1470">
        <v>44758</v>
      </c>
      <c r="L2701" s="1471"/>
      <c r="M2701" s="1472">
        <v>0</v>
      </c>
      <c r="N2701" s="1473">
        <v>1.7893782065943218</v>
      </c>
      <c r="O2701" s="1473"/>
    </row>
    <row r="2702" spans="11:15">
      <c r="K2702" s="1470">
        <v>44759</v>
      </c>
      <c r="L2702" s="1471"/>
      <c r="M2702" s="1472">
        <v>0</v>
      </c>
      <c r="N2702" s="1473">
        <v>1.7893782065943218</v>
      </c>
      <c r="O2702" s="1473"/>
    </row>
    <row r="2703" spans="11:15">
      <c r="K2703" s="1470">
        <v>44760</v>
      </c>
      <c r="L2703" s="1471" t="s">
        <v>2129</v>
      </c>
      <c r="M2703" s="1472">
        <v>4.9036999999999997E-2</v>
      </c>
      <c r="N2703" s="1473">
        <v>1.7902556639854896</v>
      </c>
      <c r="O2703" s="1473"/>
    </row>
    <row r="2704" spans="11:15">
      <c r="K2704" s="1470">
        <v>44761</v>
      </c>
      <c r="L2704" s="1471" t="s">
        <v>2129</v>
      </c>
      <c r="M2704" s="1472">
        <v>4.9036999999999997E-2</v>
      </c>
      <c r="N2704" s="1473">
        <v>1.7911335516554383</v>
      </c>
      <c r="O2704" s="1473"/>
    </row>
    <row r="2705" spans="11:15">
      <c r="K2705" s="1470">
        <v>44762</v>
      </c>
      <c r="L2705" s="1471" t="s">
        <v>2129</v>
      </c>
      <c r="M2705" s="1472">
        <v>4.9036999999999997E-2</v>
      </c>
      <c r="N2705" s="1473">
        <v>1.7920118698151637</v>
      </c>
      <c r="O2705" s="1473"/>
    </row>
    <row r="2706" spans="11:15">
      <c r="K2706" s="1470">
        <v>44763</v>
      </c>
      <c r="L2706" s="1471" t="s">
        <v>2129</v>
      </c>
      <c r="M2706" s="1472">
        <v>4.9036999999999997E-2</v>
      </c>
      <c r="N2706" s="1473">
        <v>1.7928906186757652</v>
      </c>
      <c r="O2706" s="1473"/>
    </row>
    <row r="2707" spans="11:15">
      <c r="K2707" s="1470">
        <v>44764</v>
      </c>
      <c r="L2707" s="1471" t="s">
        <v>2129</v>
      </c>
      <c r="M2707" s="1472">
        <v>4.9036999999999997E-2</v>
      </c>
      <c r="N2707" s="1473">
        <v>1.7937697984484453</v>
      </c>
      <c r="O2707" s="1473"/>
    </row>
    <row r="2708" spans="11:15">
      <c r="K2708" s="1470">
        <v>44765</v>
      </c>
      <c r="L2708" s="1471"/>
      <c r="M2708" s="1472">
        <v>0</v>
      </c>
      <c r="N2708" s="1473">
        <v>1.7937697984484453</v>
      </c>
      <c r="O2708" s="1473"/>
    </row>
    <row r="2709" spans="11:15">
      <c r="K2709" s="1470">
        <v>44766</v>
      </c>
      <c r="L2709" s="1471"/>
      <c r="M2709" s="1472">
        <v>0</v>
      </c>
      <c r="N2709" s="1473">
        <v>1.7937697984484453</v>
      </c>
      <c r="O2709" s="1473"/>
    </row>
    <row r="2710" spans="11:15">
      <c r="K2710" s="1470">
        <v>44767</v>
      </c>
      <c r="L2710" s="1471" t="s">
        <v>2129</v>
      </c>
      <c r="M2710" s="1472">
        <v>4.9036999999999997E-2</v>
      </c>
      <c r="N2710" s="1473">
        <v>1.7946494093445107</v>
      </c>
      <c r="O2710" s="1473"/>
    </row>
    <row r="2711" spans="11:15">
      <c r="K2711" s="1470">
        <v>44768</v>
      </c>
      <c r="L2711" s="1471" t="s">
        <v>2129</v>
      </c>
      <c r="M2711" s="1472">
        <v>4.9036999999999997E-2</v>
      </c>
      <c r="N2711" s="1473">
        <v>1.795529451575371</v>
      </c>
      <c r="O2711" s="1473"/>
    </row>
    <row r="2712" spans="11:15">
      <c r="K2712" s="1470">
        <v>44769</v>
      </c>
      <c r="L2712" s="1471" t="s">
        <v>2129</v>
      </c>
      <c r="M2712" s="1472">
        <v>4.9036999999999997E-2</v>
      </c>
      <c r="N2712" s="1473">
        <v>1.7964099253525401</v>
      </c>
      <c r="O2712" s="1473"/>
    </row>
    <row r="2713" spans="11:15">
      <c r="K2713" s="1470">
        <v>44770</v>
      </c>
      <c r="L2713" s="1471" t="s">
        <v>2129</v>
      </c>
      <c r="M2713" s="1472">
        <v>4.9036999999999997E-2</v>
      </c>
      <c r="N2713" s="1473">
        <v>1.7972908308876354</v>
      </c>
      <c r="O2713" s="1473"/>
    </row>
    <row r="2714" spans="11:15">
      <c r="K2714" s="1470">
        <v>44771</v>
      </c>
      <c r="L2714" s="1471" t="s">
        <v>2129</v>
      </c>
      <c r="M2714" s="1472">
        <v>4.9036999999999997E-2</v>
      </c>
      <c r="N2714" s="1473">
        <v>1.7981721683923779</v>
      </c>
      <c r="O2714" s="1473"/>
    </row>
    <row r="2715" spans="11:15">
      <c r="K2715" s="1470">
        <v>44772</v>
      </c>
      <c r="L2715" s="1471"/>
      <c r="M2715" s="1472">
        <v>0</v>
      </c>
      <c r="N2715" s="1473">
        <v>1.7981721683923779</v>
      </c>
      <c r="O2715" s="1473"/>
    </row>
    <row r="2716" spans="11:15">
      <c r="K2716" s="1470">
        <v>44773</v>
      </c>
      <c r="L2716" s="1471"/>
      <c r="M2716" s="1472">
        <v>0</v>
      </c>
      <c r="N2716" s="1473">
        <v>1.7981721683923779</v>
      </c>
      <c r="O2716" s="1473"/>
    </row>
    <row r="2717" spans="11:15">
      <c r="K2717" s="1470">
        <v>44774</v>
      </c>
      <c r="L2717" s="1471" t="s">
        <v>2129</v>
      </c>
      <c r="M2717" s="1472">
        <v>4.9036999999999997E-2</v>
      </c>
      <c r="N2717" s="1473">
        <v>1.7990539380785926</v>
      </c>
      <c r="O2717" s="1473"/>
    </row>
    <row r="2718" spans="11:15">
      <c r="K2718" s="1470">
        <v>44775</v>
      </c>
      <c r="L2718" s="1471" t="s">
        <v>2129</v>
      </c>
      <c r="M2718" s="1472">
        <v>4.9036999999999997E-2</v>
      </c>
      <c r="N2718" s="1473">
        <v>1.7999361401582084</v>
      </c>
      <c r="O2718" s="1473"/>
    </row>
    <row r="2719" spans="11:15">
      <c r="K2719" s="1470">
        <v>44776</v>
      </c>
      <c r="L2719" s="1471" t="s">
        <v>2129</v>
      </c>
      <c r="M2719" s="1472">
        <v>4.9036999999999997E-2</v>
      </c>
      <c r="N2719" s="1473">
        <v>1.8008187748432578</v>
      </c>
      <c r="O2719" s="1473"/>
    </row>
    <row r="2720" spans="11:15">
      <c r="K2720" s="1470">
        <v>44777</v>
      </c>
      <c r="L2720" s="1471" t="s">
        <v>2129</v>
      </c>
      <c r="M2720" s="1472">
        <v>5.0788E-2</v>
      </c>
      <c r="N2720" s="1473">
        <v>1.8017333746826252</v>
      </c>
      <c r="O2720" s="1473"/>
    </row>
    <row r="2721" spans="11:15">
      <c r="K2721" s="1470">
        <v>44778</v>
      </c>
      <c r="L2721" s="1471" t="s">
        <v>2129</v>
      </c>
      <c r="M2721" s="1472">
        <v>5.0788E-2</v>
      </c>
      <c r="N2721" s="1473">
        <v>1.802648439028959</v>
      </c>
      <c r="O2721" s="1473"/>
    </row>
    <row r="2722" spans="11:15">
      <c r="K2722" s="1470">
        <v>44779</v>
      </c>
      <c r="L2722" s="1471"/>
      <c r="M2722" s="1472">
        <v>0</v>
      </c>
      <c r="N2722" s="1473">
        <v>1.802648439028959</v>
      </c>
      <c r="O2722" s="1473"/>
    </row>
    <row r="2723" spans="11:15">
      <c r="K2723" s="1470">
        <v>44780</v>
      </c>
      <c r="L2723" s="1471"/>
      <c r="M2723" s="1472">
        <v>0</v>
      </c>
      <c r="N2723" s="1473">
        <v>1.802648439028959</v>
      </c>
      <c r="O2723" s="1473"/>
    </row>
    <row r="2724" spans="11:15">
      <c r="K2724" s="1470">
        <v>44781</v>
      </c>
      <c r="L2724" s="1471" t="s">
        <v>2129</v>
      </c>
      <c r="M2724" s="1472">
        <v>5.0788E-2</v>
      </c>
      <c r="N2724" s="1473">
        <v>1.803563968118173</v>
      </c>
      <c r="O2724" s="1473"/>
    </row>
    <row r="2725" spans="11:15">
      <c r="K2725" s="1470">
        <v>44782</v>
      </c>
      <c r="L2725" s="1471" t="s">
        <v>2129</v>
      </c>
      <c r="M2725" s="1472">
        <v>5.0788E-2</v>
      </c>
      <c r="N2725" s="1473">
        <v>1.8044799621863008</v>
      </c>
      <c r="O2725" s="1473"/>
    </row>
    <row r="2726" spans="11:15">
      <c r="K2726" s="1470">
        <v>44783</v>
      </c>
      <c r="L2726" s="1471" t="s">
        <v>2129</v>
      </c>
      <c r="M2726" s="1472">
        <v>5.0788E-2</v>
      </c>
      <c r="N2726" s="1473">
        <v>1.805396421469496</v>
      </c>
      <c r="O2726" s="1473"/>
    </row>
    <row r="2727" spans="11:15">
      <c r="K2727" s="1470">
        <v>44784</v>
      </c>
      <c r="L2727" s="1471" t="s">
        <v>2129</v>
      </c>
      <c r="M2727" s="1472">
        <v>5.0788E-2</v>
      </c>
      <c r="N2727" s="1473">
        <v>1.8063133462040319</v>
      </c>
      <c r="O2727" s="1473"/>
    </row>
    <row r="2728" spans="11:15">
      <c r="K2728" s="1470">
        <v>44785</v>
      </c>
      <c r="L2728" s="1471" t="s">
        <v>2129</v>
      </c>
      <c r="M2728" s="1472">
        <v>5.0788E-2</v>
      </c>
      <c r="N2728" s="1473">
        <v>1.8072307366263021</v>
      </c>
      <c r="O2728" s="1473"/>
    </row>
    <row r="2729" spans="11:15">
      <c r="K2729" s="1470">
        <v>44786</v>
      </c>
      <c r="L2729" s="1471"/>
      <c r="M2729" s="1472">
        <v>0</v>
      </c>
      <c r="N2729" s="1473">
        <v>1.8072307366263021</v>
      </c>
      <c r="O2729" s="1473"/>
    </row>
    <row r="2730" spans="11:15">
      <c r="K2730" s="1470">
        <v>44787</v>
      </c>
      <c r="L2730" s="1471"/>
      <c r="M2730" s="1472">
        <v>0</v>
      </c>
      <c r="N2730" s="1473">
        <v>1.8072307366263021</v>
      </c>
      <c r="O2730" s="1473"/>
    </row>
    <row r="2731" spans="11:15">
      <c r="K2731" s="1470">
        <v>44788</v>
      </c>
      <c r="L2731" s="1471" t="s">
        <v>2129</v>
      </c>
      <c r="M2731" s="1472">
        <v>5.0788E-2</v>
      </c>
      <c r="N2731" s="1473">
        <v>1.8081485929728198</v>
      </c>
      <c r="O2731" s="1473"/>
    </row>
    <row r="2732" spans="11:15">
      <c r="K2732" s="1470">
        <v>44789</v>
      </c>
      <c r="L2732" s="1471" t="s">
        <v>2129</v>
      </c>
      <c r="M2732" s="1472">
        <v>5.0788E-2</v>
      </c>
      <c r="N2732" s="1473">
        <v>1.8090669154802188</v>
      </c>
      <c r="O2732" s="1473"/>
    </row>
    <row r="2733" spans="11:15">
      <c r="K2733" s="1470">
        <v>44790</v>
      </c>
      <c r="L2733" s="1471" t="s">
        <v>2129</v>
      </c>
      <c r="M2733" s="1472">
        <v>5.0788E-2</v>
      </c>
      <c r="N2733" s="1473">
        <v>1.809985704385253</v>
      </c>
      <c r="O2733" s="1473"/>
    </row>
    <row r="2734" spans="11:15">
      <c r="K2734" s="1470">
        <v>44791</v>
      </c>
      <c r="L2734" s="1471" t="s">
        <v>2129</v>
      </c>
      <c r="M2734" s="1472">
        <v>5.0788E-2</v>
      </c>
      <c r="N2734" s="1473">
        <v>1.8109049599247962</v>
      </c>
      <c r="O2734" s="1473"/>
    </row>
    <row r="2735" spans="11:15">
      <c r="K2735" s="1470">
        <v>44792</v>
      </c>
      <c r="L2735" s="1471" t="s">
        <v>2129</v>
      </c>
      <c r="M2735" s="1472">
        <v>5.0788E-2</v>
      </c>
      <c r="N2735" s="1473">
        <v>1.8118246823358428</v>
      </c>
      <c r="O2735" s="1473"/>
    </row>
    <row r="2736" spans="11:15">
      <c r="K2736" s="1470">
        <v>44793</v>
      </c>
      <c r="L2736" s="1471"/>
      <c r="M2736" s="1472">
        <v>0</v>
      </c>
      <c r="N2736" s="1473">
        <v>1.8118246823358428</v>
      </c>
      <c r="O2736" s="1473"/>
    </row>
    <row r="2737" spans="11:15">
      <c r="K2737" s="1470">
        <v>44794</v>
      </c>
      <c r="L2737" s="1471"/>
      <c r="M2737" s="1472">
        <v>0</v>
      </c>
      <c r="N2737" s="1473">
        <v>1.8118246823358428</v>
      </c>
      <c r="O2737" s="1473"/>
    </row>
    <row r="2738" spans="11:15">
      <c r="K2738" s="1470">
        <v>44795</v>
      </c>
      <c r="L2738" s="1471" t="s">
        <v>2129</v>
      </c>
      <c r="M2738" s="1472">
        <v>5.0788E-2</v>
      </c>
      <c r="N2738" s="1473">
        <v>1.8127448718555075</v>
      </c>
      <c r="O2738" s="1473"/>
    </row>
    <row r="2739" spans="11:15">
      <c r="K2739" s="1470">
        <v>44796</v>
      </c>
      <c r="L2739" s="1471" t="s">
        <v>2129</v>
      </c>
      <c r="M2739" s="1472">
        <v>5.0788E-2</v>
      </c>
      <c r="N2739" s="1473">
        <v>1.8136655287210255</v>
      </c>
      <c r="O2739" s="1473"/>
    </row>
    <row r="2740" spans="11:15">
      <c r="K2740" s="1470">
        <v>44797</v>
      </c>
      <c r="L2740" s="1471" t="s">
        <v>2129</v>
      </c>
      <c r="M2740" s="1472">
        <v>5.0788E-2</v>
      </c>
      <c r="N2740" s="1473">
        <v>1.8145866531697523</v>
      </c>
      <c r="O2740" s="1473"/>
    </row>
    <row r="2741" spans="11:15">
      <c r="K2741" s="1470">
        <v>44798</v>
      </c>
      <c r="L2741" s="1471" t="s">
        <v>2129</v>
      </c>
      <c r="M2741" s="1472">
        <v>5.0788E-2</v>
      </c>
      <c r="N2741" s="1473">
        <v>1.8155082454391642</v>
      </c>
      <c r="O2741" s="1473"/>
    </row>
    <row r="2742" spans="11:15">
      <c r="K2742" s="1470">
        <v>44799</v>
      </c>
      <c r="L2742" s="1471" t="s">
        <v>2129</v>
      </c>
      <c r="M2742" s="1472">
        <v>5.0788E-2</v>
      </c>
      <c r="N2742" s="1473">
        <v>1.8164303057668578</v>
      </c>
      <c r="O2742" s="1473"/>
    </row>
    <row r="2743" spans="11:15">
      <c r="K2743" s="1470">
        <v>44800</v>
      </c>
      <c r="L2743" s="1471"/>
      <c r="M2743" s="1472">
        <v>0</v>
      </c>
      <c r="N2743" s="1473">
        <v>1.8164303057668578</v>
      </c>
      <c r="O2743" s="1473"/>
    </row>
    <row r="2744" spans="11:15">
      <c r="K2744" s="1470">
        <v>44801</v>
      </c>
      <c r="L2744" s="1471"/>
      <c r="M2744" s="1472">
        <v>0</v>
      </c>
      <c r="N2744" s="1473">
        <v>1.8164303057668578</v>
      </c>
      <c r="O2744" s="1473"/>
    </row>
    <row r="2745" spans="11:15">
      <c r="K2745" s="1470">
        <v>44802</v>
      </c>
      <c r="L2745" s="1471" t="s">
        <v>2129</v>
      </c>
      <c r="M2745" s="1472">
        <v>5.0788E-2</v>
      </c>
      <c r="N2745" s="1473">
        <v>1.8173528343905507</v>
      </c>
      <c r="O2745" s="1473"/>
    </row>
    <row r="2746" spans="11:15">
      <c r="K2746" s="1470">
        <v>44803</v>
      </c>
      <c r="L2746" s="1471" t="s">
        <v>2129</v>
      </c>
      <c r="M2746" s="1472">
        <v>5.0788E-2</v>
      </c>
      <c r="N2746" s="1473">
        <v>1.8182758315480809</v>
      </c>
      <c r="O2746" s="1473"/>
    </row>
    <row r="2747" spans="11:15">
      <c r="K2747" s="1470">
        <v>44804</v>
      </c>
      <c r="L2747" s="1471" t="s">
        <v>2129</v>
      </c>
      <c r="M2747" s="1472">
        <v>5.0788E-2</v>
      </c>
      <c r="N2747" s="1473">
        <v>1.8191992974774076</v>
      </c>
      <c r="O2747" s="1473"/>
    </row>
    <row r="2748" spans="11:15">
      <c r="K2748" s="1470">
        <v>44805</v>
      </c>
      <c r="L2748" s="1471" t="s">
        <v>2129</v>
      </c>
      <c r="M2748" s="1472">
        <v>5.0788E-2</v>
      </c>
      <c r="N2748" s="1473">
        <v>1.8201232324166106</v>
      </c>
      <c r="O2748" s="1473"/>
    </row>
    <row r="2749" spans="11:15">
      <c r="K2749" s="1470">
        <v>44806</v>
      </c>
      <c r="L2749" s="1471" t="s">
        <v>2129</v>
      </c>
      <c r="M2749" s="1472">
        <v>5.0788E-2</v>
      </c>
      <c r="N2749" s="1473">
        <v>1.8210476366038904</v>
      </c>
      <c r="O2749" s="1473"/>
    </row>
    <row r="2750" spans="11:15">
      <c r="K2750" s="1470">
        <v>44807</v>
      </c>
      <c r="L2750" s="1471"/>
      <c r="M2750" s="1472">
        <v>0</v>
      </c>
      <c r="N2750" s="1473">
        <v>1.8210476366038904</v>
      </c>
      <c r="O2750" s="1473"/>
    </row>
    <row r="2751" spans="11:15">
      <c r="K2751" s="1470">
        <v>44808</v>
      </c>
      <c r="L2751" s="1471"/>
      <c r="M2751" s="1472">
        <v>0</v>
      </c>
      <c r="N2751" s="1473">
        <v>1.8210476366038904</v>
      </c>
      <c r="O2751" s="1473"/>
    </row>
    <row r="2752" spans="11:15">
      <c r="K2752" s="1470">
        <v>44809</v>
      </c>
      <c r="L2752" s="1471" t="s">
        <v>2129</v>
      </c>
      <c r="M2752" s="1472">
        <v>5.0788E-2</v>
      </c>
      <c r="N2752" s="1473">
        <v>1.8219725102775688</v>
      </c>
      <c r="O2752" s="1473"/>
    </row>
    <row r="2753" spans="11:15">
      <c r="K2753" s="1470">
        <v>44810</v>
      </c>
      <c r="L2753" s="1471" t="s">
        <v>2129</v>
      </c>
      <c r="M2753" s="1472">
        <v>5.0788E-2</v>
      </c>
      <c r="N2753" s="1473">
        <v>1.8228978536760887</v>
      </c>
      <c r="O2753" s="1473"/>
    </row>
    <row r="2754" spans="11:15">
      <c r="K2754" s="1470">
        <v>44811</v>
      </c>
      <c r="L2754" s="1471"/>
      <c r="M2754" s="1472">
        <v>0</v>
      </c>
      <c r="N2754" s="1473">
        <v>1.8228978536760887</v>
      </c>
      <c r="O2754" s="1473"/>
    </row>
    <row r="2755" spans="11:15">
      <c r="K2755" s="1470">
        <v>44812</v>
      </c>
      <c r="L2755" s="1471" t="s">
        <v>2129</v>
      </c>
      <c r="M2755" s="1472">
        <v>5.0788E-2</v>
      </c>
      <c r="N2755" s="1473">
        <v>1.8238236670380137</v>
      </c>
      <c r="O2755" s="1473"/>
    </row>
    <row r="2756" spans="11:15">
      <c r="K2756" s="1470">
        <v>44813</v>
      </c>
      <c r="L2756" s="1471" t="s">
        <v>2129</v>
      </c>
      <c r="M2756" s="1472">
        <v>5.0788E-2</v>
      </c>
      <c r="N2756" s="1473">
        <v>1.824749950602029</v>
      </c>
      <c r="O2756" s="1473"/>
    </row>
    <row r="2757" spans="11:15">
      <c r="K2757" s="1470">
        <v>44814</v>
      </c>
      <c r="L2757" s="1471"/>
      <c r="M2757" s="1472">
        <v>0</v>
      </c>
      <c r="N2757" s="1473">
        <v>1.824749950602029</v>
      </c>
      <c r="O2757" s="1473"/>
    </row>
    <row r="2758" spans="11:15">
      <c r="K2758" s="1470">
        <v>44815</v>
      </c>
      <c r="L2758" s="1471"/>
      <c r="M2758" s="1472">
        <v>0</v>
      </c>
      <c r="N2758" s="1473">
        <v>1.824749950602029</v>
      </c>
      <c r="O2758" s="1473"/>
    </row>
    <row r="2759" spans="11:15">
      <c r="K2759" s="1470">
        <v>44816</v>
      </c>
      <c r="L2759" s="1471" t="s">
        <v>2129</v>
      </c>
      <c r="M2759" s="1472">
        <v>5.0788E-2</v>
      </c>
      <c r="N2759" s="1473">
        <v>1.8256767046069409</v>
      </c>
      <c r="O2759" s="1473"/>
    </row>
    <row r="2760" spans="11:15">
      <c r="K2760" s="1470">
        <v>44817</v>
      </c>
      <c r="L2760" s="1471" t="s">
        <v>2129</v>
      </c>
      <c r="M2760" s="1472">
        <v>5.0788E-2</v>
      </c>
      <c r="N2760" s="1473">
        <v>1.8266039292916767</v>
      </c>
      <c r="O2760" s="1473"/>
    </row>
    <row r="2761" spans="11:15">
      <c r="K2761" s="1470">
        <v>44818</v>
      </c>
      <c r="L2761" s="1471" t="s">
        <v>2129</v>
      </c>
      <c r="M2761" s="1472">
        <v>5.0788E-2</v>
      </c>
      <c r="N2761" s="1473">
        <v>1.8275316248952853</v>
      </c>
      <c r="O2761" s="1473"/>
    </row>
    <row r="2762" spans="11:15">
      <c r="K2762" s="1470">
        <v>44819</v>
      </c>
      <c r="L2762" s="1471" t="s">
        <v>2129</v>
      </c>
      <c r="M2762" s="1472">
        <v>5.0788E-2</v>
      </c>
      <c r="N2762" s="1473">
        <v>1.8284597916569372</v>
      </c>
      <c r="O2762" s="1473"/>
    </row>
    <row r="2763" spans="11:15">
      <c r="K2763" s="1470">
        <v>44820</v>
      </c>
      <c r="L2763" s="1471" t="s">
        <v>2129</v>
      </c>
      <c r="M2763" s="1472">
        <v>5.0788E-2</v>
      </c>
      <c r="N2763" s="1473">
        <v>1.829388429815924</v>
      </c>
      <c r="O2763" s="1473"/>
    </row>
    <row r="2764" spans="11:15">
      <c r="K2764" s="1470">
        <v>44821</v>
      </c>
      <c r="L2764" s="1471"/>
      <c r="M2764" s="1472">
        <v>0</v>
      </c>
      <c r="N2764" s="1473">
        <v>1.829388429815924</v>
      </c>
      <c r="O2764" s="1473"/>
    </row>
    <row r="2765" spans="11:15">
      <c r="K2765" s="1470">
        <v>44822</v>
      </c>
      <c r="L2765" s="1471"/>
      <c r="M2765" s="1472">
        <v>0</v>
      </c>
      <c r="N2765" s="1473">
        <v>1.829388429815924</v>
      </c>
      <c r="O2765" s="1473"/>
    </row>
    <row r="2766" spans="11:15">
      <c r="K2766" s="1470">
        <v>44823</v>
      </c>
      <c r="L2766" s="1471" t="s">
        <v>2129</v>
      </c>
      <c r="M2766" s="1472">
        <v>5.0788E-2</v>
      </c>
      <c r="N2766" s="1473">
        <v>1.8303175396116589</v>
      </c>
      <c r="O2766" s="1473"/>
    </row>
    <row r="2767" spans="11:15">
      <c r="K2767" s="1470">
        <v>44824</v>
      </c>
      <c r="L2767" s="1471" t="s">
        <v>2129</v>
      </c>
      <c r="M2767" s="1472">
        <v>5.0788E-2</v>
      </c>
      <c r="N2767" s="1473">
        <v>1.8312471212836769</v>
      </c>
      <c r="O2767" s="1473"/>
    </row>
    <row r="2768" spans="11:15">
      <c r="K2768" s="1470">
        <v>44825</v>
      </c>
      <c r="L2768" s="1471" t="s">
        <v>2129</v>
      </c>
      <c r="M2768" s="1472">
        <v>5.0788E-2</v>
      </c>
      <c r="N2768" s="1473">
        <v>1.8321771750716345</v>
      </c>
      <c r="O2768" s="1473"/>
    </row>
    <row r="2769" spans="11:15">
      <c r="K2769" s="1470">
        <v>44826</v>
      </c>
      <c r="L2769" s="1471" t="s">
        <v>2129</v>
      </c>
      <c r="M2769" s="1472">
        <v>5.0788E-2</v>
      </c>
      <c r="N2769" s="1473">
        <v>1.8331077012153099</v>
      </c>
      <c r="O2769" s="1473"/>
    </row>
    <row r="2770" spans="11:15">
      <c r="K2770" s="1470">
        <v>44827</v>
      </c>
      <c r="L2770" s="1471" t="s">
        <v>2129</v>
      </c>
      <c r="M2770" s="1472">
        <v>5.0788E-2</v>
      </c>
      <c r="N2770" s="1473">
        <v>1.8340386999546032</v>
      </c>
      <c r="O2770" s="1473"/>
    </row>
    <row r="2771" spans="11:15">
      <c r="K2771" s="1470">
        <v>44828</v>
      </c>
      <c r="L2771" s="1471"/>
      <c r="M2771" s="1472">
        <v>0</v>
      </c>
      <c r="N2771" s="1473">
        <v>1.8340386999546032</v>
      </c>
      <c r="O2771" s="1473"/>
    </row>
    <row r="2772" spans="11:15">
      <c r="K2772" s="1470">
        <v>44829</v>
      </c>
      <c r="L2772" s="1471"/>
      <c r="M2772" s="1472">
        <v>0</v>
      </c>
      <c r="N2772" s="1473">
        <v>1.8340386999546032</v>
      </c>
      <c r="O2772" s="1473"/>
    </row>
    <row r="2773" spans="11:15">
      <c r="K2773" s="1470">
        <v>44830</v>
      </c>
      <c r="L2773" s="1471" t="s">
        <v>2129</v>
      </c>
      <c r="M2773" s="1472">
        <v>5.0788E-2</v>
      </c>
      <c r="N2773" s="1473">
        <v>1.8349701715295361</v>
      </c>
      <c r="O2773" s="1473"/>
    </row>
    <row r="2774" spans="11:15">
      <c r="K2774" s="1470">
        <v>44831</v>
      </c>
      <c r="L2774" s="1471" t="s">
        <v>2129</v>
      </c>
      <c r="M2774" s="1472">
        <v>5.0788E-2</v>
      </c>
      <c r="N2774" s="1473">
        <v>1.8359021161802527</v>
      </c>
      <c r="O2774" s="1473"/>
    </row>
    <row r="2775" spans="11:15">
      <c r="K2775" s="1470">
        <v>44832</v>
      </c>
      <c r="L2775" s="1471" t="s">
        <v>2129</v>
      </c>
      <c r="M2775" s="1472">
        <v>5.0788E-2</v>
      </c>
      <c r="N2775" s="1473">
        <v>1.8368345341470182</v>
      </c>
      <c r="O2775" s="1473"/>
    </row>
    <row r="2776" spans="11:15">
      <c r="K2776" s="1470">
        <v>44833</v>
      </c>
      <c r="L2776" s="1471" t="s">
        <v>2129</v>
      </c>
      <c r="M2776" s="1472">
        <v>5.0788E-2</v>
      </c>
      <c r="N2776" s="1473">
        <v>1.8377674256702208</v>
      </c>
      <c r="O2776" s="1473"/>
    </row>
    <row r="2777" spans="11:15">
      <c r="K2777" s="1470">
        <v>44834</v>
      </c>
      <c r="L2777" s="1471" t="s">
        <v>2129</v>
      </c>
      <c r="M2777" s="1472">
        <v>5.0788E-2</v>
      </c>
      <c r="N2777" s="1473">
        <v>1.8387007909903701</v>
      </c>
      <c r="O2777" s="1473"/>
    </row>
    <row r="2778" spans="11:15">
      <c r="K2778" s="1470">
        <v>44835</v>
      </c>
      <c r="L2778" s="1471"/>
      <c r="M2778" s="1472">
        <v>0</v>
      </c>
      <c r="N2778" s="1473">
        <v>1.8387007909903701</v>
      </c>
      <c r="O2778" s="1473"/>
    </row>
    <row r="2779" spans="11:15">
      <c r="K2779" s="1470">
        <v>44836</v>
      </c>
      <c r="L2779" s="1471"/>
      <c r="M2779" s="1472">
        <v>0</v>
      </c>
      <c r="N2779" s="1473">
        <v>1.8387007909903701</v>
      </c>
      <c r="O2779" s="1473"/>
    </row>
    <row r="2780" spans="11:15">
      <c r="K2780" s="1470">
        <v>44837</v>
      </c>
      <c r="L2780" s="1471" t="s">
        <v>2129</v>
      </c>
      <c r="M2780" s="1472">
        <v>5.0788E-2</v>
      </c>
      <c r="N2780" s="1473">
        <v>1.8396346303480984</v>
      </c>
      <c r="O2780" s="1473"/>
    </row>
    <row r="2781" spans="11:15">
      <c r="K2781" s="1470">
        <v>44838</v>
      </c>
      <c r="L2781" s="1471" t="s">
        <v>2129</v>
      </c>
      <c r="M2781" s="1472">
        <v>5.0788E-2</v>
      </c>
      <c r="N2781" s="1473">
        <v>1.8405689439841595</v>
      </c>
      <c r="O2781" s="1473"/>
    </row>
    <row r="2782" spans="11:15">
      <c r="K2782" s="1470">
        <v>44839</v>
      </c>
      <c r="L2782" s="1471" t="s">
        <v>2129</v>
      </c>
      <c r="M2782" s="1472">
        <v>5.0788E-2</v>
      </c>
      <c r="N2782" s="1473">
        <v>1.8415037321394301</v>
      </c>
      <c r="O2782" s="1473"/>
    </row>
    <row r="2783" spans="11:15">
      <c r="K2783" s="1470">
        <v>44840</v>
      </c>
      <c r="L2783" s="1471" t="s">
        <v>2129</v>
      </c>
      <c r="M2783" s="1472">
        <v>5.0788E-2</v>
      </c>
      <c r="N2783" s="1473">
        <v>1.8424389950549092</v>
      </c>
      <c r="O2783" s="1473"/>
    </row>
    <row r="2784" spans="11:15">
      <c r="K2784" s="1470">
        <v>44841</v>
      </c>
      <c r="L2784" s="1471" t="s">
        <v>2129</v>
      </c>
      <c r="M2784" s="1472">
        <v>5.0788E-2</v>
      </c>
      <c r="N2784" s="1473">
        <v>1.8433747329717176</v>
      </c>
      <c r="O2784" s="1473"/>
    </row>
    <row r="2785" spans="11:15">
      <c r="K2785" s="1470">
        <v>44842</v>
      </c>
      <c r="L2785" s="1471"/>
      <c r="M2785" s="1472">
        <v>0</v>
      </c>
      <c r="N2785" s="1473">
        <v>1.8433747329717176</v>
      </c>
      <c r="O2785" s="1473"/>
    </row>
    <row r="2786" spans="11:15">
      <c r="K2786" s="1470">
        <v>44843</v>
      </c>
      <c r="L2786" s="1471"/>
      <c r="M2786" s="1472">
        <v>0</v>
      </c>
      <c r="N2786" s="1473">
        <v>1.8433747329717176</v>
      </c>
      <c r="O2786" s="1473"/>
    </row>
    <row r="2787" spans="11:15">
      <c r="K2787" s="1470">
        <v>44844</v>
      </c>
      <c r="L2787" s="1471" t="s">
        <v>2129</v>
      </c>
      <c r="M2787" s="1472">
        <v>5.0788E-2</v>
      </c>
      <c r="N2787" s="1473">
        <v>1.8443109461310994</v>
      </c>
      <c r="O2787" s="1473"/>
    </row>
    <row r="2788" spans="11:15">
      <c r="K2788" s="1470">
        <v>44845</v>
      </c>
      <c r="L2788" s="1471" t="s">
        <v>2129</v>
      </c>
      <c r="M2788" s="1472">
        <v>5.0788E-2</v>
      </c>
      <c r="N2788" s="1473">
        <v>1.8452476347744204</v>
      </c>
      <c r="O2788" s="1473"/>
    </row>
    <row r="2789" spans="11:15">
      <c r="K2789" s="1470">
        <v>44846</v>
      </c>
      <c r="L2789" s="1471"/>
      <c r="M2789" s="1472">
        <v>0</v>
      </c>
      <c r="N2789" s="1473">
        <v>1.8452476347744204</v>
      </c>
      <c r="O2789" s="1473"/>
    </row>
    <row r="2790" spans="11:15">
      <c r="K2790" s="1470">
        <v>44847</v>
      </c>
      <c r="L2790" s="1471" t="s">
        <v>2129</v>
      </c>
      <c r="M2790" s="1472">
        <v>5.0788E-2</v>
      </c>
      <c r="N2790" s="1473">
        <v>1.8461847991431697</v>
      </c>
      <c r="O2790" s="1473"/>
    </row>
    <row r="2791" spans="11:15">
      <c r="K2791" s="1470">
        <v>44848</v>
      </c>
      <c r="L2791" s="1471" t="s">
        <v>2129</v>
      </c>
      <c r="M2791" s="1472">
        <v>5.0788E-2</v>
      </c>
      <c r="N2791" s="1473">
        <v>1.8471224394789585</v>
      </c>
      <c r="O2791" s="1473"/>
    </row>
    <row r="2792" spans="11:15">
      <c r="K2792" s="1470">
        <v>44849</v>
      </c>
      <c r="L2792" s="1471"/>
      <c r="M2792" s="1472">
        <v>0</v>
      </c>
      <c r="N2792" s="1473">
        <v>1.8471224394789585</v>
      </c>
      <c r="O2792" s="1473"/>
    </row>
    <row r="2793" spans="11:15">
      <c r="K2793" s="1470">
        <v>44850</v>
      </c>
      <c r="L2793" s="1471"/>
      <c r="M2793" s="1472">
        <v>0</v>
      </c>
      <c r="N2793" s="1473">
        <v>1.8471224394789585</v>
      </c>
      <c r="O2793" s="1473"/>
    </row>
    <row r="2794" spans="11:15">
      <c r="K2794" s="1470">
        <v>44851</v>
      </c>
      <c r="L2794" s="1471" t="s">
        <v>2129</v>
      </c>
      <c r="M2794" s="1472">
        <v>5.0788E-2</v>
      </c>
      <c r="N2794" s="1473">
        <v>1.848060556023521</v>
      </c>
      <c r="O2794" s="1473"/>
    </row>
    <row r="2795" spans="11:15">
      <c r="K2795" s="1470">
        <v>44852</v>
      </c>
      <c r="L2795" s="1471" t="s">
        <v>2129</v>
      </c>
      <c r="M2795" s="1472">
        <v>5.0788E-2</v>
      </c>
      <c r="N2795" s="1473">
        <v>1.8489991490187143</v>
      </c>
      <c r="O2795" s="1473"/>
    </row>
    <row r="2796" spans="11:15">
      <c r="K2796" s="1470">
        <v>44853</v>
      </c>
      <c r="L2796" s="1471" t="s">
        <v>2129</v>
      </c>
      <c r="M2796" s="1472">
        <v>5.0788E-2</v>
      </c>
      <c r="N2796" s="1473">
        <v>1.8499382187065179</v>
      </c>
      <c r="O2796" s="1473"/>
    </row>
    <row r="2797" spans="11:15">
      <c r="K2797" s="1470">
        <v>44854</v>
      </c>
      <c r="L2797" s="1471" t="s">
        <v>2129</v>
      </c>
      <c r="M2797" s="1472">
        <v>5.0788E-2</v>
      </c>
      <c r="N2797" s="1473">
        <v>1.8508777653290345</v>
      </c>
      <c r="O2797" s="1473"/>
    </row>
    <row r="2798" spans="11:15">
      <c r="K2798" s="1470">
        <v>44855</v>
      </c>
      <c r="L2798" s="1471" t="s">
        <v>2129</v>
      </c>
      <c r="M2798" s="1472">
        <v>5.0788E-2</v>
      </c>
      <c r="N2798" s="1473">
        <v>1.8518177891284897</v>
      </c>
      <c r="O2798" s="1473"/>
    </row>
    <row r="2799" spans="11:15">
      <c r="K2799" s="1470">
        <v>44856</v>
      </c>
      <c r="L2799" s="1471"/>
      <c r="M2799" s="1472">
        <v>0</v>
      </c>
      <c r="N2799" s="1473">
        <v>1.8518177891284897</v>
      </c>
      <c r="O2799" s="1473"/>
    </row>
    <row r="2800" spans="11:15">
      <c r="K2800" s="1470">
        <v>44857</v>
      </c>
      <c r="L2800" s="1471"/>
      <c r="M2800" s="1472">
        <v>0</v>
      </c>
      <c r="N2800" s="1473">
        <v>1.8518177891284897</v>
      </c>
      <c r="O2800" s="1473"/>
    </row>
    <row r="2801" spans="11:15">
      <c r="K2801" s="1470">
        <v>44858</v>
      </c>
      <c r="L2801" s="1471" t="s">
        <v>2129</v>
      </c>
      <c r="M2801" s="1472">
        <v>5.0788E-2</v>
      </c>
      <c r="N2801" s="1473">
        <v>1.8527582903472324</v>
      </c>
      <c r="O2801" s="1473"/>
    </row>
    <row r="2802" spans="11:15">
      <c r="K2802" s="1470">
        <v>44859</v>
      </c>
      <c r="L2802" s="1471" t="s">
        <v>2129</v>
      </c>
      <c r="M2802" s="1472">
        <v>5.0788E-2</v>
      </c>
      <c r="N2802" s="1473">
        <v>1.8536992692277339</v>
      </c>
      <c r="O2802" s="1473"/>
    </row>
    <row r="2803" spans="11:15">
      <c r="K2803" s="1470">
        <v>44860</v>
      </c>
      <c r="L2803" s="1471" t="s">
        <v>2129</v>
      </c>
      <c r="M2803" s="1472">
        <v>5.0788E-2</v>
      </c>
      <c r="N2803" s="1473">
        <v>1.8546407260125892</v>
      </c>
      <c r="O2803" s="1473"/>
    </row>
    <row r="2804" spans="11:15">
      <c r="K2804" s="1470">
        <v>44861</v>
      </c>
      <c r="L2804" s="1471" t="s">
        <v>2129</v>
      </c>
      <c r="M2804" s="1472">
        <v>5.0788E-2</v>
      </c>
      <c r="N2804" s="1473">
        <v>1.8555826609445165</v>
      </c>
      <c r="O2804" s="1473"/>
    </row>
    <row r="2805" spans="11:15">
      <c r="K2805" s="1470">
        <v>44862</v>
      </c>
      <c r="L2805" s="1471" t="s">
        <v>2129</v>
      </c>
      <c r="M2805" s="1472">
        <v>5.0788E-2</v>
      </c>
      <c r="N2805" s="1473">
        <v>1.856525074266357</v>
      </c>
      <c r="O2805" s="1473"/>
    </row>
    <row r="2806" spans="11:15">
      <c r="K2806" s="1470">
        <v>44863</v>
      </c>
      <c r="L2806" s="1471"/>
      <c r="M2806" s="1472">
        <v>0</v>
      </c>
      <c r="N2806" s="1473">
        <v>1.856525074266357</v>
      </c>
      <c r="O2806" s="1473"/>
    </row>
    <row r="2807" spans="11:15">
      <c r="K2807" s="1470">
        <v>44864</v>
      </c>
      <c r="L2807" s="1471"/>
      <c r="M2807" s="1472">
        <v>0</v>
      </c>
      <c r="N2807" s="1473">
        <v>1.856525074266357</v>
      </c>
      <c r="O2807" s="1473"/>
    </row>
    <row r="2808" spans="11:15">
      <c r="K2808" s="1470">
        <v>44865</v>
      </c>
      <c r="L2808" s="1471" t="s">
        <v>2129</v>
      </c>
      <c r="M2808" s="1472">
        <v>5.0788E-2</v>
      </c>
      <c r="N2808" s="1473">
        <v>1.8574679662210756</v>
      </c>
      <c r="O2808" s="1473"/>
    </row>
    <row r="2809" spans="11:15">
      <c r="K2809" s="1470">
        <v>44866</v>
      </c>
      <c r="L2809" s="1471" t="s">
        <v>2129</v>
      </c>
      <c r="M2809" s="1472">
        <v>5.0788E-2</v>
      </c>
      <c r="N2809" s="1473">
        <v>1.8584113370517599</v>
      </c>
      <c r="O2809" s="1473"/>
    </row>
    <row r="2810" spans="11:15">
      <c r="K2810" s="1470">
        <v>44867</v>
      </c>
      <c r="L2810" s="1471"/>
      <c r="M2810" s="1472">
        <v>0</v>
      </c>
      <c r="N2810" s="1473">
        <v>1.8584113370517599</v>
      </c>
      <c r="O2810" s="1473"/>
    </row>
    <row r="2811" spans="11:15">
      <c r="K2811" s="1470">
        <v>44868</v>
      </c>
      <c r="L2811" s="1471" t="s">
        <v>2129</v>
      </c>
      <c r="M2811" s="1472">
        <v>5.0788E-2</v>
      </c>
      <c r="N2811" s="1473">
        <v>1.8593551870016218</v>
      </c>
      <c r="O2811" s="1473"/>
    </row>
    <row r="2812" spans="11:15">
      <c r="K2812" s="1470">
        <v>44869</v>
      </c>
      <c r="L2812" s="1471" t="s">
        <v>2129</v>
      </c>
      <c r="M2812" s="1472">
        <v>5.0788E-2</v>
      </c>
      <c r="N2812" s="1473">
        <v>1.8602995163139961</v>
      </c>
      <c r="O2812" s="1473"/>
    </row>
    <row r="2813" spans="11:15">
      <c r="K2813" s="1470">
        <v>44870</v>
      </c>
      <c r="L2813" s="1471"/>
      <c r="M2813" s="1472">
        <v>0</v>
      </c>
      <c r="N2813" s="1473">
        <v>1.8602995163139961</v>
      </c>
      <c r="O2813" s="1473"/>
    </row>
    <row r="2814" spans="11:15">
      <c r="K2814" s="1470">
        <v>44871</v>
      </c>
      <c r="L2814" s="1471"/>
      <c r="M2814" s="1472">
        <v>0</v>
      </c>
      <c r="N2814" s="1473">
        <v>1.8602995163139961</v>
      </c>
      <c r="O2814" s="1473"/>
    </row>
    <row r="2815" spans="11:15">
      <c r="K2815" s="1470">
        <v>44872</v>
      </c>
      <c r="L2815" s="1471" t="s">
        <v>2129</v>
      </c>
      <c r="M2815" s="1472">
        <v>5.0788E-2</v>
      </c>
      <c r="N2815" s="1473">
        <v>1.8612443252323416</v>
      </c>
      <c r="O2815" s="1473"/>
    </row>
    <row r="2816" spans="11:15">
      <c r="K2816" s="1470">
        <v>44873</v>
      </c>
      <c r="L2816" s="1471" t="s">
        <v>2129</v>
      </c>
      <c r="M2816" s="1472">
        <v>5.0788E-2</v>
      </c>
      <c r="N2816" s="1473">
        <v>1.8621896140002407</v>
      </c>
      <c r="O2816" s="1473"/>
    </row>
    <row r="2817" spans="11:15">
      <c r="K2817" s="1470">
        <v>44874</v>
      </c>
      <c r="L2817" s="1471" t="s">
        <v>2129</v>
      </c>
      <c r="M2817" s="1472">
        <v>5.0788E-2</v>
      </c>
      <c r="N2817" s="1473">
        <v>1.8631353828613992</v>
      </c>
      <c r="O2817" s="1473"/>
    </row>
    <row r="2818" spans="11:15">
      <c r="K2818" s="1470">
        <v>44875</v>
      </c>
      <c r="L2818" s="1471" t="s">
        <v>2129</v>
      </c>
      <c r="M2818" s="1472">
        <v>5.0788E-2</v>
      </c>
      <c r="N2818" s="1473">
        <v>1.8640816320596469</v>
      </c>
      <c r="O2818" s="1473"/>
    </row>
    <row r="2819" spans="11:15">
      <c r="K2819" s="1470">
        <v>44876</v>
      </c>
      <c r="L2819" s="1471" t="s">
        <v>2129</v>
      </c>
      <c r="M2819" s="1472">
        <v>5.0788E-2</v>
      </c>
      <c r="N2819" s="1473">
        <v>1.8650283618389374</v>
      </c>
      <c r="O2819" s="1473"/>
    </row>
    <row r="2820" spans="11:15">
      <c r="K2820" s="1470">
        <v>44877</v>
      </c>
      <c r="L2820" s="1471"/>
      <c r="M2820" s="1472">
        <v>0</v>
      </c>
      <c r="N2820" s="1473">
        <v>1.8650283618389374</v>
      </c>
      <c r="O2820" s="1473"/>
    </row>
    <row r="2821" spans="11:15">
      <c r="K2821" s="1470">
        <v>44878</v>
      </c>
      <c r="L2821" s="1471"/>
      <c r="M2821" s="1472">
        <v>0</v>
      </c>
      <c r="N2821" s="1473">
        <v>1.8650283618389374</v>
      </c>
      <c r="O2821" s="1473"/>
    </row>
    <row r="2822" spans="11:15">
      <c r="K2822" s="1470">
        <v>44879</v>
      </c>
      <c r="L2822" s="1471" t="s">
        <v>2129</v>
      </c>
      <c r="M2822" s="1472">
        <v>5.0788E-2</v>
      </c>
      <c r="N2822" s="1473">
        <v>1.8659755724433482</v>
      </c>
      <c r="O2822" s="1473"/>
    </row>
    <row r="2823" spans="11:15">
      <c r="K2823" s="1470">
        <v>44880</v>
      </c>
      <c r="L2823" s="1471"/>
      <c r="M2823" s="1472">
        <v>0</v>
      </c>
      <c r="N2823" s="1473">
        <v>1.8659755724433482</v>
      </c>
      <c r="O2823" s="1473"/>
    </row>
    <row r="2824" spans="11:15">
      <c r="K2824" s="1470">
        <v>44881</v>
      </c>
      <c r="L2824" s="1471" t="s">
        <v>2129</v>
      </c>
      <c r="M2824" s="1472">
        <v>5.0788E-2</v>
      </c>
      <c r="N2824" s="1473">
        <v>1.8669232641170808</v>
      </c>
      <c r="O2824" s="1473"/>
    </row>
    <row r="2825" spans="11:15">
      <c r="K2825" s="1470">
        <v>44882</v>
      </c>
      <c r="L2825" s="1471" t="s">
        <v>2129</v>
      </c>
      <c r="M2825" s="1472">
        <v>5.0788E-2</v>
      </c>
      <c r="N2825" s="1473">
        <v>1.8678714371044605</v>
      </c>
      <c r="O2825" s="1473"/>
    </row>
    <row r="2826" spans="11:15">
      <c r="K2826" s="1470">
        <v>44883</v>
      </c>
      <c r="L2826" s="1471" t="s">
        <v>2129</v>
      </c>
      <c r="M2826" s="1472">
        <v>5.0788E-2</v>
      </c>
      <c r="N2826" s="1473">
        <v>1.8688200916499371</v>
      </c>
      <c r="O2826" s="1473"/>
    </row>
    <row r="2827" spans="11:15">
      <c r="K2827" s="1470">
        <v>44884</v>
      </c>
      <c r="L2827" s="1471"/>
      <c r="M2827" s="1472">
        <v>0</v>
      </c>
      <c r="N2827" s="1473">
        <v>1.8688200916499371</v>
      </c>
      <c r="O2827" s="1473"/>
    </row>
    <row r="2828" spans="11:15">
      <c r="K2828" s="1470">
        <v>44885</v>
      </c>
      <c r="L2828" s="1471"/>
      <c r="M2828" s="1472">
        <v>0</v>
      </c>
      <c r="N2828" s="1473">
        <v>1.8688200916499371</v>
      </c>
      <c r="O2828" s="1473"/>
    </row>
    <row r="2829" spans="11:15">
      <c r="K2829" s="1470">
        <v>44886</v>
      </c>
      <c r="L2829" s="1471" t="s">
        <v>2129</v>
      </c>
      <c r="M2829" s="1472">
        <v>5.0788E-2</v>
      </c>
      <c r="N2829" s="1473">
        <v>1.8697692279980844</v>
      </c>
      <c r="O2829" s="1473"/>
    </row>
    <row r="2830" spans="11:15">
      <c r="K2830" s="1470">
        <v>44887</v>
      </c>
      <c r="L2830" s="1471" t="s">
        <v>2129</v>
      </c>
      <c r="M2830" s="1472">
        <v>5.0788E-2</v>
      </c>
      <c r="N2830" s="1473">
        <v>1.8707188463936002</v>
      </c>
      <c r="O2830" s="1473"/>
    </row>
    <row r="2831" spans="11:15">
      <c r="K2831" s="1470">
        <v>44888</v>
      </c>
      <c r="L2831" s="1471" t="s">
        <v>2129</v>
      </c>
      <c r="M2831" s="1472">
        <v>5.0788E-2</v>
      </c>
      <c r="N2831" s="1473">
        <v>1.8716689470813066</v>
      </c>
      <c r="O2831" s="1473"/>
    </row>
    <row r="2832" spans="11:15">
      <c r="K2832" s="1470">
        <v>44889</v>
      </c>
      <c r="L2832" s="1471" t="s">
        <v>2129</v>
      </c>
      <c r="M2832" s="1472">
        <v>5.0788E-2</v>
      </c>
      <c r="N2832" s="1473">
        <v>1.8726195303061504</v>
      </c>
      <c r="O2832" s="1473"/>
    </row>
    <row r="2833" spans="11:15">
      <c r="K2833" s="1470">
        <v>44890</v>
      </c>
      <c r="L2833" s="1471" t="s">
        <v>2129</v>
      </c>
      <c r="M2833" s="1472">
        <v>5.0788E-2</v>
      </c>
      <c r="N2833" s="1473">
        <v>1.8735705963132023</v>
      </c>
      <c r="O2833" s="1473"/>
    </row>
    <row r="2834" spans="11:15">
      <c r="K2834" s="1470">
        <v>44891</v>
      </c>
      <c r="L2834" s="1471"/>
      <c r="M2834" s="1472">
        <v>0</v>
      </c>
      <c r="N2834" s="1473">
        <v>1.8735705963132023</v>
      </c>
      <c r="O2834" s="1473"/>
    </row>
    <row r="2835" spans="11:15">
      <c r="K2835" s="1470">
        <v>44892</v>
      </c>
      <c r="L2835" s="1471"/>
      <c r="M2835" s="1472">
        <v>0</v>
      </c>
      <c r="N2835" s="1473">
        <v>1.8735705963132023</v>
      </c>
      <c r="O2835" s="1473"/>
    </row>
    <row r="2836" spans="11:15">
      <c r="K2836" s="1470">
        <v>44893</v>
      </c>
      <c r="L2836" s="1471" t="s">
        <v>2129</v>
      </c>
      <c r="M2836" s="1472">
        <v>5.0788E-2</v>
      </c>
      <c r="N2836" s="1473">
        <v>1.8745221453476579</v>
      </c>
      <c r="O2836" s="1473"/>
    </row>
    <row r="2837" spans="11:15">
      <c r="K2837" s="1470">
        <v>44894</v>
      </c>
      <c r="L2837" s="1471" t="s">
        <v>2129</v>
      </c>
      <c r="M2837" s="1472">
        <v>5.0788E-2</v>
      </c>
      <c r="N2837" s="1473">
        <v>1.8754741776548371</v>
      </c>
      <c r="O2837" s="1473"/>
    </row>
    <row r="2838" spans="11:15">
      <c r="K2838" s="1470">
        <v>44895</v>
      </c>
      <c r="L2838" s="1471" t="s">
        <v>2129</v>
      </c>
      <c r="M2838" s="1472">
        <v>5.0788E-2</v>
      </c>
      <c r="N2838" s="1473">
        <v>1.8764266934801845</v>
      </c>
      <c r="O2838" s="1473"/>
    </row>
    <row r="2839" spans="11:15">
      <c r="K2839" s="1470">
        <v>44896</v>
      </c>
      <c r="L2839" s="1471" t="s">
        <v>2129</v>
      </c>
      <c r="M2839" s="1472">
        <v>5.0788E-2</v>
      </c>
      <c r="N2839" s="1473">
        <v>1.8773796930692692</v>
      </c>
      <c r="O2839" s="1473"/>
    </row>
    <row r="2840" spans="11:15">
      <c r="K2840" s="1470">
        <v>44897</v>
      </c>
      <c r="L2840" s="1471" t="s">
        <v>2129</v>
      </c>
      <c r="M2840" s="1472">
        <v>5.0788E-2</v>
      </c>
      <c r="N2840" s="1473">
        <v>1.8783331766677853</v>
      </c>
      <c r="O2840" s="1473"/>
    </row>
    <row r="2841" spans="11:15">
      <c r="K2841" s="1470">
        <v>44898</v>
      </c>
      <c r="L2841" s="1471"/>
      <c r="M2841" s="1472">
        <v>0</v>
      </c>
      <c r="N2841" s="1473">
        <v>1.8783331766677853</v>
      </c>
      <c r="O2841" s="1473"/>
    </row>
    <row r="2842" spans="11:15">
      <c r="K2842" s="1470">
        <v>44899</v>
      </c>
      <c r="L2842" s="1471"/>
      <c r="M2842" s="1472">
        <v>0</v>
      </c>
      <c r="N2842" s="1473">
        <v>1.8783331766677853</v>
      </c>
      <c r="O2842" s="1473"/>
    </row>
    <row r="2843" spans="11:15">
      <c r="K2843" s="1470">
        <v>44900</v>
      </c>
      <c r="L2843" s="1471" t="s">
        <v>2129</v>
      </c>
      <c r="M2843" s="1472">
        <v>5.0788E-2</v>
      </c>
      <c r="N2843" s="1473">
        <v>1.8792871445215513</v>
      </c>
      <c r="O2843" s="1473"/>
    </row>
    <row r="2844" spans="11:15">
      <c r="K2844" s="1470">
        <v>44901</v>
      </c>
      <c r="L2844" s="1471" t="s">
        <v>2129</v>
      </c>
      <c r="M2844" s="1472">
        <v>5.0788E-2</v>
      </c>
      <c r="N2844" s="1473">
        <v>1.8802415968765109</v>
      </c>
      <c r="O2844" s="1473"/>
    </row>
    <row r="2845" spans="11:15">
      <c r="K2845" s="1470">
        <v>44902</v>
      </c>
      <c r="L2845" s="1471" t="s">
        <v>2129</v>
      </c>
      <c r="M2845" s="1472">
        <v>5.0788E-2</v>
      </c>
      <c r="N2845" s="1473">
        <v>1.8811965339787327</v>
      </c>
      <c r="O2845" s="1473"/>
    </row>
    <row r="2846" spans="11:15">
      <c r="K2846" s="1470">
        <v>44903</v>
      </c>
      <c r="L2846" s="1471" t="s">
        <v>2129</v>
      </c>
      <c r="M2846" s="1472">
        <v>5.0788E-2</v>
      </c>
      <c r="N2846" s="1473">
        <v>1.8821519560744098</v>
      </c>
      <c r="O2846" s="1473"/>
    </row>
    <row r="2847" spans="11:15">
      <c r="K2847" s="1470">
        <v>44904</v>
      </c>
      <c r="L2847" s="1471" t="s">
        <v>2129</v>
      </c>
      <c r="M2847" s="1472">
        <v>5.0788E-2</v>
      </c>
      <c r="N2847" s="1473">
        <v>1.8831078634098608</v>
      </c>
      <c r="O2847" s="1473"/>
    </row>
    <row r="2848" spans="11:15">
      <c r="K2848" s="1470">
        <v>44905</v>
      </c>
      <c r="L2848" s="1471"/>
      <c r="M2848" s="1472">
        <v>0</v>
      </c>
      <c r="N2848" s="1473">
        <v>1.8831078634098608</v>
      </c>
      <c r="O2848" s="1473"/>
    </row>
    <row r="2849" spans="11:15">
      <c r="K2849" s="1470">
        <v>44906</v>
      </c>
      <c r="L2849" s="1471"/>
      <c r="M2849" s="1472">
        <v>0</v>
      </c>
      <c r="N2849" s="1473">
        <v>1.8831078634098608</v>
      </c>
      <c r="O2849" s="1473"/>
    </row>
    <row r="2850" spans="11:15">
      <c r="K2850" s="1470">
        <v>44907</v>
      </c>
      <c r="L2850" s="1471" t="s">
        <v>2129</v>
      </c>
      <c r="M2850" s="1472">
        <v>5.0788E-2</v>
      </c>
      <c r="N2850" s="1473">
        <v>1.8840642562315295</v>
      </c>
      <c r="O2850" s="1473"/>
    </row>
    <row r="2851" spans="11:15">
      <c r="K2851" s="1470">
        <v>44908</v>
      </c>
      <c r="L2851" s="1471" t="s">
        <v>2129</v>
      </c>
      <c r="M2851" s="1472">
        <v>5.0788E-2</v>
      </c>
      <c r="N2851" s="1473">
        <v>1.8850211347859844</v>
      </c>
      <c r="O2851" s="1473"/>
    </row>
    <row r="2852" spans="11:15">
      <c r="K2852" s="1470">
        <v>44909</v>
      </c>
      <c r="L2852" s="1471" t="s">
        <v>2129</v>
      </c>
      <c r="M2852" s="1472">
        <v>5.0788E-2</v>
      </c>
      <c r="N2852" s="1473">
        <v>1.8859784993199196</v>
      </c>
      <c r="O2852" s="1473"/>
    </row>
    <row r="2853" spans="11:15">
      <c r="K2853" s="1470">
        <v>44910</v>
      </c>
      <c r="L2853" s="1471" t="s">
        <v>2129</v>
      </c>
      <c r="M2853" s="1472">
        <v>5.0788E-2</v>
      </c>
      <c r="N2853" s="1473">
        <v>1.8869363500801541</v>
      </c>
      <c r="O2853" s="1473"/>
    </row>
    <row r="2854" spans="11:15">
      <c r="K2854" s="1470">
        <v>44911</v>
      </c>
      <c r="L2854" s="1471" t="s">
        <v>2129</v>
      </c>
      <c r="M2854" s="1472">
        <v>5.0788E-2</v>
      </c>
      <c r="N2854" s="1473">
        <v>1.8878946873136329</v>
      </c>
      <c r="O2854" s="1473"/>
    </row>
    <row r="2855" spans="11:15">
      <c r="K2855" s="1470">
        <v>44912</v>
      </c>
      <c r="L2855" s="1471"/>
      <c r="M2855" s="1472">
        <v>0</v>
      </c>
      <c r="N2855" s="1473">
        <v>1.8878946873136329</v>
      </c>
      <c r="O2855" s="1473"/>
    </row>
    <row r="2856" spans="11:15">
      <c r="K2856" s="1470">
        <v>44913</v>
      </c>
      <c r="L2856" s="1471"/>
      <c r="M2856" s="1472">
        <v>0</v>
      </c>
      <c r="N2856" s="1473">
        <v>1.8878946873136329</v>
      </c>
      <c r="O2856" s="1473"/>
    </row>
    <row r="2857" spans="11:15">
      <c r="K2857" s="1470">
        <v>44914</v>
      </c>
      <c r="L2857" s="1471" t="s">
        <v>2129</v>
      </c>
      <c r="M2857" s="1472">
        <v>5.0788E-2</v>
      </c>
      <c r="N2857" s="1473">
        <v>1.8888535112674258</v>
      </c>
      <c r="O2857" s="1473"/>
    </row>
    <row r="2858" spans="11:15">
      <c r="K2858" s="1470">
        <v>44915</v>
      </c>
      <c r="L2858" s="1471" t="s">
        <v>2129</v>
      </c>
      <c r="M2858" s="1472">
        <v>5.0788E-2</v>
      </c>
      <c r="N2858" s="1473">
        <v>1.8898128221887285</v>
      </c>
      <c r="O2858" s="1473"/>
    </row>
    <row r="2859" spans="11:15">
      <c r="K2859" s="1470">
        <v>44916</v>
      </c>
      <c r="L2859" s="1471" t="s">
        <v>2129</v>
      </c>
      <c r="M2859" s="1472">
        <v>5.0788E-2</v>
      </c>
      <c r="N2859" s="1473">
        <v>1.8907726203248618</v>
      </c>
      <c r="O2859" s="1473"/>
    </row>
    <row r="2860" spans="11:15">
      <c r="K2860" s="1470">
        <v>44917</v>
      </c>
      <c r="L2860" s="1471" t="s">
        <v>2129</v>
      </c>
      <c r="M2860" s="1472">
        <v>5.0788E-2</v>
      </c>
      <c r="N2860" s="1473">
        <v>1.8917329059232724</v>
      </c>
      <c r="O2860" s="1473"/>
    </row>
    <row r="2861" spans="11:15">
      <c r="K2861" s="1470">
        <v>44918</v>
      </c>
      <c r="L2861" s="1471" t="s">
        <v>2129</v>
      </c>
      <c r="M2861" s="1472">
        <v>5.0788E-2</v>
      </c>
      <c r="N2861" s="1473">
        <v>1.8926936792315328</v>
      </c>
      <c r="O2861" s="1473"/>
    </row>
    <row r="2862" spans="11:15">
      <c r="K2862" s="1470">
        <v>44919</v>
      </c>
      <c r="L2862" s="1471"/>
      <c r="M2862" s="1472">
        <v>0</v>
      </c>
      <c r="N2862" s="1473">
        <v>1.8926936792315328</v>
      </c>
      <c r="O2862" s="1473"/>
    </row>
    <row r="2863" spans="11:15">
      <c r="K2863" s="1470">
        <v>44920</v>
      </c>
      <c r="L2863" s="1471"/>
      <c r="M2863" s="1472">
        <v>0</v>
      </c>
      <c r="N2863" s="1473">
        <v>1.8926936792315328</v>
      </c>
      <c r="O2863" s="1473"/>
    </row>
    <row r="2864" spans="11:15">
      <c r="K2864" s="1470">
        <v>44921</v>
      </c>
      <c r="L2864" s="1471" t="s">
        <v>2129</v>
      </c>
      <c r="M2864" s="1472">
        <v>5.0788E-2</v>
      </c>
      <c r="N2864" s="1473">
        <v>1.8936549404973408</v>
      </c>
      <c r="O2864" s="1473"/>
    </row>
    <row r="2865" spans="11:15">
      <c r="K2865" s="1470">
        <v>44922</v>
      </c>
      <c r="L2865" s="1471" t="s">
        <v>2129</v>
      </c>
      <c r="M2865" s="1472">
        <v>5.0788E-2</v>
      </c>
      <c r="N2865" s="1473">
        <v>1.8946166899685206</v>
      </c>
      <c r="O2865" s="1473"/>
    </row>
    <row r="2866" spans="11:15">
      <c r="K2866" s="1470">
        <v>44923</v>
      </c>
      <c r="L2866" s="1471" t="s">
        <v>2129</v>
      </c>
      <c r="M2866" s="1472">
        <v>5.0788E-2</v>
      </c>
      <c r="N2866" s="1473">
        <v>1.895578927893022</v>
      </c>
      <c r="O2866" s="1473"/>
    </row>
    <row r="2867" spans="11:15">
      <c r="K2867" s="1470">
        <v>44924</v>
      </c>
      <c r="L2867" s="1471" t="s">
        <v>2129</v>
      </c>
      <c r="M2867" s="1472">
        <v>5.0788E-2</v>
      </c>
      <c r="N2867" s="1473">
        <v>1.8965416545189202</v>
      </c>
      <c r="O2867" s="1473"/>
    </row>
    <row r="2868" spans="11:15">
      <c r="K2868" s="1470">
        <v>44925</v>
      </c>
      <c r="L2868" s="1471" t="s">
        <v>2129</v>
      </c>
      <c r="M2868" s="1472">
        <v>5.0788E-2</v>
      </c>
      <c r="N2868" s="1473">
        <v>1.8975048700944173</v>
      </c>
      <c r="O2868" s="1473"/>
    </row>
    <row r="2869" spans="11:15">
      <c r="K2869" s="1470">
        <v>44926</v>
      </c>
      <c r="L2869" s="1471"/>
      <c r="M2869" s="1472">
        <v>0</v>
      </c>
      <c r="N2869" s="1473">
        <v>1.8975048700944173</v>
      </c>
      <c r="O2869" s="1473"/>
    </row>
    <row r="2870" spans="11:15">
      <c r="K2870" s="1470">
        <v>44927</v>
      </c>
      <c r="L2870" s="1471"/>
      <c r="M2870" s="1472">
        <v>0</v>
      </c>
      <c r="N2870" s="1473">
        <v>1.8975048700944173</v>
      </c>
      <c r="O2870" s="1473"/>
    </row>
    <row r="2871" spans="11:15">
      <c r="K2871" s="1470">
        <v>44928</v>
      </c>
      <c r="L2871" s="1471" t="s">
        <v>2129</v>
      </c>
      <c r="M2871" s="1472">
        <v>5.0788E-2</v>
      </c>
      <c r="N2871" s="1473">
        <v>1.8984685748678409</v>
      </c>
      <c r="O2871" s="1473"/>
    </row>
    <row r="2872" spans="11:15">
      <c r="K2872" s="1470">
        <v>44929</v>
      </c>
      <c r="L2872" s="1471" t="s">
        <v>2129</v>
      </c>
      <c r="M2872" s="1472">
        <v>5.0788E-2</v>
      </c>
      <c r="N2872" s="1473">
        <v>1.8994327690876449</v>
      </c>
      <c r="O2872" s="1473"/>
    </row>
    <row r="2873" spans="11:15">
      <c r="K2873" s="1470">
        <v>44930</v>
      </c>
      <c r="L2873" s="1471" t="s">
        <v>2129</v>
      </c>
      <c r="M2873" s="1472">
        <v>5.0788E-2</v>
      </c>
      <c r="N2873" s="1473">
        <v>1.9003974530024093</v>
      </c>
      <c r="O2873" s="1473"/>
    </row>
    <row r="2874" spans="11:15">
      <c r="K2874" s="1470">
        <v>44931</v>
      </c>
      <c r="L2874" s="1471" t="s">
        <v>2129</v>
      </c>
      <c r="M2874" s="1472">
        <v>5.0788E-2</v>
      </c>
      <c r="N2874" s="1473">
        <v>1.9013626268608401</v>
      </c>
      <c r="O2874" s="1473"/>
    </row>
    <row r="2875" spans="11:15">
      <c r="K2875" s="1470">
        <v>44932</v>
      </c>
      <c r="L2875" s="1471" t="s">
        <v>2129</v>
      </c>
      <c r="M2875" s="1472">
        <v>5.0788E-2</v>
      </c>
      <c r="N2875" s="1473">
        <v>1.9023282909117702</v>
      </c>
      <c r="O2875" s="1473"/>
    </row>
    <row r="2876" spans="11:15">
      <c r="K2876" s="1470">
        <v>44933</v>
      </c>
      <c r="L2876" s="1471"/>
      <c r="M2876" s="1472">
        <v>0</v>
      </c>
      <c r="N2876" s="1473">
        <v>1.9023282909117702</v>
      </c>
      <c r="O2876" s="1473"/>
    </row>
    <row r="2877" spans="11:15">
      <c r="K2877" s="1470">
        <v>44934</v>
      </c>
      <c r="L2877" s="1471"/>
      <c r="M2877" s="1472">
        <v>0</v>
      </c>
      <c r="N2877" s="1473">
        <v>1.9023282909117702</v>
      </c>
      <c r="O2877" s="1473"/>
    </row>
    <row r="2878" spans="11:15">
      <c r="K2878" s="1470">
        <v>44935</v>
      </c>
      <c r="L2878" s="1471" t="s">
        <v>2129</v>
      </c>
      <c r="M2878" s="1472">
        <v>5.0788E-2</v>
      </c>
      <c r="N2878" s="1473">
        <v>1.9032944454041585</v>
      </c>
      <c r="O2878" s="1473"/>
    </row>
    <row r="2879" spans="11:15">
      <c r="K2879" s="1470">
        <v>44936</v>
      </c>
      <c r="L2879" s="1471" t="s">
        <v>2129</v>
      </c>
      <c r="M2879" s="1472">
        <v>5.0788E-2</v>
      </c>
      <c r="N2879" s="1473">
        <v>1.9042610905870905</v>
      </c>
      <c r="O2879" s="1473"/>
    </row>
    <row r="2880" spans="11:15">
      <c r="K2880" s="1470">
        <v>44937</v>
      </c>
      <c r="L2880" s="1471" t="s">
        <v>2129</v>
      </c>
      <c r="M2880" s="1472">
        <v>5.0788E-2</v>
      </c>
      <c r="N2880" s="1473">
        <v>1.905228226709778</v>
      </c>
      <c r="O2880" s="1473"/>
    </row>
    <row r="2881" spans="11:15">
      <c r="K2881" s="1470">
        <v>44938</v>
      </c>
      <c r="L2881" s="1471" t="s">
        <v>2129</v>
      </c>
      <c r="M2881" s="1472">
        <v>5.0788E-2</v>
      </c>
      <c r="N2881" s="1473">
        <v>1.9061958540215593</v>
      </c>
      <c r="O2881" s="1473"/>
    </row>
    <row r="2882" spans="11:15">
      <c r="K2882" s="1470">
        <v>44939</v>
      </c>
      <c r="L2882" s="1471" t="s">
        <v>2129</v>
      </c>
      <c r="M2882" s="1472">
        <v>5.0788E-2</v>
      </c>
      <c r="N2882" s="1473">
        <v>1.9071639727718999</v>
      </c>
      <c r="O2882" s="1473"/>
    </row>
    <row r="2883" spans="11:15">
      <c r="K2883" s="1470">
        <v>44940</v>
      </c>
      <c r="L2883" s="1471"/>
      <c r="M2883" s="1472">
        <v>0</v>
      </c>
      <c r="N2883" s="1473">
        <v>1.9071639727718999</v>
      </c>
      <c r="O2883" s="1473"/>
    </row>
    <row r="2884" spans="11:15">
      <c r="K2884" s="1470">
        <v>44941</v>
      </c>
      <c r="L2884" s="1471"/>
      <c r="M2884" s="1472">
        <v>0</v>
      </c>
      <c r="N2884" s="1473">
        <v>1.9071639727718999</v>
      </c>
      <c r="O2884" s="1473"/>
    </row>
    <row r="2885" spans="11:15">
      <c r="K2885" s="1470">
        <v>44942</v>
      </c>
      <c r="L2885" s="1471" t="s">
        <v>2129</v>
      </c>
      <c r="M2885" s="1472">
        <v>5.0788E-2</v>
      </c>
      <c r="N2885" s="1473">
        <v>1.9081325832103913</v>
      </c>
      <c r="O2885" s="1473"/>
    </row>
    <row r="2886" spans="11:15">
      <c r="K2886" s="1470">
        <v>44943</v>
      </c>
      <c r="L2886" s="1471" t="s">
        <v>2129</v>
      </c>
      <c r="M2886" s="1472">
        <v>5.0788E-2</v>
      </c>
      <c r="N2886" s="1473">
        <v>1.9091016855867522</v>
      </c>
      <c r="O2886" s="1473"/>
    </row>
    <row r="2887" spans="11:15">
      <c r="K2887" s="1470">
        <v>44944</v>
      </c>
      <c r="L2887" s="1471" t="s">
        <v>2129</v>
      </c>
      <c r="M2887" s="1472">
        <v>5.0788E-2</v>
      </c>
      <c r="N2887" s="1473">
        <v>1.9100712801508279</v>
      </c>
      <c r="O2887" s="1473"/>
    </row>
    <row r="2888" spans="11:15">
      <c r="K2888" s="1470">
        <v>44945</v>
      </c>
      <c r="L2888" s="1471" t="s">
        <v>2129</v>
      </c>
      <c r="M2888" s="1472">
        <v>5.0788E-2</v>
      </c>
      <c r="N2888" s="1473">
        <v>1.911041367152591</v>
      </c>
      <c r="O2888" s="1473"/>
    </row>
    <row r="2889" spans="11:15">
      <c r="K2889" s="1470">
        <v>44946</v>
      </c>
      <c r="L2889" s="1471" t="s">
        <v>2129</v>
      </c>
      <c r="M2889" s="1472">
        <v>5.0788E-2</v>
      </c>
      <c r="N2889" s="1473">
        <v>1.9120119468421404</v>
      </c>
      <c r="O2889" s="1473"/>
    </row>
    <row r="2890" spans="11:15">
      <c r="K2890" s="1470">
        <v>44947</v>
      </c>
      <c r="L2890" s="1471"/>
      <c r="M2890" s="1472">
        <v>0</v>
      </c>
      <c r="N2890" s="1473">
        <v>1.9120119468421404</v>
      </c>
      <c r="O2890" s="1473"/>
    </row>
    <row r="2891" spans="11:15">
      <c r="K2891" s="1470">
        <v>44948</v>
      </c>
      <c r="L2891" s="1471"/>
      <c r="M2891" s="1472">
        <v>0</v>
      </c>
      <c r="N2891" s="1473">
        <v>1.9120119468421404</v>
      </c>
      <c r="O2891" s="1473"/>
    </row>
    <row r="2892" spans="11:15">
      <c r="K2892" s="1470">
        <v>44949</v>
      </c>
      <c r="L2892" s="1471" t="s">
        <v>2129</v>
      </c>
      <c r="M2892" s="1472">
        <v>5.0788E-2</v>
      </c>
      <c r="N2892" s="1473">
        <v>1.9129830194697026</v>
      </c>
      <c r="O2892" s="1473"/>
    </row>
    <row r="2893" spans="11:15">
      <c r="K2893" s="1470">
        <v>44950</v>
      </c>
      <c r="L2893" s="1471" t="s">
        <v>2129</v>
      </c>
      <c r="M2893" s="1472">
        <v>5.0788E-2</v>
      </c>
      <c r="N2893" s="1473">
        <v>1.913954585285631</v>
      </c>
      <c r="O2893" s="1473"/>
    </row>
    <row r="2894" spans="11:15">
      <c r="K2894" s="1470">
        <v>44951</v>
      </c>
      <c r="L2894" s="1471" t="s">
        <v>2129</v>
      </c>
      <c r="M2894" s="1472">
        <v>5.0788E-2</v>
      </c>
      <c r="N2894" s="1473">
        <v>1.9149266445404058</v>
      </c>
      <c r="O2894" s="1473"/>
    </row>
    <row r="2895" spans="11:15">
      <c r="K2895" s="1470">
        <v>44952</v>
      </c>
      <c r="L2895" s="1471" t="s">
        <v>2129</v>
      </c>
      <c r="M2895" s="1472">
        <v>5.0788E-2</v>
      </c>
      <c r="N2895" s="1473">
        <v>1.9158991974846351</v>
      </c>
      <c r="O2895" s="1473"/>
    </row>
    <row r="2896" spans="11:15">
      <c r="K2896" s="1470">
        <v>44953</v>
      </c>
      <c r="L2896" s="1471" t="s">
        <v>2129</v>
      </c>
      <c r="M2896" s="1472">
        <v>5.0788E-2</v>
      </c>
      <c r="N2896" s="1473">
        <v>1.9168722443690536</v>
      </c>
      <c r="O2896" s="1473"/>
    </row>
    <row r="2897" spans="11:15">
      <c r="K2897" s="1470">
        <v>44954</v>
      </c>
      <c r="L2897" s="1471"/>
      <c r="M2897" s="1472">
        <v>0</v>
      </c>
      <c r="N2897" s="1473">
        <v>1.9168722443690536</v>
      </c>
      <c r="O2897" s="1473"/>
    </row>
    <row r="2898" spans="11:15">
      <c r="K2898" s="1470">
        <v>44955</v>
      </c>
      <c r="L2898" s="1471"/>
      <c r="M2898" s="1472">
        <v>0</v>
      </c>
      <c r="N2898" s="1473">
        <v>1.9168722443690536</v>
      </c>
      <c r="O2898" s="1473"/>
    </row>
    <row r="2899" spans="11:15">
      <c r="K2899" s="1470">
        <v>44956</v>
      </c>
      <c r="L2899" s="1471" t="s">
        <v>2129</v>
      </c>
      <c r="M2899" s="1472">
        <v>5.0788E-2</v>
      </c>
      <c r="N2899" s="1473">
        <v>1.9178457854445237</v>
      </c>
      <c r="O2899" s="1473"/>
    </row>
    <row r="2900" spans="11:15">
      <c r="K2900" s="1470">
        <v>44957</v>
      </c>
      <c r="L2900" s="1471" t="s">
        <v>2129</v>
      </c>
      <c r="M2900" s="1472">
        <v>5.0788E-2</v>
      </c>
      <c r="N2900" s="1473">
        <v>1.9188198209620353</v>
      </c>
      <c r="O2900" s="1473"/>
    </row>
    <row r="2901" spans="11:15">
      <c r="K2901" s="1470">
        <v>44958</v>
      </c>
      <c r="L2901" s="1471" t="s">
        <v>2129</v>
      </c>
      <c r="M2901" s="1472">
        <v>5.0788E-2</v>
      </c>
      <c r="N2901" s="1473">
        <v>1.9197943511727056</v>
      </c>
      <c r="O2901" s="1473"/>
    </row>
    <row r="2902" spans="11:15">
      <c r="K2902" s="1470">
        <v>44959</v>
      </c>
      <c r="L2902" s="1471" t="s">
        <v>2129</v>
      </c>
      <c r="M2902" s="1472">
        <v>5.0788E-2</v>
      </c>
      <c r="N2902" s="1473">
        <v>1.9207693763277791</v>
      </c>
      <c r="O2902" s="1473"/>
    </row>
    <row r="2903" spans="11:15">
      <c r="K2903" s="1470">
        <v>44960</v>
      </c>
      <c r="L2903" s="1471" t="s">
        <v>2129</v>
      </c>
      <c r="M2903" s="1472">
        <v>5.0788E-2</v>
      </c>
      <c r="N2903" s="1473">
        <v>1.9217448966786286</v>
      </c>
      <c r="O2903" s="1473"/>
    </row>
    <row r="2904" spans="11:15">
      <c r="K2904" s="1470">
        <v>44961</v>
      </c>
      <c r="L2904" s="1471"/>
      <c r="M2904" s="1472">
        <v>0</v>
      </c>
      <c r="N2904" s="1473">
        <v>1.9217448966786286</v>
      </c>
      <c r="O2904" s="1473"/>
    </row>
    <row r="2905" spans="11:15">
      <c r="K2905" s="1470">
        <v>44962</v>
      </c>
      <c r="L2905" s="1471"/>
      <c r="M2905" s="1472">
        <v>0</v>
      </c>
      <c r="N2905" s="1473">
        <v>1.9217448966786286</v>
      </c>
      <c r="O2905" s="1473"/>
    </row>
    <row r="2906" spans="11:15">
      <c r="K2906" s="1470">
        <v>44963</v>
      </c>
      <c r="L2906" s="1471" t="s">
        <v>2129</v>
      </c>
      <c r="M2906" s="1472">
        <v>5.0788E-2</v>
      </c>
      <c r="N2906" s="1473">
        <v>1.9227209124767537</v>
      </c>
      <c r="O2906" s="1473"/>
    </row>
    <row r="2907" spans="11:15">
      <c r="K2907" s="1470">
        <v>44964</v>
      </c>
      <c r="L2907" s="1471" t="s">
        <v>2129</v>
      </c>
      <c r="M2907" s="1472">
        <v>5.0788E-2</v>
      </c>
      <c r="N2907" s="1473">
        <v>1.9236974239737825</v>
      </c>
      <c r="O2907" s="1473"/>
    </row>
    <row r="2908" spans="11:15">
      <c r="K2908" s="1470">
        <v>44965</v>
      </c>
      <c r="L2908" s="1471" t="s">
        <v>2129</v>
      </c>
      <c r="M2908" s="1472">
        <v>5.0788E-2</v>
      </c>
      <c r="N2908" s="1473">
        <v>1.9246744314214703</v>
      </c>
      <c r="O2908" s="1473"/>
    </row>
    <row r="2909" spans="11:15">
      <c r="K2909" s="1470">
        <v>44966</v>
      </c>
      <c r="L2909" s="1471" t="s">
        <v>2129</v>
      </c>
      <c r="M2909" s="1472">
        <v>5.0788E-2</v>
      </c>
      <c r="N2909" s="1473">
        <v>1.9256519350717007</v>
      </c>
      <c r="O2909" s="1473"/>
    </row>
    <row r="2910" spans="11:15">
      <c r="K2910" s="1470">
        <v>44967</v>
      </c>
      <c r="L2910" s="1471" t="s">
        <v>2129</v>
      </c>
      <c r="M2910" s="1472">
        <v>5.0788E-2</v>
      </c>
      <c r="N2910" s="1473">
        <v>1.9266299351764851</v>
      </c>
      <c r="O2910" s="1473"/>
    </row>
    <row r="2911" spans="11:15">
      <c r="K2911" s="1470">
        <v>44968</v>
      </c>
      <c r="L2911" s="1471"/>
      <c r="M2911" s="1472">
        <v>0</v>
      </c>
      <c r="N2911" s="1473">
        <v>1.9266299351764851</v>
      </c>
      <c r="O2911" s="1473"/>
    </row>
    <row r="2912" spans="11:15">
      <c r="K2912" s="1470">
        <v>44969</v>
      </c>
      <c r="L2912" s="1471"/>
      <c r="M2912" s="1472">
        <v>0</v>
      </c>
      <c r="N2912" s="1473">
        <v>1.9266299351764851</v>
      </c>
      <c r="O2912" s="1473"/>
    </row>
    <row r="2913" spans="11:15">
      <c r="K2913" s="1470">
        <v>44970</v>
      </c>
      <c r="L2913" s="1471" t="s">
        <v>2129</v>
      </c>
      <c r="M2913" s="1472">
        <v>5.0788E-2</v>
      </c>
      <c r="N2913" s="1473">
        <v>1.9276084319879625</v>
      </c>
      <c r="O2913" s="1473"/>
    </row>
    <row r="2914" spans="11:15">
      <c r="K2914" s="1470">
        <v>44971</v>
      </c>
      <c r="L2914" s="1471" t="s">
        <v>2129</v>
      </c>
      <c r="M2914" s="1472">
        <v>5.0788E-2</v>
      </c>
      <c r="N2914" s="1473">
        <v>1.9285874257584006</v>
      </c>
      <c r="O2914" s="1473"/>
    </row>
    <row r="2915" spans="11:15">
      <c r="K2915" s="1470">
        <v>44972</v>
      </c>
      <c r="L2915" s="1471" t="s">
        <v>2129</v>
      </c>
      <c r="M2915" s="1472">
        <v>5.0788E-2</v>
      </c>
      <c r="N2915" s="1473">
        <v>1.9295669167401948</v>
      </c>
      <c r="O2915" s="1473"/>
    </row>
    <row r="2916" spans="11:15">
      <c r="K2916" s="1470">
        <v>44973</v>
      </c>
      <c r="L2916" s="1471" t="s">
        <v>2129</v>
      </c>
      <c r="M2916" s="1472">
        <v>5.0788E-2</v>
      </c>
      <c r="N2916" s="1473">
        <v>1.9305469051858688</v>
      </c>
      <c r="O2916" s="1473"/>
    </row>
    <row r="2917" spans="11:15">
      <c r="K2917" s="1470">
        <v>44974</v>
      </c>
      <c r="L2917" s="1471" t="s">
        <v>2129</v>
      </c>
      <c r="M2917" s="1472">
        <v>5.0788E-2</v>
      </c>
      <c r="N2917" s="1473">
        <v>1.9315273913480746</v>
      </c>
      <c r="O2917" s="1473"/>
    </row>
    <row r="2918" spans="11:15">
      <c r="K2918" s="1470">
        <v>44975</v>
      </c>
      <c r="L2918" s="1471"/>
      <c r="M2918" s="1472">
        <v>0</v>
      </c>
      <c r="N2918" s="1473">
        <v>1.9315273913480746</v>
      </c>
      <c r="O2918" s="1473"/>
    </row>
    <row r="2919" spans="11:15">
      <c r="K2919" s="1470">
        <v>44976</v>
      </c>
      <c r="L2919" s="1471"/>
      <c r="M2919" s="1472">
        <v>0</v>
      </c>
      <c r="N2919" s="1473">
        <v>1.9315273913480746</v>
      </c>
      <c r="O2919" s="1473"/>
    </row>
    <row r="2920" spans="11:15">
      <c r="K2920" s="1470">
        <v>44977</v>
      </c>
      <c r="L2920" s="1471"/>
      <c r="M2920" s="1472">
        <v>0</v>
      </c>
      <c r="N2920" s="1473">
        <v>1.9315273913480746</v>
      </c>
      <c r="O2920" s="1473"/>
    </row>
    <row r="2921" spans="11:15">
      <c r="K2921" s="1470">
        <v>44978</v>
      </c>
      <c r="L2921" s="1471"/>
      <c r="M2921" s="1472">
        <v>0</v>
      </c>
      <c r="N2921" s="1473">
        <v>1.9315273913480746</v>
      </c>
      <c r="O2921" s="1473"/>
    </row>
    <row r="2922" spans="11:15">
      <c r="K2922" s="1470">
        <v>44979</v>
      </c>
      <c r="L2922" s="1471" t="s">
        <v>2129</v>
      </c>
      <c r="M2922" s="1472">
        <v>5.0788E-2</v>
      </c>
      <c r="N2922" s="1473">
        <v>1.9325083754795924</v>
      </c>
      <c r="O2922" s="1473"/>
    </row>
    <row r="2923" spans="11:15">
      <c r="K2923" s="1470">
        <v>44980</v>
      </c>
      <c r="L2923" s="1471" t="s">
        <v>2129</v>
      </c>
      <c r="M2923" s="1472">
        <v>5.0788E-2</v>
      </c>
      <c r="N2923" s="1473">
        <v>1.933489857833331</v>
      </c>
      <c r="O2923" s="1473"/>
    </row>
    <row r="2924" spans="11:15">
      <c r="K2924" s="1470">
        <v>44981</v>
      </c>
      <c r="L2924" s="1471" t="s">
        <v>2129</v>
      </c>
      <c r="M2924" s="1472">
        <v>5.0788E-2</v>
      </c>
      <c r="N2924" s="1473">
        <v>1.9344718386623274</v>
      </c>
      <c r="O2924" s="1473"/>
    </row>
    <row r="2925" spans="11:15">
      <c r="K2925" s="1470">
        <v>44982</v>
      </c>
      <c r="L2925" s="1471"/>
      <c r="M2925" s="1472">
        <v>0</v>
      </c>
      <c r="N2925" s="1473">
        <v>1.9344718386623274</v>
      </c>
      <c r="O2925" s="1473"/>
    </row>
    <row r="2926" spans="11:15">
      <c r="K2926" s="1470">
        <v>44983</v>
      </c>
      <c r="L2926" s="1471"/>
      <c r="M2926" s="1472">
        <v>0</v>
      </c>
      <c r="N2926" s="1473">
        <v>1.9344718386623274</v>
      </c>
      <c r="O2926" s="1473"/>
    </row>
    <row r="2927" spans="11:15">
      <c r="K2927" s="1470">
        <v>44984</v>
      </c>
      <c r="L2927" s="1471" t="s">
        <v>2129</v>
      </c>
      <c r="M2927" s="1472">
        <v>5.0788E-2</v>
      </c>
      <c r="N2927" s="1473">
        <v>1.9354543182197472</v>
      </c>
      <c r="O2927" s="1473"/>
    </row>
    <row r="2928" spans="11:15">
      <c r="K2928" s="1470">
        <v>44985</v>
      </c>
      <c r="L2928" s="1471" t="s">
        <v>2129</v>
      </c>
      <c r="M2928" s="1472">
        <v>5.0788E-2</v>
      </c>
      <c r="N2928" s="1473">
        <v>1.9364372967588848</v>
      </c>
      <c r="O2928" s="1473"/>
    </row>
    <row r="2929" spans="11:15">
      <c r="K2929" s="1470">
        <v>44986</v>
      </c>
      <c r="L2929" s="1471" t="s">
        <v>2129</v>
      </c>
      <c r="M2929" s="1472">
        <v>5.0788E-2</v>
      </c>
      <c r="N2929" s="1473">
        <v>1.9374207745331626</v>
      </c>
      <c r="O2929" s="1473"/>
    </row>
    <row r="2930" spans="11:15">
      <c r="K2930" s="1470">
        <v>44987</v>
      </c>
      <c r="L2930" s="1474" t="s">
        <v>2129</v>
      </c>
      <c r="M2930" s="850">
        <v>5.0788E-2</v>
      </c>
      <c r="N2930" s="1474">
        <v>1.9384047517961325</v>
      </c>
      <c r="O2930" s="1474"/>
    </row>
    <row r="2931" spans="11:15">
      <c r="K2931" s="1470">
        <v>44988</v>
      </c>
      <c r="L2931" s="1474" t="s">
        <v>2129</v>
      </c>
      <c r="M2931" s="850">
        <v>5.0788E-2</v>
      </c>
      <c r="N2931" s="1474">
        <v>1.9393892288014747</v>
      </c>
      <c r="O2931" s="1474"/>
    </row>
    <row r="2932" spans="11:15">
      <c r="K2932" s="1470">
        <v>44989</v>
      </c>
      <c r="L2932" s="1474"/>
      <c r="M2932" s="850">
        <v>0</v>
      </c>
      <c r="N2932" s="1474">
        <v>1.9393892288014747</v>
      </c>
      <c r="O2932" s="1474"/>
    </row>
    <row r="2933" spans="11:15">
      <c r="K2933" s="1470">
        <v>44990</v>
      </c>
      <c r="L2933" s="1474"/>
      <c r="M2933" s="850">
        <v>0</v>
      </c>
      <c r="N2933" s="1474">
        <v>1.9393892288014747</v>
      </c>
      <c r="O2933" s="1474"/>
    </row>
    <row r="2934" spans="11:15">
      <c r="K2934" s="1470">
        <v>44991</v>
      </c>
      <c r="L2934" s="1474" t="s">
        <v>2129</v>
      </c>
      <c r="M2934" s="850">
        <v>5.0788E-2</v>
      </c>
      <c r="N2934" s="1474">
        <v>1.9403742058029985</v>
      </c>
      <c r="O2934" s="1474"/>
    </row>
    <row r="2935" spans="11:15">
      <c r="K2935" s="1470">
        <v>44992</v>
      </c>
      <c r="L2935" s="1474" t="s">
        <v>2129</v>
      </c>
      <c r="M2935" s="850">
        <v>5.0788E-2</v>
      </c>
      <c r="N2935" s="1474">
        <v>1.9413596830546418</v>
      </c>
      <c r="O2935" s="1474"/>
    </row>
    <row r="2936" spans="11:15">
      <c r="K2936" s="1470">
        <v>44993</v>
      </c>
      <c r="L2936" s="1474" t="s">
        <v>2129</v>
      </c>
      <c r="M2936" s="850">
        <v>5.0788E-2</v>
      </c>
      <c r="N2936" s="1474">
        <v>1.9423456608104717</v>
      </c>
      <c r="O2936" s="1474"/>
    </row>
    <row r="2937" spans="11:15">
      <c r="K2937" s="1470">
        <v>44994</v>
      </c>
      <c r="L2937" s="1474" t="s">
        <v>2129</v>
      </c>
      <c r="M2937" s="850">
        <v>5.0788E-2</v>
      </c>
      <c r="N2937" s="1474">
        <v>1.9433321393246841</v>
      </c>
      <c r="O2937" s="1474"/>
    </row>
    <row r="2938" spans="11:15">
      <c r="K2938" s="1470">
        <v>44995</v>
      </c>
      <c r="L2938" s="1474" t="s">
        <v>2129</v>
      </c>
      <c r="M2938" s="850">
        <v>5.0788E-2</v>
      </c>
      <c r="N2938" s="1474">
        <v>1.9443191188516042</v>
      </c>
      <c r="O2938" s="1474"/>
    </row>
    <row r="2939" spans="11:15">
      <c r="K2939" s="1470">
        <v>44996</v>
      </c>
      <c r="L2939" s="1474"/>
      <c r="M2939" s="850">
        <v>0</v>
      </c>
      <c r="N2939" s="1474">
        <v>1.9443191188516042</v>
      </c>
      <c r="O2939" s="1474"/>
    </row>
    <row r="2940" spans="11:15">
      <c r="K2940" s="1470">
        <v>44997</v>
      </c>
      <c r="L2940" s="1474"/>
      <c r="M2940" s="850">
        <v>0</v>
      </c>
      <c r="N2940" s="1474">
        <v>1.9443191188516042</v>
      </c>
      <c r="O2940" s="1474"/>
    </row>
    <row r="2941" spans="11:15">
      <c r="K2941" s="1470">
        <v>44998</v>
      </c>
      <c r="L2941" s="1474" t="s">
        <v>2129</v>
      </c>
      <c r="M2941" s="850">
        <v>5.0788E-2</v>
      </c>
      <c r="N2941" s="1474">
        <v>1.9453065996456866</v>
      </c>
      <c r="O2941" s="1474"/>
    </row>
    <row r="2942" spans="11:15">
      <c r="K2942" s="1470">
        <v>44999</v>
      </c>
      <c r="L2942" s="1474" t="s">
        <v>2129</v>
      </c>
      <c r="M2942" s="850">
        <v>5.0788E-2</v>
      </c>
      <c r="N2942" s="1474">
        <v>1.9462945819615147</v>
      </c>
      <c r="O2942" s="1474"/>
    </row>
    <row r="2943" spans="11:15">
      <c r="K2943" s="1470">
        <v>45000</v>
      </c>
      <c r="L2943" s="1474" t="s">
        <v>2129</v>
      </c>
      <c r="M2943" s="850">
        <v>5.0788E-2</v>
      </c>
      <c r="N2943" s="1474">
        <v>1.9472830660538014</v>
      </c>
      <c r="O2943" s="1474"/>
    </row>
    <row r="2944" spans="11:15">
      <c r="K2944" s="1470">
        <v>45001</v>
      </c>
      <c r="L2944" s="1474" t="s">
        <v>2129</v>
      </c>
      <c r="M2944" s="850">
        <v>5.0788E-2</v>
      </c>
      <c r="N2944" s="1474">
        <v>1.9482720521773889</v>
      </c>
      <c r="O2944" s="1474"/>
    </row>
    <row r="2945" spans="11:15">
      <c r="K2945" s="1470">
        <v>45002</v>
      </c>
      <c r="L2945" s="1474" t="s">
        <v>2129</v>
      </c>
      <c r="M2945" s="850">
        <v>5.0788E-2</v>
      </c>
      <c r="N2945" s="1474">
        <v>1.9492615405872487</v>
      </c>
      <c r="O2945" s="1474"/>
    </row>
    <row r="2946" spans="11:15">
      <c r="K2946" s="1470">
        <v>45003</v>
      </c>
      <c r="L2946" s="1474"/>
      <c r="M2946" s="850">
        <v>0</v>
      </c>
      <c r="N2946" s="1474">
        <v>1.9492615405872487</v>
      </c>
      <c r="O2946" s="1474"/>
    </row>
    <row r="2947" spans="11:15">
      <c r="K2947" s="1470">
        <v>45004</v>
      </c>
      <c r="L2947" s="1474"/>
      <c r="M2947" s="850">
        <v>0</v>
      </c>
      <c r="N2947" s="1474">
        <v>1.9492615405872487</v>
      </c>
      <c r="O2947" s="1474"/>
    </row>
    <row r="2948" spans="11:15">
      <c r="K2948" s="1470">
        <v>45005</v>
      </c>
      <c r="L2948" s="1474" t="s">
        <v>2129</v>
      </c>
      <c r="M2948" s="850">
        <v>5.0788E-2</v>
      </c>
      <c r="N2948" s="1474">
        <v>1.9502515315384821</v>
      </c>
      <c r="O2948" s="1474"/>
    </row>
    <row r="2949" spans="11:15">
      <c r="K2949" s="1470">
        <v>45006</v>
      </c>
      <c r="L2949" s="1474" t="s">
        <v>2129</v>
      </c>
      <c r="M2949" s="850">
        <v>5.0788E-2</v>
      </c>
      <c r="N2949" s="1474">
        <v>1.9512420252863198</v>
      </c>
      <c r="O2949" s="1474"/>
    </row>
    <row r="2950" spans="11:15">
      <c r="K2950" s="1470">
        <v>45007</v>
      </c>
      <c r="L2950" s="1474" t="s">
        <v>2129</v>
      </c>
      <c r="M2950" s="850">
        <v>5.0788E-2</v>
      </c>
      <c r="N2950" s="1474">
        <v>1.9522330220861224</v>
      </c>
      <c r="O2950" s="1474"/>
    </row>
    <row r="2951" spans="11:15">
      <c r="K2951" s="1470">
        <v>45008</v>
      </c>
      <c r="L2951" s="1474" t="s">
        <v>2129</v>
      </c>
      <c r="M2951" s="850">
        <v>5.0788E-2</v>
      </c>
      <c r="N2951" s="1474">
        <v>1.9532245221933795</v>
      </c>
      <c r="O2951" s="1474"/>
    </row>
    <row r="2952" spans="11:15">
      <c r="K2952" s="1470">
        <v>45009</v>
      </c>
      <c r="L2952" s="1474" t="s">
        <v>2129</v>
      </c>
      <c r="M2952" s="850">
        <v>5.0788E-2</v>
      </c>
      <c r="N2952" s="1474">
        <v>1.9542165258637112</v>
      </c>
      <c r="O2952" s="1474"/>
    </row>
    <row r="2953" spans="11:15">
      <c r="K2953" s="1470">
        <v>45010</v>
      </c>
      <c r="L2953" s="1474"/>
      <c r="M2953" s="850">
        <v>0</v>
      </c>
      <c r="N2953" s="1474">
        <v>1.9542165258637112</v>
      </c>
      <c r="O2953" s="1474"/>
    </row>
    <row r="2954" spans="11:15">
      <c r="K2954" s="1470">
        <v>45011</v>
      </c>
      <c r="L2954" s="1474"/>
      <c r="M2954" s="850">
        <v>0</v>
      </c>
      <c r="N2954" s="1474">
        <v>1.9542165258637112</v>
      </c>
      <c r="O2954" s="1474"/>
    </row>
    <row r="2955" spans="11:15">
      <c r="K2955" s="1470">
        <v>45012</v>
      </c>
      <c r="L2955" s="1474" t="s">
        <v>2129</v>
      </c>
      <c r="M2955" s="850">
        <v>5.0788E-2</v>
      </c>
      <c r="N2955" s="1474">
        <v>1.9552090333528669</v>
      </c>
      <c r="O2955" s="1474"/>
    </row>
    <row r="2956" spans="11:15">
      <c r="K2956" s="1470">
        <v>45013</v>
      </c>
      <c r="L2956" s="1474" t="s">
        <v>2129</v>
      </c>
      <c r="M2956" s="850">
        <v>5.0788E-2</v>
      </c>
      <c r="N2956" s="1474">
        <v>1.9562020449167261</v>
      </c>
      <c r="O2956" s="1474"/>
    </row>
    <row r="2957" spans="11:15">
      <c r="K2957" s="1470">
        <v>45014</v>
      </c>
      <c r="L2957" s="1474" t="s">
        <v>2129</v>
      </c>
      <c r="M2957" s="850">
        <v>5.0788E-2</v>
      </c>
      <c r="N2957" s="1474">
        <v>1.9571955608112985</v>
      </c>
      <c r="O2957" s="1474"/>
    </row>
    <row r="2958" spans="11:15">
      <c r="K2958" s="1470">
        <v>45015</v>
      </c>
      <c r="L2958" s="1474" t="s">
        <v>2129</v>
      </c>
      <c r="M2958" s="850">
        <v>5.0788E-2</v>
      </c>
      <c r="N2958" s="1474">
        <v>1.9581895812927235</v>
      </c>
      <c r="O2958" s="1474"/>
    </row>
    <row r="2959" spans="11:15">
      <c r="K2959" s="1470">
        <v>45016</v>
      </c>
      <c r="L2959" s="1474" t="s">
        <v>2129</v>
      </c>
      <c r="M2959" s="850">
        <v>5.0788E-2</v>
      </c>
      <c r="N2959" s="1474">
        <v>1.9591841066172704</v>
      </c>
      <c r="O2959" s="1474"/>
    </row>
    <row r="2960" spans="11:15">
      <c r="K2960" s="1470">
        <v>45017</v>
      </c>
      <c r="L2960" s="1474"/>
      <c r="M2960" s="850">
        <v>0</v>
      </c>
      <c r="N2960" s="1474">
        <v>1.9591841066172704</v>
      </c>
      <c r="O2960" s="1474"/>
    </row>
    <row r="2961" spans="11:15">
      <c r="K2961" s="1470">
        <v>45018</v>
      </c>
      <c r="L2961" s="1474"/>
      <c r="M2961" s="850">
        <v>0</v>
      </c>
      <c r="N2961" s="1474">
        <v>1.9591841066172704</v>
      </c>
      <c r="O2961" s="1474"/>
    </row>
    <row r="2962" spans="11:15">
      <c r="K2962" s="1470">
        <v>45019</v>
      </c>
      <c r="L2962" s="1474" t="s">
        <v>2129</v>
      </c>
      <c r="M2962" s="850">
        <v>5.0788E-2</v>
      </c>
      <c r="N2962" s="1474">
        <v>1.9601791370413393</v>
      </c>
      <c r="O2962" s="1474"/>
    </row>
    <row r="2963" spans="11:15">
      <c r="K2963" s="1470">
        <v>45020</v>
      </c>
      <c r="L2963" s="1474" t="s">
        <v>2129</v>
      </c>
      <c r="M2963" s="850">
        <v>5.0788E-2</v>
      </c>
      <c r="N2963" s="1474">
        <v>1.9611746728214599</v>
      </c>
      <c r="O2963" s="1474"/>
    </row>
    <row r="2964" spans="11:15">
      <c r="K2964" s="1470">
        <v>45021</v>
      </c>
      <c r="L2964" s="1474" t="s">
        <v>2129</v>
      </c>
      <c r="M2964" s="850">
        <v>5.0788E-2</v>
      </c>
      <c r="N2964" s="1474">
        <v>1.9621707142142923</v>
      </c>
      <c r="O2964" s="1474"/>
    </row>
    <row r="2965" spans="11:15">
      <c r="K2965" s="1470">
        <v>45022</v>
      </c>
      <c r="L2965" s="1474" t="s">
        <v>2129</v>
      </c>
      <c r="M2965" s="850">
        <v>5.0788E-2</v>
      </c>
      <c r="N2965" s="1474">
        <v>1.9631672614766276</v>
      </c>
      <c r="O2965" s="1474"/>
    </row>
    <row r="2966" spans="11:15">
      <c r="K2966" s="1470">
        <v>45023</v>
      </c>
      <c r="L2966" s="1474"/>
      <c r="M2966" s="850">
        <v>0</v>
      </c>
      <c r="N2966" s="1474">
        <v>1.9631672614766276</v>
      </c>
      <c r="O2966" s="1474"/>
    </row>
    <row r="2967" spans="11:15">
      <c r="K2967" s="1470">
        <v>45024</v>
      </c>
      <c r="L2967" s="1474"/>
      <c r="M2967" s="850">
        <v>0</v>
      </c>
      <c r="N2967" s="1474">
        <v>1.9631672614766276</v>
      </c>
      <c r="O2967" s="1474"/>
    </row>
    <row r="2968" spans="11:15">
      <c r="K2968" s="1470">
        <v>45025</v>
      </c>
      <c r="L2968" s="1474"/>
      <c r="M2968" s="850">
        <v>0</v>
      </c>
      <c r="N2968" s="1474">
        <v>1.9631672614766276</v>
      </c>
      <c r="O2968" s="1474"/>
    </row>
    <row r="2969" spans="11:15">
      <c r="K2969" s="1470">
        <v>45026</v>
      </c>
      <c r="L2969" s="1474" t="s">
        <v>2129</v>
      </c>
      <c r="M2969" s="850">
        <v>5.0788E-2</v>
      </c>
      <c r="N2969" s="1474">
        <v>1.9641643148653865</v>
      </c>
      <c r="O2969" s="1474"/>
    </row>
    <row r="2970" spans="11:15">
      <c r="K2970" s="1470">
        <v>45027</v>
      </c>
      <c r="L2970" s="1474" t="s">
        <v>2129</v>
      </c>
      <c r="M2970" s="850">
        <v>5.0788E-2</v>
      </c>
      <c r="N2970" s="1474">
        <v>1.9651618746376203</v>
      </c>
      <c r="O2970" s="1474"/>
    </row>
    <row r="2971" spans="11:15">
      <c r="K2971" s="1470">
        <v>45028</v>
      </c>
      <c r="L2971" s="1474" t="s">
        <v>2129</v>
      </c>
      <c r="M2971" s="850">
        <v>5.0788E-2</v>
      </c>
      <c r="N2971" s="1474">
        <v>1.9661599410505113</v>
      </c>
      <c r="O2971" s="1474"/>
    </row>
    <row r="2972" spans="11:15">
      <c r="K2972" s="1470">
        <v>45029</v>
      </c>
      <c r="L2972" s="1474" t="s">
        <v>2129</v>
      </c>
      <c r="M2972" s="850">
        <v>5.0788E-2</v>
      </c>
      <c r="N2972" s="1474">
        <v>1.9671585143613721</v>
      </c>
      <c r="O2972" s="1474"/>
    </row>
    <row r="2973" spans="11:15">
      <c r="K2973" s="1470">
        <v>45030</v>
      </c>
      <c r="L2973" s="1474" t="s">
        <v>2129</v>
      </c>
      <c r="M2973" s="850">
        <v>5.0788E-2</v>
      </c>
      <c r="N2973" s="1474">
        <v>1.968157594827646</v>
      </c>
      <c r="O2973" s="1474"/>
    </row>
    <row r="2974" spans="11:15">
      <c r="K2974" s="1470">
        <v>45031</v>
      </c>
      <c r="L2974" s="1474"/>
      <c r="M2974" s="850">
        <v>0</v>
      </c>
      <c r="N2974" s="1474">
        <v>1.968157594827646</v>
      </c>
      <c r="O2974" s="1474"/>
    </row>
    <row r="2975" spans="11:15">
      <c r="K2975" s="1470">
        <v>45032</v>
      </c>
      <c r="L2975" s="1474"/>
      <c r="M2975" s="850">
        <v>0</v>
      </c>
      <c r="N2975" s="1474">
        <v>1.968157594827646</v>
      </c>
      <c r="O2975" s="1474"/>
    </row>
    <row r="2976" spans="11:15">
      <c r="K2976" s="1470">
        <v>45033</v>
      </c>
      <c r="L2976" s="1474" t="s">
        <v>2129</v>
      </c>
      <c r="M2976" s="850">
        <v>5.0788E-2</v>
      </c>
      <c r="N2976" s="1474">
        <v>1.969157182706907</v>
      </c>
      <c r="O2976" s="1474"/>
    </row>
    <row r="2977" spans="11:15">
      <c r="K2977" s="1470">
        <v>45034</v>
      </c>
      <c r="L2977" s="1474" t="s">
        <v>2129</v>
      </c>
      <c r="M2977" s="850">
        <v>5.0788E-2</v>
      </c>
      <c r="N2977" s="1474">
        <v>1.9701572782568602</v>
      </c>
      <c r="O2977" s="1474"/>
    </row>
    <row r="2978" spans="11:15">
      <c r="K2978" s="1470">
        <v>45035</v>
      </c>
      <c r="L2978" s="1474" t="s">
        <v>2129</v>
      </c>
      <c r="M2978" s="850">
        <v>5.0788E-2</v>
      </c>
      <c r="N2978" s="1474">
        <v>1.9711578817353412</v>
      </c>
      <c r="O2978" s="1474"/>
    </row>
    <row r="2979" spans="11:15">
      <c r="K2979" s="1470">
        <v>45036</v>
      </c>
      <c r="L2979" s="1474" t="s">
        <v>2129</v>
      </c>
      <c r="M2979" s="850">
        <v>5.0788E-2</v>
      </c>
      <c r="N2979" s="1474">
        <v>1.972158993400317</v>
      </c>
      <c r="O2979" s="1474"/>
    </row>
    <row r="2980" spans="11:15">
      <c r="K2980" s="1470">
        <v>45037</v>
      </c>
      <c r="L2980" s="1474"/>
      <c r="M2980" s="850">
        <v>0</v>
      </c>
      <c r="N2980" s="1474">
        <v>1.972158993400317</v>
      </c>
      <c r="O2980" s="1474"/>
    </row>
    <row r="2981" spans="11:15">
      <c r="K2981" s="1470">
        <v>45038</v>
      </c>
      <c r="L2981" s="1474"/>
      <c r="M2981" s="850">
        <v>0</v>
      </c>
      <c r="N2981" s="1474">
        <v>1.972158993400317</v>
      </c>
      <c r="O2981" s="1474"/>
    </row>
    <row r="2982" spans="11:15">
      <c r="K2982" s="1470">
        <v>45039</v>
      </c>
      <c r="L2982" s="1474"/>
      <c r="M2982" s="850">
        <v>0</v>
      </c>
      <c r="N2982" s="1474">
        <v>1.972158993400317</v>
      </c>
      <c r="O2982" s="1474"/>
    </row>
    <row r="2983" spans="11:15">
      <c r="K2983" s="1470">
        <v>45040</v>
      </c>
      <c r="L2983" s="1474" t="s">
        <v>2129</v>
      </c>
      <c r="M2983" s="850">
        <v>5.0788E-2</v>
      </c>
      <c r="N2983" s="1474">
        <v>1.9731606135098851</v>
      </c>
      <c r="O2983" s="1474"/>
    </row>
    <row r="2984" spans="11:15">
      <c r="K2984" s="1470">
        <v>45041</v>
      </c>
      <c r="L2984" s="1474" t="s">
        <v>2129</v>
      </c>
      <c r="M2984" s="850">
        <v>5.0788E-2</v>
      </c>
      <c r="N2984" s="1474">
        <v>1.9741627423222745</v>
      </c>
      <c r="O2984" s="1474"/>
    </row>
    <row r="2985" spans="11:15">
      <c r="K2985" s="1470">
        <v>45042</v>
      </c>
      <c r="L2985" s="1474" t="s">
        <v>2129</v>
      </c>
      <c r="M2985" s="850">
        <v>5.0788E-2</v>
      </c>
      <c r="N2985" s="1474">
        <v>1.9751653800958451</v>
      </c>
      <c r="O2985" s="1474"/>
    </row>
    <row r="2986" spans="11:15">
      <c r="K2986" s="1470">
        <v>45043</v>
      </c>
      <c r="L2986" s="1474" t="s">
        <v>2129</v>
      </c>
      <c r="M2986" s="850">
        <v>5.0788E-2</v>
      </c>
      <c r="N2986" s="1474">
        <v>1.9761685270890883</v>
      </c>
      <c r="O2986" s="1474"/>
    </row>
    <row r="2987" spans="11:15">
      <c r="K2987" s="1470">
        <v>45044</v>
      </c>
      <c r="L2987" s="1474" t="s">
        <v>2129</v>
      </c>
      <c r="M2987" s="850">
        <v>5.0788E-2</v>
      </c>
      <c r="N2987" s="1474">
        <v>1.9771721835606264</v>
      </c>
      <c r="O2987" s="1474"/>
    </row>
    <row r="2988" spans="11:15">
      <c r="K2988" s="1470">
        <v>45045</v>
      </c>
      <c r="L2988" s="1474"/>
      <c r="M2988" s="850">
        <v>0</v>
      </c>
      <c r="N2988" s="1474">
        <v>1.9771721835606264</v>
      </c>
      <c r="O2988" s="1474"/>
    </row>
    <row r="2989" spans="11:15">
      <c r="K2989" s="1470">
        <v>45046</v>
      </c>
      <c r="L2989" s="1474"/>
      <c r="M2989" s="850">
        <v>0</v>
      </c>
      <c r="N2989" s="1474">
        <v>1.9771721835606264</v>
      </c>
      <c r="O2989" s="1474"/>
    </row>
    <row r="2990" spans="11:15">
      <c r="K2990" s="1470">
        <v>45047</v>
      </c>
      <c r="L2990" s="1474"/>
      <c r="M2990" s="850">
        <v>0</v>
      </c>
      <c r="N2990" s="1474">
        <v>1.9771721835606264</v>
      </c>
      <c r="O2990" s="1474"/>
    </row>
    <row r="2991" spans="11:15">
      <c r="K2991" s="1470">
        <v>45048</v>
      </c>
      <c r="L2991" s="1474" t="s">
        <v>2129</v>
      </c>
      <c r="M2991" s="850">
        <v>5.0788E-2</v>
      </c>
      <c r="N2991" s="1474">
        <v>1.9781763497692133</v>
      </c>
      <c r="O2991" s="1474"/>
    </row>
    <row r="2992" spans="11:15">
      <c r="K2992" s="1470">
        <v>45049</v>
      </c>
      <c r="L2992" s="1474" t="s">
        <v>2129</v>
      </c>
      <c r="M2992" s="850">
        <v>5.0788E-2</v>
      </c>
      <c r="N2992" s="1474">
        <v>1.9791810259737341</v>
      </c>
      <c r="O2992" s="1474"/>
    </row>
    <row r="2993" spans="11:15">
      <c r="K2993" s="1470">
        <v>45050</v>
      </c>
      <c r="L2993" s="1474" t="s">
        <v>2129</v>
      </c>
      <c r="M2993" s="850">
        <v>5.0788E-2</v>
      </c>
      <c r="N2993" s="1474">
        <v>1.9801862124332057</v>
      </c>
      <c r="O2993" s="1474"/>
    </row>
    <row r="2994" spans="11:15">
      <c r="K2994" s="1470">
        <v>45051</v>
      </c>
      <c r="L2994" s="1474" t="s">
        <v>2129</v>
      </c>
      <c r="M2994" s="850">
        <v>5.0788E-2</v>
      </c>
      <c r="N2994" s="1474">
        <v>1.9811919094067763</v>
      </c>
      <c r="O2994" s="1474"/>
    </row>
    <row r="2995" spans="11:15">
      <c r="K2995" s="1470">
        <v>45052</v>
      </c>
      <c r="L2995" s="1474"/>
      <c r="M2995" s="850">
        <v>0</v>
      </c>
      <c r="N2995" s="1474">
        <v>1.9811919094067763</v>
      </c>
      <c r="O2995" s="1474"/>
    </row>
    <row r="2996" spans="11:15">
      <c r="K2996" s="1470">
        <v>45053</v>
      </c>
      <c r="L2996" s="1474"/>
      <c r="M2996" s="850">
        <v>0</v>
      </c>
      <c r="N2996" s="1474">
        <v>1.9811919094067763</v>
      </c>
      <c r="O2996" s="1474"/>
    </row>
    <row r="2997" spans="11:15">
      <c r="K2997" s="1470">
        <v>45054</v>
      </c>
      <c r="L2997" s="1474" t="s">
        <v>2129</v>
      </c>
      <c r="M2997" s="850">
        <v>5.0788E-2</v>
      </c>
      <c r="N2997" s="1474">
        <v>1.9821981171537257</v>
      </c>
      <c r="O2997" s="1474"/>
    </row>
    <row r="2998" spans="11:15">
      <c r="K2998" s="1470">
        <v>45055</v>
      </c>
      <c r="L2998" s="1474" t="s">
        <v>2129</v>
      </c>
      <c r="M2998" s="850">
        <v>5.0788E-2</v>
      </c>
      <c r="N2998" s="1474">
        <v>1.9832048359334657</v>
      </c>
      <c r="O2998" s="1474"/>
    </row>
    <row r="2999" spans="11:15">
      <c r="K2999" s="1470">
        <v>45056</v>
      </c>
      <c r="L2999" s="1474" t="s">
        <v>2129</v>
      </c>
      <c r="M2999" s="850">
        <v>5.0788E-2</v>
      </c>
      <c r="N2999" s="1474">
        <v>1.9842120660055396</v>
      </c>
      <c r="O2999" s="1474"/>
    </row>
    <row r="3000" spans="11:15">
      <c r="K3000" s="1470">
        <v>45057</v>
      </c>
      <c r="L3000" s="1474" t="s">
        <v>2129</v>
      </c>
      <c r="M3000" s="850">
        <v>5.0788E-2</v>
      </c>
      <c r="N3000" s="1474">
        <v>1.9852198076296226</v>
      </c>
      <c r="O3000" s="1474"/>
    </row>
    <row r="3001" spans="11:15">
      <c r="K3001" s="1470">
        <v>45058</v>
      </c>
      <c r="L3001" s="1474" t="s">
        <v>2129</v>
      </c>
      <c r="M3001" s="850">
        <v>5.0788E-2</v>
      </c>
      <c r="N3001" s="1474">
        <v>1.9862280610655216</v>
      </c>
      <c r="O3001" s="1474"/>
    </row>
    <row r="3002" spans="11:15">
      <c r="K3002" s="1470">
        <v>45059</v>
      </c>
      <c r="L3002" s="1474"/>
      <c r="M3002" s="850">
        <v>0</v>
      </c>
      <c r="N3002" s="1474">
        <v>1.9862280610655216</v>
      </c>
      <c r="O3002" s="1474"/>
    </row>
    <row r="3003" spans="11:15">
      <c r="K3003" s="1470">
        <v>45060</v>
      </c>
      <c r="L3003" s="1474"/>
      <c r="M3003" s="850">
        <v>0</v>
      </c>
      <c r="N3003" s="1474">
        <v>1.9862280610655216</v>
      </c>
      <c r="O3003" s="1474"/>
    </row>
    <row r="3004" spans="11:15">
      <c r="K3004" s="1470">
        <v>45061</v>
      </c>
      <c r="L3004" s="1474" t="s">
        <v>2129</v>
      </c>
      <c r="M3004" s="850">
        <v>5.0788E-2</v>
      </c>
      <c r="N3004" s="1474">
        <v>1.9872368265731757</v>
      </c>
      <c r="O3004" s="1474"/>
    </row>
    <row r="3005" spans="11:15">
      <c r="K3005" s="1470">
        <v>45062</v>
      </c>
      <c r="L3005" s="1474" t="s">
        <v>2129</v>
      </c>
      <c r="M3005" s="850">
        <v>5.0788E-2</v>
      </c>
      <c r="N3005" s="1474">
        <v>1.9882461044126558</v>
      </c>
      <c r="O3005" s="1474"/>
    </row>
    <row r="3006" spans="11:15">
      <c r="K3006" s="1470">
        <v>45063</v>
      </c>
      <c r="L3006" s="1474" t="s">
        <v>2129</v>
      </c>
      <c r="M3006" s="850">
        <v>5.0788E-2</v>
      </c>
      <c r="N3006" s="1474">
        <v>1.989255894844165</v>
      </c>
      <c r="O3006" s="1474"/>
    </row>
    <row r="3007" spans="11:15">
      <c r="K3007" s="1470">
        <v>45064</v>
      </c>
      <c r="L3007" s="1474" t="s">
        <v>2129</v>
      </c>
      <c r="M3007" s="850">
        <v>5.0788E-2</v>
      </c>
      <c r="N3007" s="1474">
        <v>1.9902661981280385</v>
      </c>
      <c r="O3007" s="1474"/>
    </row>
    <row r="3008" spans="11:15">
      <c r="K3008" s="1470">
        <v>45065</v>
      </c>
      <c r="L3008" s="1474" t="s">
        <v>2129</v>
      </c>
      <c r="M3008" s="850">
        <v>5.0788E-2</v>
      </c>
      <c r="N3008" s="1474">
        <v>1.9912770145247438</v>
      </c>
      <c r="O3008" s="1474"/>
    </row>
    <row r="3009" spans="11:15">
      <c r="K3009" s="1470">
        <v>45066</v>
      </c>
      <c r="L3009" s="1474"/>
      <c r="M3009" s="850">
        <v>0</v>
      </c>
      <c r="N3009" s="1474">
        <v>1.9912770145247438</v>
      </c>
      <c r="O3009" s="1474"/>
    </row>
    <row r="3010" spans="11:15">
      <c r="K3010" s="1470">
        <v>45067</v>
      </c>
      <c r="L3010" s="1474"/>
      <c r="M3010" s="850">
        <v>0</v>
      </c>
      <c r="N3010" s="1474">
        <v>1.9912770145247438</v>
      </c>
      <c r="O3010" s="1474"/>
    </row>
    <row r="3011" spans="11:15">
      <c r="K3011" s="1470">
        <v>45068</v>
      </c>
      <c r="L3011" s="1474" t="s">
        <v>2129</v>
      </c>
      <c r="M3011" s="850">
        <v>5.0788E-2</v>
      </c>
      <c r="N3011" s="1474">
        <v>1.9922883442948807</v>
      </c>
      <c r="O3011" s="1474"/>
    </row>
    <row r="3012" spans="11:15">
      <c r="K3012" s="1470">
        <v>45069</v>
      </c>
      <c r="L3012" s="1474" t="s">
        <v>2129</v>
      </c>
      <c r="M3012" s="850">
        <v>5.0788E-2</v>
      </c>
      <c r="N3012" s="1474">
        <v>1.9933001876991812</v>
      </c>
      <c r="O3012" s="1474"/>
    </row>
    <row r="3013" spans="11:15">
      <c r="K3013" s="1470">
        <v>45070</v>
      </c>
      <c r="L3013" s="1474" t="s">
        <v>2129</v>
      </c>
      <c r="M3013" s="850">
        <v>5.0788E-2</v>
      </c>
      <c r="N3013" s="1474">
        <v>1.9943125449985097</v>
      </c>
      <c r="O3013" s="1474"/>
    </row>
    <row r="3014" spans="11:15">
      <c r="K3014" s="1470">
        <v>45071</v>
      </c>
      <c r="L3014" s="1474" t="s">
        <v>2129</v>
      </c>
      <c r="M3014" s="850">
        <v>5.0788E-2</v>
      </c>
      <c r="N3014" s="1474">
        <v>1.9953254164538636</v>
      </c>
      <c r="O3014" s="1474"/>
    </row>
    <row r="3015" spans="11:15">
      <c r="K3015" s="1470">
        <v>45072</v>
      </c>
      <c r="L3015" s="1474" t="s">
        <v>2129</v>
      </c>
      <c r="M3015" s="850">
        <v>5.0788E-2</v>
      </c>
      <c r="N3015" s="1474">
        <v>1.9963388023263722</v>
      </c>
      <c r="O3015" s="1474"/>
    </row>
    <row r="3016" spans="11:15">
      <c r="K3016" s="1470">
        <v>45073</v>
      </c>
      <c r="L3016" s="1474"/>
      <c r="M3016" s="850">
        <v>0</v>
      </c>
      <c r="N3016" s="1474">
        <v>1.9963388023263722</v>
      </c>
      <c r="O3016" s="1474"/>
    </row>
    <row r="3017" spans="11:15">
      <c r="K3017" s="1470">
        <v>45074</v>
      </c>
      <c r="L3017" s="1474"/>
      <c r="M3017" s="850">
        <v>0</v>
      </c>
      <c r="N3017" s="1474">
        <v>1.9963388023263722</v>
      </c>
      <c r="O3017" s="1474"/>
    </row>
    <row r="3018" spans="11:15">
      <c r="K3018" s="1470">
        <v>45075</v>
      </c>
      <c r="L3018" s="1474" t="s">
        <v>2129</v>
      </c>
      <c r="M3018" s="850">
        <v>5.0788E-2</v>
      </c>
      <c r="N3018" s="1474">
        <v>1.9973527028772977</v>
      </c>
      <c r="O3018" s="1474"/>
    </row>
    <row r="3019" spans="11:15">
      <c r="K3019" s="1470">
        <v>45076</v>
      </c>
      <c r="L3019" s="1474" t="s">
        <v>2129</v>
      </c>
      <c r="M3019" s="850">
        <v>5.0788E-2</v>
      </c>
      <c r="N3019" s="1474">
        <v>1.9983671183680352</v>
      </c>
      <c r="O3019" s="1474"/>
    </row>
    <row r="3020" spans="11:15">
      <c r="K3020" s="1470">
        <v>45077</v>
      </c>
      <c r="L3020" s="1474" t="s">
        <v>2129</v>
      </c>
      <c r="M3020" s="850">
        <v>5.0788E-2</v>
      </c>
      <c r="N3020" s="1474">
        <v>1.999382049060112</v>
      </c>
      <c r="O3020" s="1474"/>
    </row>
    <row r="3021" spans="11:15">
      <c r="K3021" s="1470">
        <v>45078</v>
      </c>
      <c r="L3021" s="1474" t="s">
        <v>2129</v>
      </c>
      <c r="M3021" s="850">
        <v>5.0788E-2</v>
      </c>
      <c r="N3021" s="1474">
        <v>2.0003974952151888</v>
      </c>
      <c r="O3021" s="1474"/>
    </row>
    <row r="3022" spans="11:15">
      <c r="K3022" s="1470">
        <v>45079</v>
      </c>
      <c r="L3022" s="1474" t="s">
        <v>2129</v>
      </c>
      <c r="M3022" s="850">
        <v>5.0788E-2</v>
      </c>
      <c r="N3022" s="1474">
        <v>2.0014134570950586</v>
      </c>
      <c r="O3022" s="1474"/>
    </row>
    <row r="3023" spans="11:15">
      <c r="K3023" s="1470">
        <v>45080</v>
      </c>
      <c r="L3023" s="1474"/>
      <c r="M3023" s="850">
        <v>0</v>
      </c>
      <c r="N3023" s="1474">
        <v>2.0014134570950586</v>
      </c>
      <c r="O3023" s="1474"/>
    </row>
    <row r="3024" spans="11:15">
      <c r="K3024" s="1470">
        <v>45081</v>
      </c>
      <c r="L3024" s="1474"/>
      <c r="M3024" s="850">
        <v>0</v>
      </c>
      <c r="N3024" s="1474">
        <v>2.0014134570950586</v>
      </c>
      <c r="O3024" s="1474"/>
    </row>
    <row r="3025" spans="11:15">
      <c r="K3025" s="1470">
        <v>45082</v>
      </c>
      <c r="L3025" s="1474" t="s">
        <v>2129</v>
      </c>
      <c r="M3025" s="850">
        <v>5.0788E-2</v>
      </c>
      <c r="N3025" s="1474">
        <v>2.0024299349616479</v>
      </c>
      <c r="O3025" s="1474"/>
    </row>
    <row r="3026" spans="11:15">
      <c r="K3026" s="1470">
        <v>45083</v>
      </c>
      <c r="L3026" s="1474" t="s">
        <v>2129</v>
      </c>
      <c r="M3026" s="850">
        <v>5.0788E-2</v>
      </c>
      <c r="N3026" s="1474">
        <v>2.003446929077016</v>
      </c>
      <c r="O3026" s="1474"/>
    </row>
    <row r="3027" spans="11:15">
      <c r="K3027" s="1470">
        <v>45084</v>
      </c>
      <c r="L3027" s="1474" t="s">
        <v>2129</v>
      </c>
      <c r="M3027" s="850">
        <v>5.0788E-2</v>
      </c>
      <c r="N3027" s="1474">
        <v>2.0044644397033555</v>
      </c>
      <c r="O3027" s="1474"/>
    </row>
    <row r="3028" spans="11:15">
      <c r="K3028" s="1470">
        <v>45085</v>
      </c>
      <c r="L3028" s="1474"/>
      <c r="M3028" s="850">
        <v>0</v>
      </c>
      <c r="N3028" s="1474">
        <v>2.0044644397033555</v>
      </c>
      <c r="O3028" s="1474"/>
    </row>
    <row r="3029" spans="11:15">
      <c r="K3029" s="1470">
        <v>45086</v>
      </c>
      <c r="L3029" s="1474" t="s">
        <v>2129</v>
      </c>
      <c r="M3029" s="850">
        <v>5.0788E-2</v>
      </c>
      <c r="N3029" s="1474">
        <v>2.0054824671029921</v>
      </c>
      <c r="O3029" s="1474"/>
    </row>
    <row r="3030" spans="11:15">
      <c r="K3030" s="1470">
        <v>45087</v>
      </c>
      <c r="L3030" s="1474"/>
      <c r="M3030" s="850">
        <v>0</v>
      </c>
      <c r="N3030" s="1474">
        <v>2.0054824671029921</v>
      </c>
      <c r="O3030" s="1474"/>
    </row>
    <row r="3031" spans="11:15">
      <c r="K3031" s="1470">
        <v>45088</v>
      </c>
      <c r="L3031" s="1474"/>
      <c r="M3031" s="850">
        <v>0</v>
      </c>
      <c r="N3031" s="1474">
        <v>2.0054824671029921</v>
      </c>
      <c r="O3031" s="1474"/>
    </row>
    <row r="3032" spans="11:15">
      <c r="K3032" s="1470">
        <v>45089</v>
      </c>
      <c r="L3032" s="1474" t="s">
        <v>2129</v>
      </c>
      <c r="M3032" s="850">
        <v>5.0788E-2</v>
      </c>
      <c r="N3032" s="1474">
        <v>2.0065010115383846</v>
      </c>
      <c r="O3032" s="1474"/>
    </row>
    <row r="3033" spans="11:15">
      <c r="K3033" s="1470">
        <v>45090</v>
      </c>
      <c r="L3033" s="1474" t="s">
        <v>2129</v>
      </c>
      <c r="M3033" s="850">
        <v>5.0788E-2</v>
      </c>
      <c r="N3033" s="1474">
        <v>2.0075200732721248</v>
      </c>
      <c r="O3033" s="1474"/>
    </row>
    <row r="3034" spans="11:15">
      <c r="K3034" s="1470">
        <v>45091</v>
      </c>
      <c r="L3034" s="1474" t="s">
        <v>2129</v>
      </c>
      <c r="M3034" s="850">
        <v>5.0788E-2</v>
      </c>
      <c r="N3034" s="1474">
        <v>2.0085396525669381</v>
      </c>
      <c r="O3034" s="1474"/>
    </row>
    <row r="3035" spans="11:15">
      <c r="K3035" s="1470">
        <v>45092</v>
      </c>
      <c r="L3035" s="1474" t="s">
        <v>2129</v>
      </c>
      <c r="M3035" s="850">
        <v>5.0788E-2</v>
      </c>
      <c r="N3035" s="1474">
        <v>2.0095597496856836</v>
      </c>
      <c r="O3035" s="1474"/>
    </row>
    <row r="3036" spans="11:15">
      <c r="K3036" s="1470">
        <v>45093</v>
      </c>
      <c r="L3036" s="1474" t="s">
        <v>2129</v>
      </c>
      <c r="M3036" s="850">
        <v>5.0788E-2</v>
      </c>
      <c r="N3036" s="1474">
        <v>2.0105803648913541</v>
      </c>
      <c r="O3036" s="1474"/>
    </row>
    <row r="3037" spans="11:15">
      <c r="K3037" s="1470">
        <v>45094</v>
      </c>
      <c r="L3037" s="1474"/>
      <c r="M3037" s="850">
        <v>0</v>
      </c>
      <c r="N3037" s="1474">
        <v>2.0105803648913541</v>
      </c>
      <c r="O3037" s="1474"/>
    </row>
    <row r="3038" spans="11:15">
      <c r="K3038" s="1470">
        <v>45095</v>
      </c>
      <c r="L3038" s="1474"/>
      <c r="M3038" s="850">
        <v>0</v>
      </c>
      <c r="N3038" s="1474">
        <v>2.0105803648913541</v>
      </c>
      <c r="O3038" s="1474"/>
    </row>
    <row r="3039" spans="11:15">
      <c r="K3039" s="1470">
        <v>45096</v>
      </c>
      <c r="L3039" s="1474" t="s">
        <v>2129</v>
      </c>
      <c r="M3039" s="850">
        <v>5.0788E-2</v>
      </c>
      <c r="N3039" s="1474">
        <v>2.0116014984470749</v>
      </c>
      <c r="O3039" s="1474"/>
    </row>
    <row r="3040" spans="11:15">
      <c r="K3040" s="1470">
        <v>45097</v>
      </c>
      <c r="L3040" s="1474" t="s">
        <v>2129</v>
      </c>
      <c r="M3040" s="850">
        <v>5.0788E-2</v>
      </c>
      <c r="N3040" s="1474">
        <v>2.0126231506161063</v>
      </c>
      <c r="O3040" s="1474"/>
    </row>
    <row r="3041" spans="11:15">
      <c r="K3041" s="1470">
        <v>45098</v>
      </c>
      <c r="L3041" s="1474" t="s">
        <v>2129</v>
      </c>
      <c r="M3041" s="850">
        <v>5.0788E-2</v>
      </c>
      <c r="N3041" s="1474">
        <v>2.0136453216618411</v>
      </c>
      <c r="O3041" s="1474"/>
    </row>
    <row r="3042" spans="11:15">
      <c r="K3042" s="1470">
        <v>45099</v>
      </c>
      <c r="L3042" s="1474" t="s">
        <v>2129</v>
      </c>
      <c r="M3042" s="850">
        <v>5.0788E-2</v>
      </c>
      <c r="N3042" s="1474">
        <v>2.0146680118478066</v>
      </c>
      <c r="O3042" s="1474"/>
    </row>
    <row r="3043" spans="11:15">
      <c r="K3043" s="1470">
        <v>45100</v>
      </c>
      <c r="L3043" s="1474" t="s">
        <v>2129</v>
      </c>
      <c r="M3043" s="850">
        <v>5.0788E-2</v>
      </c>
      <c r="N3043" s="1474">
        <v>2.0156912214376641</v>
      </c>
      <c r="O3043" s="1474"/>
    </row>
    <row r="3044" spans="11:15">
      <c r="K3044" s="1470">
        <v>45101</v>
      </c>
      <c r="L3044" s="1474"/>
      <c r="M3044" s="850">
        <v>0</v>
      </c>
      <c r="N3044" s="1474">
        <v>2.0156912214376641</v>
      </c>
      <c r="O3044" s="1474"/>
    </row>
    <row r="3045" spans="11:15">
      <c r="K3045" s="1470">
        <v>45102</v>
      </c>
      <c r="L3045" s="1474"/>
      <c r="M3045" s="850">
        <v>0</v>
      </c>
      <c r="N3045" s="1474">
        <v>2.0156912214376641</v>
      </c>
      <c r="O3045" s="1474"/>
    </row>
    <row r="3046" spans="11:15">
      <c r="K3046" s="1470">
        <v>45103</v>
      </c>
      <c r="L3046" s="1474" t="s">
        <v>2129</v>
      </c>
      <c r="M3046" s="850">
        <v>5.0788E-2</v>
      </c>
      <c r="N3046" s="1474">
        <v>2.0167149506952078</v>
      </c>
      <c r="O3046" s="1474"/>
    </row>
    <row r="3047" spans="11:15">
      <c r="K3047" s="1470">
        <v>45104</v>
      </c>
      <c r="L3047" s="1474" t="s">
        <v>2129</v>
      </c>
      <c r="M3047" s="850">
        <v>5.0788E-2</v>
      </c>
      <c r="N3047" s="1474">
        <v>2.017739199884367</v>
      </c>
      <c r="O3047" s="1474"/>
    </row>
    <row r="3048" spans="11:15">
      <c r="K3048" s="1470">
        <v>45105</v>
      </c>
      <c r="L3048" s="1474" t="s">
        <v>2129</v>
      </c>
      <c r="M3048" s="850">
        <v>5.0788E-2</v>
      </c>
      <c r="N3048" s="1474">
        <v>2.0187639692692043</v>
      </c>
      <c r="O3048" s="1474"/>
    </row>
    <row r="3049" spans="11:15">
      <c r="K3049" s="1470">
        <v>45106</v>
      </c>
      <c r="L3049" s="1474" t="s">
        <v>2129</v>
      </c>
      <c r="M3049" s="850">
        <v>5.0788E-2</v>
      </c>
      <c r="N3049" s="1474">
        <v>2.0197892591139168</v>
      </c>
      <c r="O3049" s="1474"/>
    </row>
    <row r="3050" spans="11:15">
      <c r="K3050" s="1470">
        <v>45107</v>
      </c>
      <c r="L3050" s="1474" t="s">
        <v>2129</v>
      </c>
      <c r="M3050" s="850">
        <v>5.0788E-2</v>
      </c>
      <c r="N3050" s="1474">
        <v>2.0208150696828358</v>
      </c>
      <c r="O3050" s="1474"/>
    </row>
    <row r="3051" spans="11:15">
      <c r="K3051" s="1470">
        <v>45108</v>
      </c>
      <c r="L3051" s="1474"/>
      <c r="M3051" s="850">
        <v>0</v>
      </c>
      <c r="N3051" s="1474">
        <v>2.0208150696828358</v>
      </c>
      <c r="O3051" s="1474"/>
    </row>
    <row r="3052" spans="11:15">
      <c r="K3052" s="1470">
        <v>45109</v>
      </c>
      <c r="L3052" s="1474"/>
      <c r="M3052" s="850">
        <v>0</v>
      </c>
      <c r="N3052" s="1474">
        <v>2.0208150696828358</v>
      </c>
      <c r="O3052" s="1474"/>
    </row>
    <row r="3053" spans="11:15">
      <c r="K3053" s="1470">
        <v>45110</v>
      </c>
      <c r="L3053" s="1474" t="s">
        <v>2129</v>
      </c>
      <c r="M3053" s="850">
        <v>5.0788E-2</v>
      </c>
      <c r="N3053" s="1474">
        <v>2.0218414012404264</v>
      </c>
      <c r="O3053" s="1474"/>
    </row>
    <row r="3054" spans="11:15">
      <c r="K3054" s="1470">
        <v>45111</v>
      </c>
      <c r="L3054" s="1474" t="s">
        <v>2129</v>
      </c>
      <c r="M3054" s="850">
        <v>5.0788E-2</v>
      </c>
      <c r="N3054" s="1474">
        <v>2.0228682540512883</v>
      </c>
      <c r="O3054" s="1474"/>
    </row>
    <row r="3055" spans="11:15">
      <c r="K3055" s="1470">
        <v>45112</v>
      </c>
      <c r="L3055" s="1474" t="s">
        <v>2129</v>
      </c>
      <c r="M3055" s="850">
        <v>5.0788E-2</v>
      </c>
      <c r="N3055" s="1474">
        <v>2.0238956283801559</v>
      </c>
      <c r="O3055" s="1474"/>
    </row>
    <row r="3056" spans="11:15">
      <c r="K3056" s="1470">
        <v>45113</v>
      </c>
      <c r="L3056" s="1474" t="s">
        <v>2129</v>
      </c>
      <c r="M3056" s="850">
        <v>5.0788E-2</v>
      </c>
      <c r="N3056" s="1474">
        <v>2.0249235244918977</v>
      </c>
      <c r="O3056" s="1474"/>
    </row>
    <row r="3057" spans="11:15">
      <c r="K3057" s="1470">
        <v>45114</v>
      </c>
      <c r="L3057" s="1474" t="s">
        <v>2129</v>
      </c>
      <c r="M3057" s="850">
        <v>5.0788E-2</v>
      </c>
      <c r="N3057" s="1474">
        <v>2.0259519426515169</v>
      </c>
      <c r="O3057" s="1474"/>
    </row>
    <row r="3058" spans="11:15">
      <c r="K3058" s="1470">
        <v>45115</v>
      </c>
      <c r="L3058" s="1474"/>
      <c r="M3058" s="850">
        <v>0</v>
      </c>
      <c r="N3058" s="1474">
        <v>2.0259519426515169</v>
      </c>
      <c r="O3058" s="1474"/>
    </row>
    <row r="3059" spans="11:15">
      <c r="K3059" s="1470">
        <v>45116</v>
      </c>
      <c r="L3059" s="1474"/>
      <c r="M3059" s="850">
        <v>0</v>
      </c>
      <c r="N3059" s="1474">
        <v>2.0259519426515169</v>
      </c>
      <c r="O3059" s="1474"/>
    </row>
    <row r="3060" spans="11:15">
      <c r="K3060" s="1470">
        <v>45117</v>
      </c>
      <c r="L3060" s="1474" t="s">
        <v>2129</v>
      </c>
      <c r="M3060" s="850">
        <v>5.0788E-2</v>
      </c>
      <c r="N3060" s="1474">
        <v>2.0269808831241507</v>
      </c>
      <c r="O3060" s="1474"/>
    </row>
    <row r="3061" spans="11:15">
      <c r="K3061" s="1470">
        <v>45118</v>
      </c>
      <c r="L3061" s="1474" t="s">
        <v>2129</v>
      </c>
      <c r="M3061" s="850">
        <v>5.0788E-2</v>
      </c>
      <c r="N3061" s="1474">
        <v>2.0280103461750718</v>
      </c>
      <c r="O3061" s="1474"/>
    </row>
    <row r="3062" spans="11:15">
      <c r="K3062" s="1470">
        <v>45119</v>
      </c>
      <c r="L3062" s="1474" t="s">
        <v>2129</v>
      </c>
      <c r="M3062" s="850">
        <v>5.0788E-2</v>
      </c>
      <c r="N3062" s="1474">
        <v>2.029040332069687</v>
      </c>
      <c r="O3062" s="1474"/>
    </row>
    <row r="3063" spans="11:15">
      <c r="K3063" s="1470">
        <v>45120</v>
      </c>
      <c r="L3063" s="1474" t="s">
        <v>2129</v>
      </c>
      <c r="M3063" s="850">
        <v>5.0788E-2</v>
      </c>
      <c r="N3063" s="1474">
        <v>2.0300708410735386</v>
      </c>
      <c r="O3063" s="1474"/>
    </row>
    <row r="3064" spans="11:15">
      <c r="K3064" s="1470">
        <v>45121</v>
      </c>
      <c r="L3064" s="1474" t="s">
        <v>2129</v>
      </c>
      <c r="M3064" s="850">
        <v>5.0788E-2</v>
      </c>
      <c r="N3064" s="1474">
        <v>2.031101873452303</v>
      </c>
      <c r="O3064" s="1474"/>
    </row>
    <row r="3065" spans="11:15">
      <c r="K3065" s="1470">
        <v>45122</v>
      </c>
      <c r="L3065" s="1474"/>
      <c r="M3065" s="850">
        <v>0</v>
      </c>
      <c r="N3065" s="1474">
        <v>2.031101873452303</v>
      </c>
      <c r="O3065" s="1474"/>
    </row>
    <row r="3066" spans="11:15">
      <c r="K3066" s="1470">
        <v>45123</v>
      </c>
      <c r="L3066" s="1474"/>
      <c r="M3066" s="850">
        <v>0</v>
      </c>
      <c r="N3066" s="1474">
        <v>2.031101873452303</v>
      </c>
      <c r="O3066" s="1474"/>
    </row>
    <row r="3067" spans="11:15">
      <c r="K3067" s="1470">
        <v>45124</v>
      </c>
      <c r="L3067" s="1474" t="s">
        <v>2129</v>
      </c>
      <c r="M3067" s="850">
        <v>5.0788E-2</v>
      </c>
      <c r="N3067" s="1474">
        <v>2.0321334294717919</v>
      </c>
      <c r="O3067" s="1474"/>
    </row>
    <row r="3068" spans="11:15">
      <c r="K3068" s="1470">
        <v>45125</v>
      </c>
      <c r="L3068" s="1474" t="s">
        <v>2129</v>
      </c>
      <c r="M3068" s="850">
        <v>5.0788E-2</v>
      </c>
      <c r="N3068" s="1474">
        <v>2.0331655093979522</v>
      </c>
      <c r="O3068" s="1474"/>
    </row>
    <row r="3069" spans="11:15">
      <c r="K3069" s="1470">
        <v>45126</v>
      </c>
      <c r="L3069" s="1474" t="s">
        <v>2129</v>
      </c>
      <c r="M3069" s="850">
        <v>5.0788E-2</v>
      </c>
      <c r="N3069" s="1474">
        <v>2.0341981134968652</v>
      </c>
      <c r="O3069" s="1474"/>
    </row>
    <row r="3070" spans="11:15">
      <c r="K3070" s="1470">
        <v>45127</v>
      </c>
      <c r="L3070" s="1474" t="s">
        <v>2129</v>
      </c>
      <c r="M3070" s="850">
        <v>5.0788E-2</v>
      </c>
      <c r="N3070" s="1474">
        <v>2.0352312420347478</v>
      </c>
      <c r="O3070" s="1474"/>
    </row>
    <row r="3071" spans="11:15">
      <c r="K3071" s="1470">
        <v>45128</v>
      </c>
      <c r="L3071" s="1474" t="s">
        <v>2129</v>
      </c>
      <c r="M3071" s="850">
        <v>5.0788E-2</v>
      </c>
      <c r="N3071" s="1474">
        <v>2.0362648952779523</v>
      </c>
      <c r="O3071" s="1474"/>
    </row>
    <row r="3072" spans="11:15">
      <c r="K3072" s="1470">
        <v>45129</v>
      </c>
      <c r="L3072" s="1474"/>
      <c r="M3072" s="850">
        <v>0</v>
      </c>
      <c r="N3072" s="1474">
        <v>2.0362648952779523</v>
      </c>
      <c r="O3072" s="1474"/>
    </row>
    <row r="3073" spans="11:15">
      <c r="K3073" s="1470">
        <v>45130</v>
      </c>
      <c r="L3073" s="1474"/>
      <c r="M3073" s="850">
        <v>0</v>
      </c>
      <c r="N3073" s="1474">
        <v>2.0362648952779523</v>
      </c>
      <c r="O3073" s="1474"/>
    </row>
    <row r="3074" spans="11:15">
      <c r="K3074" s="1470">
        <v>45131</v>
      </c>
      <c r="L3074" s="1474" t="s">
        <v>2129</v>
      </c>
      <c r="M3074" s="850">
        <v>5.0788E-2</v>
      </c>
      <c r="N3074" s="1474">
        <v>2.0372990734929659</v>
      </c>
      <c r="O3074" s="1474"/>
    </row>
    <row r="3075" spans="11:15">
      <c r="K3075" s="1470">
        <v>45132</v>
      </c>
      <c r="L3075" s="1474" t="s">
        <v>2129</v>
      </c>
      <c r="M3075" s="850">
        <v>5.0788E-2</v>
      </c>
      <c r="N3075" s="1474">
        <v>2.0383337769464114</v>
      </c>
      <c r="O3075" s="1474"/>
    </row>
    <row r="3076" spans="11:15">
      <c r="K3076" s="1470">
        <v>45133</v>
      </c>
      <c r="L3076" s="1474" t="s">
        <v>2129</v>
      </c>
      <c r="M3076" s="850">
        <v>5.0788E-2</v>
      </c>
      <c r="N3076" s="1474">
        <v>2.0393690059050469</v>
      </c>
      <c r="O3076" s="1474"/>
    </row>
    <row r="3077" spans="11:15">
      <c r="K3077" s="1470">
        <v>45134</v>
      </c>
      <c r="L3077" s="1474" t="s">
        <v>2129</v>
      </c>
      <c r="M3077" s="850">
        <v>5.0788E-2</v>
      </c>
      <c r="N3077" s="1474">
        <v>2.040404760635766</v>
      </c>
      <c r="O3077" s="1474"/>
    </row>
    <row r="3078" spans="11:15">
      <c r="K3078" s="1470">
        <v>45135</v>
      </c>
      <c r="L3078" s="1474" t="s">
        <v>2129</v>
      </c>
      <c r="M3078" s="850">
        <v>5.0788E-2</v>
      </c>
      <c r="N3078" s="1474">
        <v>2.0414410414055979</v>
      </c>
      <c r="O3078" s="1474"/>
    </row>
    <row r="3079" spans="11:15">
      <c r="K3079" s="1470">
        <v>45136</v>
      </c>
      <c r="L3079" s="1474"/>
      <c r="M3079" s="850">
        <v>0</v>
      </c>
      <c r="N3079" s="1474">
        <v>2.0414410414055979</v>
      </c>
      <c r="O3079" s="1474"/>
    </row>
    <row r="3080" spans="11:15">
      <c r="K3080" s="1470">
        <v>45137</v>
      </c>
      <c r="L3080" s="1474"/>
      <c r="M3080" s="850">
        <v>0</v>
      </c>
      <c r="N3080" s="1474">
        <v>2.0414410414055979</v>
      </c>
      <c r="O3080" s="1474"/>
    </row>
    <row r="3081" spans="11:15">
      <c r="K3081" s="1470">
        <v>45138</v>
      </c>
      <c r="L3081" s="1474" t="s">
        <v>2129</v>
      </c>
      <c r="M3081" s="850">
        <v>5.0788E-2</v>
      </c>
      <c r="N3081" s="1474">
        <v>2.042477848481707</v>
      </c>
      <c r="O3081" s="1474"/>
    </row>
    <row r="3082" spans="11:15">
      <c r="K3082" s="1470">
        <v>45139</v>
      </c>
      <c r="L3082" s="1474" t="s">
        <v>2129</v>
      </c>
      <c r="M3082" s="850">
        <v>5.0788E-2</v>
      </c>
      <c r="N3082" s="1474">
        <v>2.0435151821313937</v>
      </c>
      <c r="O3082" s="1474"/>
    </row>
    <row r="3083" spans="11:15">
      <c r="K3083" s="1470">
        <v>45140</v>
      </c>
      <c r="L3083" s="1474" t="s">
        <v>2129</v>
      </c>
      <c r="M3083" s="850">
        <v>5.0788E-2</v>
      </c>
      <c r="N3083" s="1474">
        <v>2.0445530426220948</v>
      </c>
      <c r="O3083" s="1474"/>
    </row>
    <row r="3084" spans="11:15">
      <c r="K3084" s="1470">
        <v>45141</v>
      </c>
      <c r="L3084" s="1474" t="s">
        <v>2129</v>
      </c>
      <c r="M3084" s="850">
        <v>5.0788E-2</v>
      </c>
      <c r="N3084" s="1474">
        <v>2.0455914302213816</v>
      </c>
      <c r="O3084" s="1474"/>
    </row>
    <row r="3085" spans="11:15">
      <c r="K3085" s="1470">
        <v>45142</v>
      </c>
      <c r="L3085" s="1474" t="s">
        <v>2129</v>
      </c>
      <c r="M3085" s="850">
        <v>5.0788E-2</v>
      </c>
      <c r="N3085" s="1474">
        <v>2.0466303451969625</v>
      </c>
      <c r="O3085" s="1474"/>
    </row>
    <row r="3086" spans="11:15">
      <c r="K3086" s="1470">
        <v>45143</v>
      </c>
      <c r="L3086" s="1474"/>
      <c r="M3086" s="850">
        <v>0</v>
      </c>
      <c r="N3086" s="1474">
        <v>2.0466303451969625</v>
      </c>
      <c r="O3086" s="1474"/>
    </row>
    <row r="3087" spans="11:15">
      <c r="K3087" s="1470">
        <v>45144</v>
      </c>
      <c r="L3087" s="1474"/>
      <c r="M3087" s="850">
        <v>0</v>
      </c>
      <c r="N3087" s="1474">
        <v>2.0466303451969625</v>
      </c>
      <c r="O3087" s="1474"/>
    </row>
    <row r="3088" spans="11:15">
      <c r="K3088" s="1470">
        <v>45145</v>
      </c>
      <c r="L3088" s="1474" t="s">
        <v>2129</v>
      </c>
      <c r="M3088" s="850">
        <v>5.0788E-2</v>
      </c>
      <c r="N3088" s="1474">
        <v>2.0476697878166812</v>
      </c>
      <c r="O3088" s="1474"/>
    </row>
    <row r="3089" spans="11:15">
      <c r="K3089" s="1470">
        <v>45146</v>
      </c>
      <c r="L3089" s="1474" t="s">
        <v>2129</v>
      </c>
      <c r="M3089" s="850">
        <v>5.0788E-2</v>
      </c>
      <c r="N3089" s="1474">
        <v>2.0487097583485174</v>
      </c>
      <c r="O3089" s="1474"/>
    </row>
    <row r="3090" spans="11:15">
      <c r="K3090" s="1470">
        <v>45147</v>
      </c>
      <c r="L3090" s="1474" t="s">
        <v>2129</v>
      </c>
      <c r="M3090" s="850">
        <v>5.0788E-2</v>
      </c>
      <c r="N3090" s="1474">
        <v>2.0497502570605874</v>
      </c>
      <c r="O3090" s="1474"/>
    </row>
    <row r="3091" spans="11:15">
      <c r="K3091" s="1470">
        <v>45148</v>
      </c>
      <c r="L3091" s="1474" t="s">
        <v>2129</v>
      </c>
      <c r="M3091" s="850">
        <v>5.0788E-2</v>
      </c>
      <c r="N3091" s="1474">
        <v>2.0507912842211433</v>
      </c>
      <c r="O3091" s="1474"/>
    </row>
    <row r="3092" spans="11:15">
      <c r="K3092" s="1470">
        <v>45149</v>
      </c>
      <c r="L3092" s="1474" t="s">
        <v>2129</v>
      </c>
      <c r="M3092" s="850">
        <v>5.0788E-2</v>
      </c>
      <c r="N3092" s="1474">
        <v>2.0518328400985735</v>
      </c>
      <c r="O3092" s="1474"/>
    </row>
    <row r="3093" spans="11:15">
      <c r="K3093" s="1470">
        <v>45150</v>
      </c>
      <c r="L3093" s="1474"/>
      <c r="M3093" s="850">
        <v>0</v>
      </c>
      <c r="N3093" s="1474">
        <v>2.0518328400985735</v>
      </c>
      <c r="O3093" s="1474"/>
    </row>
    <row r="3094" spans="11:15">
      <c r="K3094" s="1470">
        <v>45151</v>
      </c>
      <c r="L3094" s="1474"/>
      <c r="M3094" s="850">
        <v>0</v>
      </c>
      <c r="N3094" s="1474">
        <v>2.0518328400985735</v>
      </c>
      <c r="O3094" s="1474"/>
    </row>
    <row r="3095" spans="11:15">
      <c r="K3095" s="1470">
        <v>45152</v>
      </c>
      <c r="L3095" s="1474" t="s">
        <v>2129</v>
      </c>
      <c r="M3095" s="850">
        <v>5.0788E-2</v>
      </c>
      <c r="N3095" s="1474">
        <v>2.0528749249614027</v>
      </c>
      <c r="O3095" s="1474"/>
    </row>
    <row r="3096" spans="11:15">
      <c r="K3096" s="1470">
        <v>45153</v>
      </c>
      <c r="L3096" s="1474" t="s">
        <v>2129</v>
      </c>
      <c r="M3096" s="850">
        <v>5.0788E-2</v>
      </c>
      <c r="N3096" s="1474">
        <v>2.053917539078292</v>
      </c>
      <c r="O3096" s="1474"/>
    </row>
    <row r="3097" spans="11:15">
      <c r="K3097" s="1470">
        <v>45154</v>
      </c>
      <c r="L3097" s="1474" t="s">
        <v>2129</v>
      </c>
      <c r="M3097" s="850">
        <v>5.0788E-2</v>
      </c>
      <c r="N3097" s="1474">
        <v>2.0549606827180393</v>
      </c>
      <c r="O3097" s="1474"/>
    </row>
    <row r="3098" spans="11:15">
      <c r="K3098" s="1470">
        <v>45155</v>
      </c>
      <c r="L3098" s="1474" t="s">
        <v>2129</v>
      </c>
      <c r="M3098" s="850">
        <v>5.0788E-2</v>
      </c>
      <c r="N3098" s="1474">
        <v>2.056004356149578</v>
      </c>
      <c r="O3098" s="1474"/>
    </row>
    <row r="3099" spans="11:15">
      <c r="K3099" s="1470">
        <v>45156</v>
      </c>
      <c r="L3099" s="1474" t="s">
        <v>2129</v>
      </c>
      <c r="M3099" s="850">
        <v>5.0788E-2</v>
      </c>
      <c r="N3099" s="1474">
        <v>2.0570485596419794</v>
      </c>
      <c r="O3099" s="1474"/>
    </row>
    <row r="3100" spans="11:15">
      <c r="K3100" s="1470">
        <v>45157</v>
      </c>
      <c r="L3100" s="1474"/>
      <c r="M3100" s="850">
        <v>0</v>
      </c>
      <c r="N3100" s="1474">
        <v>2.0570485596419794</v>
      </c>
      <c r="O3100" s="1474"/>
    </row>
    <row r="3101" spans="11:15">
      <c r="K3101" s="1470">
        <v>45158</v>
      </c>
      <c r="L3101" s="1474"/>
      <c r="M3101" s="850">
        <v>0</v>
      </c>
      <c r="N3101" s="1474">
        <v>2.0570485596419794</v>
      </c>
      <c r="O3101" s="1474"/>
    </row>
    <row r="3102" spans="11:15">
      <c r="K3102" s="1470">
        <v>45159</v>
      </c>
      <c r="L3102" s="1474" t="s">
        <v>2129</v>
      </c>
      <c r="M3102" s="850">
        <v>5.0788E-2</v>
      </c>
      <c r="N3102" s="1474">
        <v>2.0580932934644505</v>
      </c>
      <c r="O3102" s="1474"/>
    </row>
    <row r="3103" spans="11:15">
      <c r="K3103" s="1470">
        <v>45160</v>
      </c>
      <c r="L3103" s="1474" t="s">
        <v>2129</v>
      </c>
      <c r="M3103" s="850">
        <v>5.0788E-2</v>
      </c>
      <c r="N3103" s="1474">
        <v>2.0591385578863353</v>
      </c>
      <c r="O3103" s="1474"/>
    </row>
    <row r="3104" spans="11:15">
      <c r="K3104" s="1470">
        <v>45161</v>
      </c>
      <c r="L3104" s="1474" t="s">
        <v>2129</v>
      </c>
      <c r="M3104" s="850">
        <v>5.0788E-2</v>
      </c>
      <c r="N3104" s="1474">
        <v>2.0601843531771147</v>
      </c>
      <c r="O3104" s="1474"/>
    </row>
    <row r="3105" spans="11:15">
      <c r="K3105" s="1470">
        <v>45162</v>
      </c>
      <c r="L3105" s="1474" t="s">
        <v>2129</v>
      </c>
      <c r="M3105" s="850">
        <v>5.0788E-2</v>
      </c>
      <c r="N3105" s="1474">
        <v>2.0612306796064064</v>
      </c>
      <c r="O3105" s="1474"/>
    </row>
    <row r="3106" spans="11:15">
      <c r="K3106" s="1470">
        <v>45163</v>
      </c>
      <c r="L3106" s="1474" t="s">
        <v>2129</v>
      </c>
      <c r="M3106" s="850">
        <v>5.0788E-2</v>
      </c>
      <c r="N3106" s="1474">
        <v>2.0622775374439648</v>
      </c>
      <c r="O3106" s="1474"/>
    </row>
    <row r="3107" spans="11:15">
      <c r="K3107" s="1470">
        <v>45164</v>
      </c>
      <c r="L3107" s="1474"/>
      <c r="M3107" s="850">
        <v>0</v>
      </c>
      <c r="N3107" s="1474">
        <v>2.0622775374439648</v>
      </c>
      <c r="O3107" s="1474"/>
    </row>
    <row r="3108" spans="11:15">
      <c r="K3108" s="1470">
        <v>45165</v>
      </c>
      <c r="L3108" s="1474"/>
      <c r="M3108" s="850">
        <v>0</v>
      </c>
      <c r="N3108" s="1474">
        <v>2.0622775374439648</v>
      </c>
      <c r="O3108" s="1474"/>
    </row>
    <row r="3109" spans="11:15">
      <c r="K3109" s="1470">
        <v>45166</v>
      </c>
      <c r="L3109" s="1474" t="s">
        <v>2129</v>
      </c>
      <c r="M3109" s="850">
        <v>5.0788E-2</v>
      </c>
      <c r="N3109" s="1474">
        <v>2.0633249269596821</v>
      </c>
      <c r="O3109" s="1474"/>
    </row>
    <row r="3110" spans="11:15">
      <c r="K3110" s="1470">
        <v>45167</v>
      </c>
      <c r="L3110" s="1474" t="s">
        <v>2129</v>
      </c>
      <c r="M3110" s="850">
        <v>5.0788E-2</v>
      </c>
      <c r="N3110" s="1474">
        <v>2.0643728484235866</v>
      </c>
      <c r="O3110" s="1474"/>
    </row>
    <row r="3111" spans="11:15">
      <c r="K3111" s="1470">
        <v>45168</v>
      </c>
      <c r="L3111" s="1474" t="s">
        <v>2129</v>
      </c>
      <c r="M3111" s="850">
        <v>5.0788E-2</v>
      </c>
      <c r="N3111" s="1474">
        <v>2.0654213021058441</v>
      </c>
      <c r="O3111" s="1474"/>
    </row>
    <row r="3112" spans="11:15">
      <c r="K3112" s="1470">
        <v>45169</v>
      </c>
      <c r="L3112" s="1474" t="s">
        <v>2129</v>
      </c>
      <c r="M3112" s="850">
        <v>5.0788E-2</v>
      </c>
      <c r="N3112" s="1474">
        <v>2.0664702882767578</v>
      </c>
      <c r="O3112" s="1474"/>
    </row>
    <row r="3113" spans="11:15">
      <c r="K3113" s="1470">
        <v>45170</v>
      </c>
      <c r="L3113" s="1474" t="s">
        <v>2129</v>
      </c>
      <c r="M3113" s="850">
        <v>5.0788E-2</v>
      </c>
      <c r="N3113" s="1474">
        <v>2.067519807206768</v>
      </c>
      <c r="O3113" s="1474"/>
    </row>
    <row r="3114" spans="11:15">
      <c r="K3114" s="1470">
        <v>45171</v>
      </c>
      <c r="L3114" s="1474"/>
      <c r="M3114" s="850">
        <v>0</v>
      </c>
      <c r="N3114" s="1474">
        <v>2.067519807206768</v>
      </c>
      <c r="O3114" s="1474"/>
    </row>
    <row r="3115" spans="11:15">
      <c r="K3115" s="1470">
        <v>45172</v>
      </c>
      <c r="L3115" s="1474"/>
      <c r="M3115" s="850">
        <v>0</v>
      </c>
      <c r="N3115" s="1474">
        <v>2.067519807206768</v>
      </c>
      <c r="O3115" s="1474"/>
    </row>
    <row r="3116" spans="11:15">
      <c r="K3116" s="1470">
        <v>45173</v>
      </c>
      <c r="L3116" s="1474" t="s">
        <v>2129</v>
      </c>
      <c r="M3116" s="850">
        <v>5.0788E-2</v>
      </c>
      <c r="N3116" s="1474">
        <v>2.0685698591664523</v>
      </c>
      <c r="O3116" s="1474"/>
    </row>
    <row r="3117" spans="11:15">
      <c r="K3117" s="1470">
        <v>45174</v>
      </c>
      <c r="L3117" s="1474" t="s">
        <v>2129</v>
      </c>
      <c r="M3117" s="850">
        <v>5.0788E-2</v>
      </c>
      <c r="N3117" s="1474">
        <v>2.0696204444265258</v>
      </c>
      <c r="O3117" s="1474"/>
    </row>
    <row r="3118" spans="11:15">
      <c r="K3118" s="1470">
        <v>45175</v>
      </c>
      <c r="L3118" s="1474" t="s">
        <v>2129</v>
      </c>
      <c r="M3118" s="850">
        <v>5.0788E-2</v>
      </c>
      <c r="N3118" s="1474">
        <v>2.0706715632578412</v>
      </c>
      <c r="O3118" s="1474"/>
    </row>
    <row r="3119" spans="11:15">
      <c r="K3119" s="1470">
        <v>45176</v>
      </c>
      <c r="L3119" s="1474"/>
      <c r="M3119" s="850">
        <v>0</v>
      </c>
      <c r="N3119" s="1474">
        <v>2.0706715632578412</v>
      </c>
      <c r="O3119" s="1474"/>
    </row>
    <row r="3120" spans="11:15">
      <c r="K3120" s="1470">
        <v>45177</v>
      </c>
      <c r="L3120" s="1474" t="s">
        <v>2129</v>
      </c>
      <c r="M3120" s="850">
        <v>5.0788E-2</v>
      </c>
      <c r="N3120" s="1474">
        <v>2.0717232159313888</v>
      </c>
      <c r="O3120" s="1474"/>
    </row>
    <row r="3121" spans="11:15">
      <c r="K3121" s="1470">
        <v>45178</v>
      </c>
      <c r="L3121" s="1474"/>
      <c r="M3121" s="850">
        <v>0</v>
      </c>
      <c r="N3121" s="1474">
        <v>2.0717232159313888</v>
      </c>
      <c r="O3121" s="1474"/>
    </row>
    <row r="3122" spans="11:15">
      <c r="K3122" s="1470">
        <v>45179</v>
      </c>
      <c r="L3122" s="1474"/>
      <c r="M3122" s="850">
        <v>0</v>
      </c>
      <c r="N3122" s="1474">
        <v>2.0717232159313888</v>
      </c>
      <c r="O3122" s="1474"/>
    </row>
    <row r="3123" spans="11:15">
      <c r="K3123" s="1470">
        <v>45180</v>
      </c>
      <c r="L3123" s="1474" t="s">
        <v>2129</v>
      </c>
      <c r="M3123" s="850">
        <v>5.0788E-2</v>
      </c>
      <c r="N3123" s="1474">
        <v>2.0727754027182961</v>
      </c>
      <c r="O3123" s="1474"/>
    </row>
    <row r="3124" spans="11:15">
      <c r="K3124" s="1470">
        <v>45181</v>
      </c>
      <c r="L3124" s="1474" t="s">
        <v>2129</v>
      </c>
      <c r="M3124" s="850">
        <v>5.0788E-2</v>
      </c>
      <c r="N3124" s="1474">
        <v>2.0738281238898288</v>
      </c>
      <c r="O3124" s="1474"/>
    </row>
    <row r="3125" spans="11:15">
      <c r="K3125" s="1470">
        <v>45182</v>
      </c>
      <c r="L3125" s="1474" t="s">
        <v>2129</v>
      </c>
      <c r="M3125" s="850">
        <v>5.0788E-2</v>
      </c>
      <c r="N3125" s="1474">
        <v>2.07488137971739</v>
      </c>
      <c r="O3125" s="1474"/>
    </row>
    <row r="3126" spans="11:15">
      <c r="K3126" s="1470">
        <v>45183</v>
      </c>
      <c r="L3126" s="1474" t="s">
        <v>2129</v>
      </c>
      <c r="M3126" s="850">
        <v>5.0788E-2</v>
      </c>
      <c r="N3126" s="1474">
        <v>2.0759351704725209</v>
      </c>
      <c r="O3126" s="1474"/>
    </row>
    <row r="3127" spans="11:15">
      <c r="K3127" s="1470">
        <v>45184</v>
      </c>
      <c r="L3127" s="1474" t="s">
        <v>2129</v>
      </c>
      <c r="M3127" s="850">
        <v>5.0788E-2</v>
      </c>
      <c r="N3127" s="1474">
        <v>2.0769894964269007</v>
      </c>
      <c r="O3127" s="1474"/>
    </row>
    <row r="3128" spans="11:15">
      <c r="K3128" s="1470">
        <v>45185</v>
      </c>
      <c r="L3128" s="1474"/>
      <c r="M3128" s="850">
        <v>0</v>
      </c>
      <c r="N3128" s="1474">
        <v>2.0769894964269007</v>
      </c>
      <c r="O3128" s="1474"/>
    </row>
    <row r="3129" spans="11:15">
      <c r="K3129" s="1470">
        <v>45186</v>
      </c>
      <c r="L3129" s="1474"/>
      <c r="M3129" s="850">
        <v>0</v>
      </c>
      <c r="N3129" s="1474">
        <v>2.0769894964269007</v>
      </c>
      <c r="O3129" s="1474"/>
    </row>
    <row r="3130" spans="11:15">
      <c r="K3130" s="1470">
        <v>45187</v>
      </c>
      <c r="L3130" s="1474" t="s">
        <v>2129</v>
      </c>
      <c r="M3130" s="850">
        <v>5.0788E-2</v>
      </c>
      <c r="N3130" s="1474">
        <v>2.0780443578523462</v>
      </c>
      <c r="O3130" s="1474"/>
    </row>
    <row r="3131" spans="11:15">
      <c r="K3131" s="1470">
        <v>45188</v>
      </c>
      <c r="L3131" s="1474" t="s">
        <v>2129</v>
      </c>
      <c r="M3131" s="850">
        <v>5.0788E-2</v>
      </c>
      <c r="N3131" s="1474">
        <v>2.0790997550208123</v>
      </c>
      <c r="O3131" s="1474"/>
    </row>
    <row r="3132" spans="11:15">
      <c r="K3132" s="1470">
        <v>45189</v>
      </c>
      <c r="L3132" s="1474" t="s">
        <v>2129</v>
      </c>
      <c r="M3132" s="850">
        <v>5.0788E-2</v>
      </c>
      <c r="N3132" s="1474">
        <v>2.0801556882043926</v>
      </c>
      <c r="O3132" s="1474"/>
    </row>
    <row r="3133" spans="11:15">
      <c r="K3133" s="1470">
        <v>45190</v>
      </c>
      <c r="L3133" s="1474" t="s">
        <v>2129</v>
      </c>
      <c r="M3133" s="850">
        <v>5.0788E-2</v>
      </c>
      <c r="N3133" s="1474">
        <v>2.081212157675318</v>
      </c>
      <c r="O3133" s="1474"/>
    </row>
    <row r="3134" spans="11:15">
      <c r="K3134" s="1470">
        <v>45191</v>
      </c>
      <c r="L3134" s="1474" t="s">
        <v>2129</v>
      </c>
      <c r="M3134" s="850">
        <v>5.0788E-2</v>
      </c>
      <c r="N3134" s="1474">
        <v>2.0822691637059583</v>
      </c>
      <c r="O3134" s="1474"/>
    </row>
    <row r="3135" spans="11:15">
      <c r="K3135" s="1470">
        <v>45192</v>
      </c>
      <c r="L3135" s="1474"/>
      <c r="M3135" s="850">
        <v>0</v>
      </c>
      <c r="N3135" s="1474">
        <v>2.0822691637059583</v>
      </c>
      <c r="O3135" s="1474"/>
    </row>
    <row r="3136" spans="11:15">
      <c r="K3136" s="1470">
        <v>45193</v>
      </c>
      <c r="L3136" s="1474"/>
      <c r="M3136" s="850">
        <v>0</v>
      </c>
      <c r="N3136" s="1474">
        <v>2.0822691637059583</v>
      </c>
      <c r="O3136" s="1474"/>
    </row>
    <row r="3137" spans="11:15">
      <c r="K3137" s="1470">
        <v>45194</v>
      </c>
      <c r="L3137" s="1474" t="s">
        <v>2129</v>
      </c>
      <c r="M3137" s="850">
        <v>5.0788E-2</v>
      </c>
      <c r="N3137" s="1474">
        <v>2.0833267065688212</v>
      </c>
      <c r="O3137" s="1474"/>
    </row>
    <row r="3138" spans="11:15">
      <c r="K3138" s="1470">
        <v>45195</v>
      </c>
      <c r="L3138" s="1474" t="s">
        <v>2129</v>
      </c>
      <c r="M3138" s="850">
        <v>5.0788E-2</v>
      </c>
      <c r="N3138" s="1474">
        <v>2.0843847865365532</v>
      </c>
      <c r="O3138" s="1474"/>
    </row>
    <row r="3139" spans="11:15">
      <c r="K3139" s="1470">
        <v>45196</v>
      </c>
      <c r="L3139" s="1474" t="s">
        <v>2129</v>
      </c>
      <c r="M3139" s="850">
        <v>5.0788E-2</v>
      </c>
      <c r="N3139" s="1474">
        <v>2.0854434038819396</v>
      </c>
      <c r="O3139" s="1474"/>
    </row>
    <row r="3140" spans="11:15">
      <c r="K3140" s="1470">
        <v>45197</v>
      </c>
      <c r="L3140" s="1474" t="s">
        <v>2129</v>
      </c>
      <c r="M3140" s="850">
        <v>5.0788E-2</v>
      </c>
      <c r="N3140" s="1474">
        <v>2.0865025588779034</v>
      </c>
      <c r="O3140" s="1474"/>
    </row>
    <row r="3141" spans="11:15">
      <c r="K3141" s="1470">
        <v>45198</v>
      </c>
      <c r="L3141" s="1474" t="s">
        <v>2129</v>
      </c>
      <c r="M3141" s="850">
        <v>5.0788E-2</v>
      </c>
      <c r="N3141" s="1474">
        <v>2.0875622517975061</v>
      </c>
      <c r="O3141" s="1474"/>
    </row>
    <row r="3142" spans="11:15">
      <c r="K3142" s="1470">
        <v>45199</v>
      </c>
      <c r="L3142" s="1474"/>
      <c r="M3142" s="850">
        <v>0</v>
      </c>
      <c r="N3142" s="1474">
        <v>2.0875622517975061</v>
      </c>
      <c r="O3142" s="1474"/>
    </row>
    <row r="3143" spans="11:15">
      <c r="K3143" s="1470">
        <v>45200</v>
      </c>
      <c r="L3143" s="1474"/>
      <c r="M3143" s="850">
        <v>0</v>
      </c>
      <c r="N3143" s="1474">
        <v>2.0875622517975061</v>
      </c>
      <c r="O3143" s="1474"/>
    </row>
    <row r="3144" spans="11:15">
      <c r="K3144" s="1470">
        <v>45201</v>
      </c>
      <c r="L3144" s="1474" t="s">
        <v>2129</v>
      </c>
      <c r="M3144" s="850">
        <v>5.0788E-2</v>
      </c>
      <c r="N3144" s="1474">
        <v>2.0886224829139493</v>
      </c>
      <c r="O3144" s="1474"/>
    </row>
    <row r="3145" spans="11:15">
      <c r="K3145" s="1470">
        <v>45202</v>
      </c>
      <c r="L3145" s="1474" t="s">
        <v>2129</v>
      </c>
      <c r="M3145" s="850">
        <v>5.0788E-2</v>
      </c>
      <c r="N3145" s="1474">
        <v>2.0896832525005715</v>
      </c>
      <c r="O3145" s="1474"/>
    </row>
    <row r="3146" spans="11:15">
      <c r="K3146" s="1470">
        <v>45203</v>
      </c>
      <c r="L3146" s="1474" t="s">
        <v>2129</v>
      </c>
      <c r="M3146" s="850">
        <v>5.0788E-2</v>
      </c>
      <c r="N3146" s="1474">
        <v>2.0907445608308515</v>
      </c>
      <c r="O3146" s="1474"/>
    </row>
    <row r="3147" spans="11:15">
      <c r="K3147" s="1470">
        <v>45204</v>
      </c>
      <c r="L3147" s="1474" t="s">
        <v>2129</v>
      </c>
      <c r="M3147" s="850">
        <v>5.0788E-2</v>
      </c>
      <c r="N3147" s="1474">
        <v>2.0918064081784062</v>
      </c>
      <c r="O3147" s="1474"/>
    </row>
    <row r="3148" spans="11:15">
      <c r="K3148" s="1470">
        <v>45205</v>
      </c>
      <c r="L3148" s="1474" t="s">
        <v>2129</v>
      </c>
      <c r="M3148" s="850">
        <v>5.0788E-2</v>
      </c>
      <c r="N3148" s="1474">
        <v>2.092868794816992</v>
      </c>
      <c r="O3148" s="1474"/>
    </row>
    <row r="3149" spans="11:15">
      <c r="K3149" s="1470">
        <v>45206</v>
      </c>
      <c r="L3149" s="1474"/>
      <c r="M3149" s="850">
        <v>0</v>
      </c>
      <c r="N3149" s="1474">
        <v>2.092868794816992</v>
      </c>
      <c r="O3149" s="1474"/>
    </row>
    <row r="3150" spans="11:15">
      <c r="K3150" s="1470">
        <v>45207</v>
      </c>
      <c r="L3150" s="1474"/>
      <c r="M3150" s="850">
        <v>0</v>
      </c>
      <c r="N3150" s="1474">
        <v>2.092868794816992</v>
      </c>
      <c r="O3150" s="1474"/>
    </row>
    <row r="3151" spans="11:15">
      <c r="K3151" s="1470">
        <v>45208</v>
      </c>
      <c r="L3151" s="1474" t="s">
        <v>2129</v>
      </c>
      <c r="M3151" s="850">
        <v>5.0788E-2</v>
      </c>
      <c r="N3151" s="1474">
        <v>2.0939317210205037</v>
      </c>
      <c r="O3151" s="1474"/>
    </row>
    <row r="3152" spans="11:15">
      <c r="K3152" s="1470">
        <v>45209</v>
      </c>
      <c r="L3152" s="1474" t="s">
        <v>2129</v>
      </c>
      <c r="M3152" s="850">
        <v>5.0788E-2</v>
      </c>
      <c r="N3152" s="1474">
        <v>2.0949951870629757</v>
      </c>
      <c r="O3152" s="1474"/>
    </row>
    <row r="3153" spans="11:15">
      <c r="K3153" s="1470">
        <v>45210</v>
      </c>
      <c r="L3153" s="1474" t="s">
        <v>2129</v>
      </c>
      <c r="M3153" s="850">
        <v>5.0788E-2</v>
      </c>
      <c r="N3153" s="1474">
        <v>2.0960591932185815</v>
      </c>
      <c r="O3153" s="1474"/>
    </row>
    <row r="3154" spans="11:15">
      <c r="K3154" s="1470">
        <v>45211</v>
      </c>
      <c r="L3154" s="1474"/>
      <c r="M3154" s="850">
        <v>0</v>
      </c>
      <c r="N3154" s="1474">
        <v>2.0960591932185815</v>
      </c>
      <c r="O3154" s="1474"/>
    </row>
    <row r="3155" spans="11:15">
      <c r="K3155" s="1470">
        <v>45212</v>
      </c>
      <c r="L3155" s="1474" t="s">
        <v>2129</v>
      </c>
      <c r="M3155" s="850">
        <v>5.0788E-2</v>
      </c>
      <c r="N3155" s="1474">
        <v>2.0971237397616336</v>
      </c>
      <c r="O3155" s="1474"/>
    </row>
    <row r="3156" spans="11:15">
      <c r="K3156" s="1470">
        <v>45213</v>
      </c>
      <c r="L3156" s="1474"/>
      <c r="M3156" s="850">
        <v>0</v>
      </c>
      <c r="N3156" s="1474">
        <v>2.0971237397616336</v>
      </c>
      <c r="O3156" s="1474"/>
    </row>
    <row r="3157" spans="11:15">
      <c r="K3157" s="1470">
        <v>45214</v>
      </c>
      <c r="L3157" s="1474"/>
      <c r="M3157" s="850">
        <v>0</v>
      </c>
      <c r="N3157" s="1474">
        <v>2.0971237397616336</v>
      </c>
      <c r="O3157" s="1474"/>
    </row>
    <row r="3158" spans="11:15">
      <c r="K3158" s="1470">
        <v>45215</v>
      </c>
      <c r="L3158" s="1474" t="s">
        <v>2129</v>
      </c>
      <c r="M3158" s="850">
        <v>5.0788E-2</v>
      </c>
      <c r="N3158" s="1474">
        <v>2.0981888269665836</v>
      </c>
      <c r="O3158" s="1474"/>
    </row>
    <row r="3159" spans="11:15">
      <c r="K3159" s="1470">
        <v>45216</v>
      </c>
      <c r="L3159" s="1474" t="s">
        <v>2129</v>
      </c>
      <c r="M3159" s="850">
        <v>5.0788E-2</v>
      </c>
      <c r="N3159" s="1474">
        <v>2.0992544551080234</v>
      </c>
      <c r="O3159" s="1474"/>
    </row>
    <row r="3160" spans="11:15">
      <c r="K3160" s="1470">
        <v>45217</v>
      </c>
      <c r="L3160" s="1474" t="s">
        <v>2129</v>
      </c>
      <c r="M3160" s="850">
        <v>5.0788E-2</v>
      </c>
      <c r="N3160" s="1474">
        <v>2.1003206244606836</v>
      </c>
      <c r="O3160" s="1474"/>
    </row>
    <row r="3161" spans="11:15">
      <c r="K3161" s="1470">
        <v>45218</v>
      </c>
      <c r="L3161" s="1474" t="s">
        <v>2129</v>
      </c>
      <c r="M3161" s="850">
        <v>5.0788E-2</v>
      </c>
      <c r="N3161" s="1474">
        <v>2.1013873352994348</v>
      </c>
      <c r="O3161" s="1474"/>
    </row>
    <row r="3162" spans="11:15">
      <c r="K3162" s="1470">
        <v>45219</v>
      </c>
      <c r="L3162" s="1474" t="s">
        <v>2129</v>
      </c>
      <c r="M3162" s="850">
        <v>5.0788E-2</v>
      </c>
      <c r="N3162" s="1474">
        <v>2.1024545878992869</v>
      </c>
      <c r="O3162" s="1474"/>
    </row>
    <row r="3163" spans="11:15">
      <c r="K3163" s="1470">
        <v>45220</v>
      </c>
      <c r="L3163" s="1474"/>
      <c r="M3163" s="850">
        <v>0</v>
      </c>
      <c r="N3163" s="1474">
        <v>2.1024545878992869</v>
      </c>
      <c r="O3163" s="1474"/>
    </row>
    <row r="3164" spans="11:15">
      <c r="K3164" s="1470">
        <v>45221</v>
      </c>
      <c r="L3164" s="1474"/>
      <c r="M3164" s="850">
        <v>0</v>
      </c>
      <c r="N3164" s="1474">
        <v>2.1024545878992869</v>
      </c>
      <c r="O3164" s="1474"/>
    </row>
    <row r="3165" spans="11:15">
      <c r="K3165" s="1470">
        <v>45222</v>
      </c>
      <c r="L3165" s="1474" t="s">
        <v>2129</v>
      </c>
      <c r="M3165" s="850">
        <v>5.0788E-2</v>
      </c>
      <c r="N3165" s="1474">
        <v>2.103522382535389</v>
      </c>
      <c r="O3165" s="1474"/>
    </row>
    <row r="3166" spans="11:15">
      <c r="K3166" s="1470">
        <v>45223</v>
      </c>
      <c r="L3166" s="1474" t="s">
        <v>2129</v>
      </c>
      <c r="M3166" s="850">
        <v>5.0788E-2</v>
      </c>
      <c r="N3166" s="1474">
        <v>2.1045907194830313</v>
      </c>
      <c r="O3166" s="1474"/>
    </row>
    <row r="3167" spans="11:15">
      <c r="K3167" s="1470">
        <v>45224</v>
      </c>
      <c r="L3167" s="1474" t="s">
        <v>2129</v>
      </c>
      <c r="M3167" s="850">
        <v>5.0788E-2</v>
      </c>
      <c r="N3167" s="1474">
        <v>2.1056595990176423</v>
      </c>
      <c r="O3167" s="1474"/>
    </row>
    <row r="3168" spans="11:15">
      <c r="K3168" s="1470">
        <v>45225</v>
      </c>
      <c r="L3168" s="1474" t="s">
        <v>2129</v>
      </c>
      <c r="M3168" s="850">
        <v>5.0788E-2</v>
      </c>
      <c r="N3168" s="1474">
        <v>2.1067290214147913</v>
      </c>
      <c r="O3168" s="1474"/>
    </row>
    <row r="3169" spans="11:15">
      <c r="K3169" s="1470">
        <v>45226</v>
      </c>
      <c r="L3169" s="1474" t="s">
        <v>2129</v>
      </c>
      <c r="M3169" s="850">
        <v>5.0788E-2</v>
      </c>
      <c r="N3169" s="1474">
        <v>2.1077989869501876</v>
      </c>
      <c r="O3169" s="1474"/>
    </row>
    <row r="3170" spans="11:15">
      <c r="K3170" s="1470">
        <v>45227</v>
      </c>
      <c r="L3170" s="1474"/>
      <c r="M3170" s="850">
        <v>0</v>
      </c>
      <c r="N3170" s="1474">
        <v>2.1077989869501876</v>
      </c>
      <c r="O3170" s="1474"/>
    </row>
    <row r="3171" spans="11:15">
      <c r="K3171" s="1470">
        <v>45228</v>
      </c>
      <c r="L3171" s="1474"/>
      <c r="M3171" s="850">
        <v>0</v>
      </c>
      <c r="N3171" s="1474">
        <v>2.1077989869501876</v>
      </c>
      <c r="O3171" s="1474"/>
    </row>
    <row r="3172" spans="11:15">
      <c r="K3172" s="1470">
        <v>45229</v>
      </c>
      <c r="L3172" s="1474" t="s">
        <v>2129</v>
      </c>
      <c r="M3172" s="850">
        <v>5.0788E-2</v>
      </c>
      <c r="N3172" s="1474">
        <v>2.1088694958996799</v>
      </c>
      <c r="O3172" s="1474"/>
    </row>
    <row r="3173" spans="11:15">
      <c r="K3173" s="1470">
        <v>45230</v>
      </c>
      <c r="L3173" s="1474" t="s">
        <v>2129</v>
      </c>
      <c r="M3173" s="850">
        <v>5.0788E-2</v>
      </c>
      <c r="N3173" s="1474">
        <v>2.1099405485392575</v>
      </c>
      <c r="O3173" s="1474"/>
    </row>
    <row r="3174" spans="11:15">
      <c r="K3174" s="1470">
        <v>45231</v>
      </c>
      <c r="L3174" s="1474" t="s">
        <v>2129</v>
      </c>
      <c r="M3174" s="850">
        <v>5.0788E-2</v>
      </c>
      <c r="N3174" s="1474">
        <v>2.1110121451450499</v>
      </c>
      <c r="O3174" s="1474"/>
    </row>
    <row r="3175" spans="11:15">
      <c r="K3175" s="1470">
        <v>45232</v>
      </c>
      <c r="L3175" s="1474"/>
      <c r="M3175" s="850">
        <v>0</v>
      </c>
      <c r="N3175" s="1474">
        <v>2.1110121451450499</v>
      </c>
      <c r="O3175" s="1474"/>
    </row>
    <row r="3176" spans="11:15">
      <c r="K3176" s="1470">
        <v>45233</v>
      </c>
      <c r="L3176" s="1474" t="s">
        <v>2129</v>
      </c>
      <c r="M3176" s="850">
        <v>5.0788E-2</v>
      </c>
      <c r="N3176" s="1474">
        <v>2.1120842859933262</v>
      </c>
      <c r="O3176" s="1474"/>
    </row>
    <row r="3177" spans="11:15">
      <c r="K3177" s="1470">
        <v>45234</v>
      </c>
      <c r="L3177" s="1474"/>
      <c r="M3177" s="850">
        <v>0</v>
      </c>
      <c r="N3177" s="1474">
        <v>2.1120842859933262</v>
      </c>
      <c r="O3177" s="1474"/>
    </row>
    <row r="3178" spans="11:15">
      <c r="K3178" s="1470">
        <v>45235</v>
      </c>
      <c r="L3178" s="1474"/>
      <c r="M3178" s="850">
        <v>0</v>
      </c>
      <c r="N3178" s="1474">
        <v>2.1120842859933262</v>
      </c>
      <c r="O3178" s="1474"/>
    </row>
    <row r="3179" spans="11:15">
      <c r="K3179" s="1470">
        <v>45236</v>
      </c>
      <c r="L3179" s="1474" t="s">
        <v>2129</v>
      </c>
      <c r="M3179" s="850">
        <v>5.0788E-2</v>
      </c>
      <c r="N3179" s="1474">
        <v>2.1131569713604965</v>
      </c>
      <c r="O3179" s="1474"/>
    </row>
    <row r="3180" spans="11:15">
      <c r="K3180" s="1470">
        <v>45237</v>
      </c>
      <c r="L3180" s="1474" t="s">
        <v>2129</v>
      </c>
      <c r="M3180" s="850">
        <v>5.0788E-2</v>
      </c>
      <c r="N3180" s="1474">
        <v>2.1142302015231111</v>
      </c>
      <c r="O3180" s="1474"/>
    </row>
    <row r="3181" spans="11:15">
      <c r="K3181" s="1470">
        <v>45238</v>
      </c>
      <c r="L3181" s="1474" t="s">
        <v>2129</v>
      </c>
      <c r="M3181" s="850">
        <v>5.0788E-2</v>
      </c>
      <c r="N3181" s="1474">
        <v>2.1153039767578607</v>
      </c>
      <c r="O3181" s="1474"/>
    </row>
    <row r="3182" spans="11:15">
      <c r="K3182" s="1470">
        <v>45239</v>
      </c>
      <c r="L3182" s="1474" t="s">
        <v>2129</v>
      </c>
      <c r="M3182" s="850">
        <v>5.0788E-2</v>
      </c>
      <c r="N3182" s="1474">
        <v>2.1163782973415768</v>
      </c>
      <c r="O3182" s="1474"/>
    </row>
    <row r="3183" spans="11:15">
      <c r="K3183" s="1470">
        <v>45240</v>
      </c>
      <c r="L3183" s="1474" t="s">
        <v>2129</v>
      </c>
      <c r="M3183" s="850">
        <v>5.0788E-2</v>
      </c>
      <c r="N3183" s="1474">
        <v>2.1174531635512306</v>
      </c>
      <c r="O3183" s="1474"/>
    </row>
    <row r="3184" spans="11:15">
      <c r="K3184" s="1470">
        <v>45241</v>
      </c>
      <c r="L3184" s="1474"/>
      <c r="M3184" s="850">
        <v>0</v>
      </c>
      <c r="N3184" s="1474">
        <v>2.1174531635512306</v>
      </c>
      <c r="O3184" s="1474"/>
    </row>
    <row r="3185" spans="11:15">
      <c r="K3185" s="1470">
        <v>45242</v>
      </c>
      <c r="L3185" s="1474"/>
      <c r="M3185" s="850">
        <v>0</v>
      </c>
      <c r="N3185" s="1474">
        <v>2.1174531635512306</v>
      </c>
      <c r="O3185" s="1474"/>
    </row>
    <row r="3186" spans="11:15">
      <c r="K3186" s="1470">
        <v>45243</v>
      </c>
      <c r="L3186" s="1474" t="s">
        <v>2129</v>
      </c>
      <c r="M3186" s="850">
        <v>5.0788E-2</v>
      </c>
      <c r="N3186" s="1474">
        <v>2.1185285756639352</v>
      </c>
      <c r="O3186" s="1474"/>
    </row>
    <row r="3187" spans="11:15">
      <c r="K3187" s="1470">
        <v>45244</v>
      </c>
      <c r="L3187" s="1474" t="s">
        <v>2129</v>
      </c>
      <c r="M3187" s="850">
        <v>5.0788E-2</v>
      </c>
      <c r="N3187" s="1474">
        <v>2.1196045339569434</v>
      </c>
      <c r="O3187" s="1474"/>
    </row>
    <row r="3188" spans="11:15">
      <c r="K3188" s="1470">
        <v>45245</v>
      </c>
      <c r="L3188" s="1474"/>
      <c r="M3188" s="850">
        <v>0</v>
      </c>
      <c r="N3188" s="1474">
        <v>2.1196045339569434</v>
      </c>
      <c r="O3188" s="1474"/>
    </row>
    <row r="3189" spans="11:15">
      <c r="K3189" s="1470">
        <v>45246</v>
      </c>
      <c r="L3189" s="1474" t="s">
        <v>2129</v>
      </c>
      <c r="M3189" s="850">
        <v>5.0788E-2</v>
      </c>
      <c r="N3189" s="1474">
        <v>2.1206810387076493</v>
      </c>
      <c r="O3189" s="1474"/>
    </row>
    <row r="3190" spans="11:15">
      <c r="K3190" s="1470">
        <v>45247</v>
      </c>
      <c r="L3190" s="1474" t="s">
        <v>2129</v>
      </c>
      <c r="M3190" s="850">
        <v>5.0788E-2</v>
      </c>
      <c r="N3190" s="1474">
        <v>2.1217580901935884</v>
      </c>
      <c r="O3190" s="1474"/>
    </row>
    <row r="3191" spans="11:15">
      <c r="K3191" s="1470">
        <v>45248</v>
      </c>
      <c r="L3191" s="1474"/>
      <c r="M3191" s="850">
        <v>0</v>
      </c>
      <c r="N3191" s="1474">
        <v>2.1217580901935884</v>
      </c>
      <c r="O3191" s="1474"/>
    </row>
    <row r="3192" spans="11:15">
      <c r="K3192" s="1470">
        <v>45249</v>
      </c>
      <c r="L3192" s="1474"/>
      <c r="M3192" s="850">
        <v>0</v>
      </c>
      <c r="N3192" s="1474">
        <v>2.1217580901935884</v>
      </c>
      <c r="O3192" s="1474"/>
    </row>
    <row r="3193" spans="11:15">
      <c r="K3193" s="1470">
        <v>45250</v>
      </c>
      <c r="L3193" s="1474" t="s">
        <v>2129</v>
      </c>
      <c r="M3193" s="850">
        <v>5.0788E-2</v>
      </c>
      <c r="N3193" s="1474">
        <v>2.1228356886924358</v>
      </c>
      <c r="O3193" s="1474"/>
    </row>
    <row r="3194" spans="11:15">
      <c r="K3194" s="1470">
        <v>45251</v>
      </c>
      <c r="L3194" s="1474" t="s">
        <v>2129</v>
      </c>
      <c r="M3194" s="850">
        <v>5.0788E-2</v>
      </c>
      <c r="N3194" s="1474">
        <v>2.1239138344820088</v>
      </c>
      <c r="O3194" s="1474"/>
    </row>
    <row r="3195" spans="11:15">
      <c r="K3195" s="1470">
        <v>45252</v>
      </c>
      <c r="L3195" s="1474" t="s">
        <v>2129</v>
      </c>
      <c r="M3195" s="850">
        <v>5.0788E-2</v>
      </c>
      <c r="N3195" s="1474">
        <v>2.1249925278402655</v>
      </c>
      <c r="O3195" s="1474"/>
    </row>
    <row r="3196" spans="11:15">
      <c r="K3196" s="1470">
        <v>45253</v>
      </c>
      <c r="L3196" s="1474" t="s">
        <v>2129</v>
      </c>
      <c r="M3196" s="850">
        <v>5.0788E-2</v>
      </c>
      <c r="N3196" s="1474">
        <v>2.1260717690453048</v>
      </c>
      <c r="O3196" s="1474"/>
    </row>
    <row r="3197" spans="11:15">
      <c r="K3197" s="1470">
        <v>45254</v>
      </c>
      <c r="L3197" s="1474" t="s">
        <v>2129</v>
      </c>
      <c r="M3197" s="850">
        <v>5.0788E-2</v>
      </c>
      <c r="N3197" s="1474">
        <v>2.1271515583753677</v>
      </c>
      <c r="O3197" s="1474"/>
    </row>
    <row r="3198" spans="11:15">
      <c r="K3198" s="1470">
        <v>45255</v>
      </c>
      <c r="L3198" s="1474"/>
      <c r="M3198" s="850">
        <v>0</v>
      </c>
      <c r="N3198" s="1474">
        <v>2.1271515583753677</v>
      </c>
      <c r="O3198" s="1474"/>
    </row>
    <row r="3199" spans="11:15">
      <c r="K3199" s="1470">
        <v>45256</v>
      </c>
      <c r="L3199" s="1474"/>
      <c r="M3199" s="850">
        <v>0</v>
      </c>
      <c r="N3199" s="1474">
        <v>2.1271515583753677</v>
      </c>
      <c r="O3199" s="1474"/>
    </row>
    <row r="3200" spans="11:15">
      <c r="K3200" s="1470">
        <v>45257</v>
      </c>
      <c r="L3200" s="1474" t="s">
        <v>2129</v>
      </c>
      <c r="M3200" s="850">
        <v>5.0788E-2</v>
      </c>
      <c r="N3200" s="1474">
        <v>2.1282318961088356</v>
      </c>
      <c r="O3200" s="1474"/>
    </row>
    <row r="3201" spans="11:15">
      <c r="K3201" s="1470">
        <v>45258</v>
      </c>
      <c r="L3201" s="1474" t="s">
        <v>2129</v>
      </c>
      <c r="M3201" s="850">
        <v>5.0788E-2</v>
      </c>
      <c r="N3201" s="1474">
        <v>2.1293127825242313</v>
      </c>
      <c r="O3201" s="1474"/>
    </row>
    <row r="3202" spans="11:15">
      <c r="K3202" s="1470">
        <v>45259</v>
      </c>
      <c r="L3202" s="1474" t="s">
        <v>2129</v>
      </c>
      <c r="M3202" s="850">
        <v>5.0788E-2</v>
      </c>
      <c r="N3202" s="1474">
        <v>2.1303942179002195</v>
      </c>
      <c r="O3202" s="1474"/>
    </row>
    <row r="3203" spans="11:15">
      <c r="K3203" s="1470">
        <v>45260</v>
      </c>
      <c r="L3203" s="1474" t="s">
        <v>2129</v>
      </c>
      <c r="M3203" s="850">
        <v>5.0788E-2</v>
      </c>
      <c r="N3203" s="1474">
        <v>2.1314762025156067</v>
      </c>
      <c r="O3203" s="1474"/>
    </row>
    <row r="3204" spans="11:15">
      <c r="K3204" s="1470">
        <v>45261</v>
      </c>
      <c r="L3204" s="1474" t="s">
        <v>2129</v>
      </c>
      <c r="M3204" s="850">
        <v>5.0788E-2</v>
      </c>
      <c r="N3204" s="1474">
        <v>2.1325587366493401</v>
      </c>
      <c r="O3204" s="1474"/>
    </row>
    <row r="3205" spans="11:15">
      <c r="K3205" s="1470">
        <v>45262</v>
      </c>
      <c r="L3205" s="1474"/>
      <c r="M3205" s="850">
        <v>0</v>
      </c>
      <c r="N3205" s="1474">
        <v>2.1325587366493401</v>
      </c>
      <c r="O3205" s="1474"/>
    </row>
    <row r="3206" spans="11:15">
      <c r="K3206" s="1470">
        <v>45263</v>
      </c>
      <c r="L3206" s="1474"/>
      <c r="M3206" s="850">
        <v>0</v>
      </c>
      <c r="N3206" s="1474">
        <v>2.1325587366493401</v>
      </c>
      <c r="O3206" s="1474"/>
    </row>
    <row r="3207" spans="11:15">
      <c r="K3207" s="1470">
        <v>45264</v>
      </c>
      <c r="L3207" s="1474" t="s">
        <v>2129</v>
      </c>
      <c r="M3207" s="850">
        <v>5.0788E-2</v>
      </c>
      <c r="N3207" s="1474">
        <v>2.1336418205805097</v>
      </c>
      <c r="O3207" s="1474"/>
    </row>
    <row r="3208" spans="11:15">
      <c r="K3208" s="1470">
        <v>45265</v>
      </c>
      <c r="L3208" s="1474" t="s">
        <v>2129</v>
      </c>
      <c r="M3208" s="850">
        <v>5.0788E-2</v>
      </c>
      <c r="N3208" s="1474">
        <v>2.1347254545883461</v>
      </c>
      <c r="O3208" s="1474"/>
    </row>
    <row r="3209" spans="11:15">
      <c r="K3209" s="1470">
        <v>45266</v>
      </c>
      <c r="L3209" s="1474" t="s">
        <v>2129</v>
      </c>
      <c r="M3209" s="850">
        <v>5.0788E-2</v>
      </c>
      <c r="N3209" s="1474">
        <v>2.1358096389522223</v>
      </c>
      <c r="O3209" s="1474"/>
    </row>
    <row r="3210" spans="11:15">
      <c r="K3210" s="1470">
        <v>45267</v>
      </c>
      <c r="L3210" s="1474" t="s">
        <v>2129</v>
      </c>
      <c r="M3210" s="850">
        <v>5.0788E-2</v>
      </c>
      <c r="N3210" s="1474">
        <v>2.1368943739516535</v>
      </c>
      <c r="O3210" s="1474"/>
    </row>
    <row r="3211" spans="11:15">
      <c r="K3211" s="1470">
        <v>45268</v>
      </c>
      <c r="L3211" s="1474" t="s">
        <v>2129</v>
      </c>
      <c r="M3211" s="850">
        <v>5.0788E-2</v>
      </c>
      <c r="N3211" s="1474">
        <v>2.1379796598662959</v>
      </c>
      <c r="O3211" s="1474"/>
    </row>
    <row r="3212" spans="11:15">
      <c r="K3212" s="1470">
        <v>45269</v>
      </c>
      <c r="L3212" s="1474"/>
      <c r="M3212" s="850">
        <v>0</v>
      </c>
      <c r="N3212" s="1474">
        <v>2.1379796598662959</v>
      </c>
      <c r="O3212" s="1474"/>
    </row>
    <row r="3213" spans="11:15">
      <c r="K3213" s="1470">
        <v>45270</v>
      </c>
      <c r="L3213" s="1474"/>
      <c r="M3213" s="850">
        <v>0</v>
      </c>
      <c r="N3213" s="1474">
        <v>2.1379796598662959</v>
      </c>
      <c r="O3213" s="1474"/>
    </row>
    <row r="3214" spans="11:15">
      <c r="K3214" s="1470">
        <v>45271</v>
      </c>
      <c r="L3214" s="1474" t="s">
        <v>2129</v>
      </c>
      <c r="M3214" s="850">
        <v>5.0788E-2</v>
      </c>
      <c r="N3214" s="1474">
        <v>2.1390654969759488</v>
      </c>
      <c r="O3214" s="1474"/>
    </row>
    <row r="3215" spans="11:15">
      <c r="K3215" s="1470">
        <v>45272</v>
      </c>
      <c r="L3215" s="1" t="s">
        <v>2129</v>
      </c>
      <c r="M3215" s="1">
        <v>5.0788E-2</v>
      </c>
      <c r="N3215" s="1">
        <v>2.1401518855605528</v>
      </c>
    </row>
    <row r="3216" spans="11:15">
      <c r="K3216" s="1470">
        <v>45273</v>
      </c>
      <c r="L3216" s="1" t="s">
        <v>2129</v>
      </c>
      <c r="M3216" s="1">
        <v>5.0788E-2</v>
      </c>
      <c r="N3216" s="1">
        <v>2.1412388259001913</v>
      </c>
    </row>
    <row r="3217" spans="11:14">
      <c r="K3217" s="1470">
        <v>45274</v>
      </c>
      <c r="L3217" s="1" t="s">
        <v>2129</v>
      </c>
      <c r="M3217" s="1">
        <v>5.0788E-2</v>
      </c>
      <c r="N3217" s="1">
        <v>2.1423263182750896</v>
      </c>
    </row>
    <row r="3218" spans="11:14">
      <c r="K3218" s="1470">
        <v>45275</v>
      </c>
      <c r="L3218" s="1" t="s">
        <v>2129</v>
      </c>
      <c r="M3218" s="1">
        <v>5.0788E-2</v>
      </c>
      <c r="N3218" s="1">
        <v>2.1434143629656153</v>
      </c>
    </row>
    <row r="3219" spans="11:14">
      <c r="K3219" s="1470">
        <v>45276</v>
      </c>
      <c r="M3219" s="1">
        <v>0</v>
      </c>
      <c r="N3219" s="1">
        <v>2.1434143629656153</v>
      </c>
    </row>
    <row r="3220" spans="11:14">
      <c r="K3220" s="1470">
        <v>45277</v>
      </c>
      <c r="M3220" s="1">
        <v>0</v>
      </c>
      <c r="N3220" s="1">
        <v>2.1434143629656153</v>
      </c>
    </row>
    <row r="3221" spans="11:14">
      <c r="K3221" s="1470">
        <v>45278</v>
      </c>
      <c r="L3221" s="1" t="s">
        <v>2129</v>
      </c>
      <c r="M3221" s="1">
        <v>5.0788E-2</v>
      </c>
      <c r="N3221" s="1">
        <v>2.1445029602522783</v>
      </c>
    </row>
    <row r="3222" spans="11:14">
      <c r="K3222" s="1470">
        <v>45279</v>
      </c>
      <c r="L3222" s="1" t="s">
        <v>2129</v>
      </c>
      <c r="M3222" s="1">
        <v>5.0788E-2</v>
      </c>
      <c r="N3222" s="1">
        <v>2.1455921104157314</v>
      </c>
    </row>
    <row r="3223" spans="11:14">
      <c r="K3223" s="1470">
        <v>45280</v>
      </c>
      <c r="L3223" s="1" t="s">
        <v>2129</v>
      </c>
      <c r="M3223" s="1">
        <v>5.0788E-2</v>
      </c>
      <c r="N3223" s="1">
        <v>2.1466818137367696</v>
      </c>
    </row>
    <row r="3224" spans="11:14">
      <c r="K3224" s="1470">
        <v>45281</v>
      </c>
      <c r="L3224" s="1" t="s">
        <v>2129</v>
      </c>
      <c r="M3224" s="1">
        <v>5.0788E-2</v>
      </c>
      <c r="N3224" s="1">
        <v>2.1477720704963303</v>
      </c>
    </row>
    <row r="3225" spans="11:14">
      <c r="K3225" s="1470">
        <v>45282</v>
      </c>
      <c r="L3225" s="1" t="s">
        <v>2129</v>
      </c>
      <c r="M3225" s="1">
        <v>5.0788E-2</v>
      </c>
      <c r="N3225" s="1">
        <v>2.1488628809754942</v>
      </c>
    </row>
    <row r="3226" spans="11:14">
      <c r="K3226" s="1470">
        <v>45283</v>
      </c>
      <c r="M3226" s="1">
        <v>0</v>
      </c>
      <c r="N3226" s="1">
        <v>2.1488628809754942</v>
      </c>
    </row>
    <row r="3227" spans="11:14">
      <c r="K3227" s="1470">
        <v>45284</v>
      </c>
      <c r="M3227" s="1">
        <v>0</v>
      </c>
      <c r="N3227" s="1">
        <v>2.1488628809754942</v>
      </c>
    </row>
    <row r="3228" spans="11:14">
      <c r="K3228" s="1470">
        <v>45285</v>
      </c>
      <c r="M3228" s="1">
        <v>0</v>
      </c>
      <c r="N3228" s="1">
        <v>2.1488628809754942</v>
      </c>
    </row>
    <row r="3229" spans="11:14">
      <c r="K3229" s="1470">
        <v>45286</v>
      </c>
      <c r="L3229" s="1" t="s">
        <v>2129</v>
      </c>
      <c r="M3229" s="1">
        <v>5.0788E-2</v>
      </c>
      <c r="N3229" s="1">
        <v>2.1499542454554841</v>
      </c>
    </row>
    <row r="3230" spans="11:14">
      <c r="K3230" s="1470">
        <v>45287</v>
      </c>
      <c r="L3230" s="1" t="s">
        <v>2129</v>
      </c>
      <c r="M3230" s="1">
        <v>5.0788E-2</v>
      </c>
      <c r="N3230" s="1">
        <v>2.1510461642176661</v>
      </c>
    </row>
    <row r="3231" spans="11:14">
      <c r="K3231" s="1470">
        <v>45288</v>
      </c>
      <c r="L3231" s="1" t="s">
        <v>2129</v>
      </c>
      <c r="M3231" s="1">
        <v>5.0788E-2</v>
      </c>
      <c r="N3231" s="1">
        <v>2.1521386375435489</v>
      </c>
    </row>
    <row r="3232" spans="11:14">
      <c r="K3232" s="1470">
        <v>45289</v>
      </c>
      <c r="L3232" s="1" t="s">
        <v>2129</v>
      </c>
      <c r="M3232" s="1">
        <v>5.0788E-2</v>
      </c>
      <c r="N3232" s="1">
        <v>2.1532316657147845</v>
      </c>
    </row>
    <row r="3233" spans="11:14">
      <c r="K3233" s="1470">
        <v>45290</v>
      </c>
      <c r="M3233" s="1">
        <v>0</v>
      </c>
      <c r="N3233" s="1">
        <v>2.1532316657147845</v>
      </c>
    </row>
    <row r="3234" spans="11:14">
      <c r="K3234" s="1470">
        <v>45291</v>
      </c>
      <c r="M3234" s="1">
        <v>0</v>
      </c>
      <c r="N3234" s="1">
        <v>2.1532316657147845</v>
      </c>
    </row>
    <row r="3235" spans="11:14">
      <c r="K3235" s="1470">
        <v>45292</v>
      </c>
      <c r="M3235" s="1">
        <v>0</v>
      </c>
      <c r="N3235" s="1">
        <v>2.1532316657147845</v>
      </c>
    </row>
    <row r="3236" spans="11:14">
      <c r="K3236" s="1470">
        <v>45293</v>
      </c>
      <c r="L3236" s="1" t="s">
        <v>2129</v>
      </c>
      <c r="M3236" s="1">
        <v>5.0788E-2</v>
      </c>
      <c r="N3236" s="1">
        <v>2.1543252490131679</v>
      </c>
    </row>
    <row r="3237" spans="11:14">
      <c r="K3237" s="1470">
        <v>45294</v>
      </c>
      <c r="L3237" s="1" t="s">
        <v>2129</v>
      </c>
      <c r="M3237" s="1">
        <v>5.0788E-2</v>
      </c>
      <c r="N3237" s="1">
        <v>2.1554193877206367</v>
      </c>
    </row>
    <row r="3238" spans="11:14">
      <c r="K3238" s="1470">
        <v>45295</v>
      </c>
      <c r="L3238" s="1" t="s">
        <v>2129</v>
      </c>
      <c r="M3238" s="1">
        <v>5.0788E-2</v>
      </c>
      <c r="N3238" s="1">
        <v>2.1565140821192723</v>
      </c>
    </row>
    <row r="3239" spans="11:14">
      <c r="K3239" s="1470">
        <v>45296</v>
      </c>
      <c r="L3239" s="1" t="s">
        <v>2129</v>
      </c>
      <c r="M3239" s="1">
        <v>5.0788E-2</v>
      </c>
      <c r="N3239" s="1">
        <v>2.1576093324912993</v>
      </c>
    </row>
    <row r="3240" spans="11:14">
      <c r="K3240" s="1470">
        <v>45297</v>
      </c>
      <c r="M3240" s="1">
        <v>0</v>
      </c>
      <c r="N3240" s="1">
        <v>2.1576093324912993</v>
      </c>
    </row>
    <row r="3241" spans="11:14">
      <c r="K3241" s="1470">
        <v>45298</v>
      </c>
      <c r="M3241" s="1">
        <v>0</v>
      </c>
      <c r="N3241" s="1">
        <v>2.1576093324912993</v>
      </c>
    </row>
    <row r="3242" spans="11:14">
      <c r="K3242" s="1470">
        <v>45299</v>
      </c>
      <c r="L3242" s="1" t="s">
        <v>2129</v>
      </c>
      <c r="M3242" s="1">
        <v>5.0788E-2</v>
      </c>
      <c r="N3242" s="1">
        <v>2.158705139119085</v>
      </c>
    </row>
    <row r="3243" spans="11:14">
      <c r="K3243" s="1470">
        <v>45300</v>
      </c>
      <c r="L3243" s="1" t="s">
        <v>2129</v>
      </c>
      <c r="M3243" s="1">
        <v>5.0788E-2</v>
      </c>
      <c r="N3243" s="1">
        <v>2.1598015022851409</v>
      </c>
    </row>
    <row r="3244" spans="11:14">
      <c r="K3244" s="1470">
        <v>45301</v>
      </c>
      <c r="L3244" s="1" t="s">
        <v>2129</v>
      </c>
      <c r="M3244" s="1">
        <v>5.0788E-2</v>
      </c>
      <c r="N3244" s="1">
        <v>2.1608984222721217</v>
      </c>
    </row>
    <row r="3245" spans="11:14">
      <c r="K3245" s="1470">
        <v>45302</v>
      </c>
      <c r="L3245" s="1" t="s">
        <v>2129</v>
      </c>
      <c r="M3245" s="1">
        <v>5.0788E-2</v>
      </c>
      <c r="N3245" s="1">
        <v>2.1619958993628252</v>
      </c>
    </row>
    <row r="3246" spans="11:14">
      <c r="K3246" s="1470">
        <v>45303</v>
      </c>
      <c r="L3246" s="1" t="s">
        <v>2129</v>
      </c>
      <c r="M3246" s="1">
        <v>5.0788E-2</v>
      </c>
      <c r="N3246" s="1">
        <v>2.1630939338401936</v>
      </c>
    </row>
    <row r="3247" spans="11:14">
      <c r="K3247" s="1470">
        <v>45304</v>
      </c>
      <c r="M3247" s="1">
        <v>0</v>
      </c>
      <c r="N3247" s="1">
        <v>2.1630939338401936</v>
      </c>
    </row>
    <row r="3248" spans="11:14">
      <c r="K3248" s="1470">
        <v>45305</v>
      </c>
      <c r="M3248" s="1">
        <v>0</v>
      </c>
      <c r="N3248" s="1">
        <v>2.1630939338401936</v>
      </c>
    </row>
    <row r="3249" spans="11:14">
      <c r="K3249" s="1470">
        <v>45306</v>
      </c>
      <c r="L3249" s="1" t="s">
        <v>2129</v>
      </c>
      <c r="M3249" s="1">
        <v>5.0788E-2</v>
      </c>
      <c r="N3249" s="1">
        <v>2.1641925259873123</v>
      </c>
    </row>
    <row r="3250" spans="11:14">
      <c r="K3250" s="1470">
        <v>45307</v>
      </c>
      <c r="L3250" s="1" t="s">
        <v>2129</v>
      </c>
      <c r="M3250" s="1">
        <v>5.0788E-2</v>
      </c>
      <c r="N3250" s="1">
        <v>2.1652916760874108</v>
      </c>
    </row>
    <row r="3251" spans="11:14">
      <c r="K3251" s="1470">
        <v>45308</v>
      </c>
      <c r="L3251" s="1" t="s">
        <v>2129</v>
      </c>
      <c r="M3251" s="1">
        <v>5.0788E-2</v>
      </c>
      <c r="N3251" s="1">
        <v>2.166391384423862</v>
      </c>
    </row>
    <row r="3252" spans="11:14">
      <c r="K3252" s="1470">
        <v>45309</v>
      </c>
      <c r="L3252" s="1" t="s">
        <v>2129</v>
      </c>
      <c r="M3252" s="1">
        <v>5.0788E-2</v>
      </c>
      <c r="N3252" s="1">
        <v>2.1674916512801832</v>
      </c>
    </row>
    <row r="3253" spans="11:14">
      <c r="K3253" s="1470">
        <v>45310</v>
      </c>
      <c r="L3253" s="1" t="s">
        <v>2129</v>
      </c>
      <c r="M3253" s="1">
        <v>5.0788E-2</v>
      </c>
      <c r="N3253" s="1">
        <v>2.1685924769400353</v>
      </c>
    </row>
    <row r="3254" spans="11:14">
      <c r="K3254" s="1470">
        <v>45311</v>
      </c>
      <c r="M3254" s="1">
        <v>0</v>
      </c>
      <c r="N3254" s="1">
        <v>2.1685924769400353</v>
      </c>
    </row>
    <row r="3255" spans="11:14">
      <c r="K3255" s="1470">
        <v>45312</v>
      </c>
      <c r="M3255" s="1">
        <v>0</v>
      </c>
      <c r="N3255" s="1">
        <v>2.1685924769400353</v>
      </c>
    </row>
    <row r="3256" spans="11:14">
      <c r="K3256" s="1470">
        <v>45313</v>
      </c>
      <c r="L3256" s="1" t="s">
        <v>2129</v>
      </c>
      <c r="M3256" s="1">
        <v>5.0788E-2</v>
      </c>
      <c r="N3256" s="1">
        <v>2.1696938616872234</v>
      </c>
    </row>
    <row r="3257" spans="11:14">
      <c r="K3257" s="1470">
        <v>45314</v>
      </c>
      <c r="L3257" s="1" t="s">
        <v>2129</v>
      </c>
      <c r="M3257" s="1">
        <v>5.0788E-2</v>
      </c>
      <c r="N3257" s="1">
        <v>2.1707958058056973</v>
      </c>
    </row>
    <row r="3258" spans="11:14">
      <c r="K3258" s="1470">
        <v>45315</v>
      </c>
      <c r="L3258" s="1" t="s">
        <v>2129</v>
      </c>
      <c r="M3258" s="1">
        <v>5.0788E-2</v>
      </c>
      <c r="N3258" s="1">
        <v>2.1718983095795501</v>
      </c>
    </row>
    <row r="3259" spans="11:14">
      <c r="K3259" s="1470">
        <v>45316</v>
      </c>
      <c r="L3259" s="1" t="s">
        <v>2129</v>
      </c>
      <c r="M3259" s="1">
        <v>5.0788E-2</v>
      </c>
      <c r="N3259" s="1">
        <v>2.1730013732930193</v>
      </c>
    </row>
    <row r="3260" spans="11:14">
      <c r="K3260" s="1470">
        <v>45317</v>
      </c>
      <c r="L3260" s="1" t="s">
        <v>2129</v>
      </c>
      <c r="M3260" s="1">
        <v>5.0788E-2</v>
      </c>
      <c r="N3260" s="1">
        <v>2.1741049972304873</v>
      </c>
    </row>
    <row r="3261" spans="11:14">
      <c r="K3261" s="1470">
        <v>45318</v>
      </c>
      <c r="M3261" s="1">
        <v>0</v>
      </c>
      <c r="N3261" s="1">
        <v>2.1741049972304873</v>
      </c>
    </row>
    <row r="3262" spans="11:14">
      <c r="K3262" s="1470">
        <v>45319</v>
      </c>
      <c r="M3262" s="1">
        <v>0</v>
      </c>
      <c r="N3262" s="1">
        <v>2.1741049972304873</v>
      </c>
    </row>
    <row r="3263" spans="11:14">
      <c r="K3263" s="1470">
        <v>45320</v>
      </c>
      <c r="L3263" s="1" t="s">
        <v>2129</v>
      </c>
      <c r="M3263" s="1">
        <v>5.0788E-2</v>
      </c>
      <c r="N3263" s="1">
        <v>2.1752091816764807</v>
      </c>
    </row>
    <row r="3264" spans="11:14">
      <c r="K3264" s="1470">
        <v>45321</v>
      </c>
      <c r="L3264" s="1" t="s">
        <v>2129</v>
      </c>
      <c r="M3264" s="1">
        <v>5.0788E-2</v>
      </c>
      <c r="N3264" s="1">
        <v>2.1763139269156704</v>
      </c>
    </row>
    <row r="3265" spans="11:14">
      <c r="K3265" s="1470">
        <v>45322</v>
      </c>
      <c r="L3265" s="1" t="s">
        <v>2129</v>
      </c>
      <c r="M3265" s="1">
        <v>5.0788E-2</v>
      </c>
      <c r="N3265" s="1">
        <v>2.1774192332328726</v>
      </c>
    </row>
    <row r="3266" spans="11:14">
      <c r="K3266" s="1470">
        <v>45323</v>
      </c>
      <c r="L3266" s="1" t="s">
        <v>2129</v>
      </c>
      <c r="M3266" s="1">
        <v>5.0788E-2</v>
      </c>
      <c r="N3266" s="1">
        <v>2.1785251009130469</v>
      </c>
    </row>
    <row r="3267" spans="11:14">
      <c r="K3267" s="1470">
        <v>45324</v>
      </c>
      <c r="L3267" s="1" t="s">
        <v>2129</v>
      </c>
      <c r="M3267" s="1">
        <v>5.0788E-2</v>
      </c>
      <c r="N3267" s="1">
        <v>2.1796315302412985</v>
      </c>
    </row>
    <row r="3268" spans="11:14">
      <c r="K3268" s="1470">
        <v>45325</v>
      </c>
      <c r="M3268" s="1">
        <v>0</v>
      </c>
      <c r="N3268" s="1">
        <v>2.1796315302412985</v>
      </c>
    </row>
    <row r="3269" spans="11:14">
      <c r="K3269" s="1470">
        <v>45326</v>
      </c>
      <c r="M3269" s="1">
        <v>0</v>
      </c>
      <c r="N3269" s="1">
        <v>2.1796315302412985</v>
      </c>
    </row>
    <row r="3270" spans="11:14">
      <c r="K3270" s="1470">
        <v>45327</v>
      </c>
      <c r="L3270" s="1" t="s">
        <v>2129</v>
      </c>
      <c r="M3270" s="1">
        <v>5.0788E-2</v>
      </c>
      <c r="N3270" s="1">
        <v>2.1807385215028776</v>
      </c>
    </row>
    <row r="3271" spans="11:14">
      <c r="K3271" s="1470">
        <v>45328</v>
      </c>
      <c r="L3271" s="1" t="s">
        <v>2129</v>
      </c>
      <c r="M3271" s="1">
        <v>5.0788E-2</v>
      </c>
      <c r="N3271" s="1">
        <v>2.1818460749831785</v>
      </c>
    </row>
    <row r="3272" spans="11:14">
      <c r="K3272" s="1470">
        <v>45329</v>
      </c>
      <c r="L3272" s="1" t="s">
        <v>2129</v>
      </c>
      <c r="M3272" s="1">
        <v>5.0788E-2</v>
      </c>
      <c r="N3272" s="1">
        <v>2.1829541909677408</v>
      </c>
    </row>
    <row r="3273" spans="11:14">
      <c r="K3273" s="1470">
        <v>45330</v>
      </c>
      <c r="L3273" s="1" t="s">
        <v>2129</v>
      </c>
      <c r="M3273" s="1">
        <v>5.0788E-2</v>
      </c>
      <c r="N3273" s="1">
        <v>2.1840628697422497</v>
      </c>
    </row>
    <row r="3274" spans="11:14">
      <c r="K3274" s="1470">
        <v>45331</v>
      </c>
      <c r="L3274" s="1" t="s">
        <v>2129</v>
      </c>
      <c r="M3274" s="1">
        <v>5.0788E-2</v>
      </c>
      <c r="N3274" s="1">
        <v>2.1851721115925344</v>
      </c>
    </row>
    <row r="3275" spans="11:14">
      <c r="K3275" s="1470">
        <v>45332</v>
      </c>
      <c r="M3275" s="1">
        <v>0</v>
      </c>
      <c r="N3275" s="1">
        <v>2.1851721115925344</v>
      </c>
    </row>
    <row r="3276" spans="11:14">
      <c r="K3276" s="1470">
        <v>45333</v>
      </c>
      <c r="M3276" s="1">
        <v>0</v>
      </c>
      <c r="N3276" s="1">
        <v>2.1851721115925344</v>
      </c>
    </row>
    <row r="3277" spans="11:14">
      <c r="K3277" s="1470">
        <v>45334</v>
      </c>
      <c r="M3277" s="1">
        <v>0</v>
      </c>
      <c r="N3277" s="1">
        <v>2.1851721115925344</v>
      </c>
    </row>
    <row r="3278" spans="11:14">
      <c r="K3278" s="1470">
        <v>45335</v>
      </c>
      <c r="M3278" s="1">
        <v>0</v>
      </c>
      <c r="N3278" s="1">
        <v>2.1851721115925344</v>
      </c>
    </row>
    <row r="3279" spans="11:14">
      <c r="K3279" s="1470">
        <v>45336</v>
      </c>
      <c r="L3279" s="1" t="s">
        <v>2129</v>
      </c>
      <c r="M3279" s="1">
        <v>5.0788E-2</v>
      </c>
      <c r="N3279" s="1">
        <v>2.1862819168045702</v>
      </c>
    </row>
    <row r="3280" spans="11:14">
      <c r="K3280" s="1470">
        <v>45337</v>
      </c>
      <c r="L3280" s="1" t="s">
        <v>2129</v>
      </c>
      <c r="M3280" s="1">
        <v>5.0788E-2</v>
      </c>
      <c r="N3280" s="1">
        <v>2.187392285664477</v>
      </c>
    </row>
    <row r="3281" spans="11:14">
      <c r="K3281" s="1470">
        <v>45338</v>
      </c>
      <c r="L3281" s="1" t="s">
        <v>2129</v>
      </c>
      <c r="M3281" s="1">
        <v>5.0788E-2</v>
      </c>
      <c r="N3281" s="1">
        <v>2.1885032184585205</v>
      </c>
    </row>
    <row r="3282" spans="11:14">
      <c r="K3282" s="1470">
        <v>45339</v>
      </c>
      <c r="M3282" s="1">
        <v>0</v>
      </c>
      <c r="N3282" s="1">
        <v>2.1885032184585205</v>
      </c>
    </row>
    <row r="3283" spans="11:14">
      <c r="K3283" s="1470">
        <v>45340</v>
      </c>
      <c r="M3283" s="1">
        <v>0</v>
      </c>
      <c r="N3283" s="1">
        <v>2.1885032184585205</v>
      </c>
    </row>
    <row r="3284" spans="11:14">
      <c r="K3284" s="1470">
        <v>45341</v>
      </c>
      <c r="L3284" s="1" t="s">
        <v>2129</v>
      </c>
      <c r="M3284" s="1">
        <v>5.0788E-2</v>
      </c>
      <c r="N3284" s="1">
        <v>2.1896147154731112</v>
      </c>
    </row>
    <row r="3285" spans="11:14">
      <c r="K3285" s="1470">
        <v>45342</v>
      </c>
      <c r="L3285" s="1" t="s">
        <v>2129</v>
      </c>
      <c r="M3285" s="1">
        <v>5.0788E-2</v>
      </c>
      <c r="N3285" s="1">
        <v>2.1907267769948056</v>
      </c>
    </row>
    <row r="3286" spans="11:14">
      <c r="K3286" s="1470">
        <v>45343</v>
      </c>
      <c r="L3286" s="1" t="s">
        <v>2129</v>
      </c>
      <c r="M3286" s="1">
        <v>5.0788E-2</v>
      </c>
      <c r="N3286" s="1">
        <v>2.1918394033103059</v>
      </c>
    </row>
    <row r="3287" spans="11:14">
      <c r="K3287" s="1470">
        <v>45344</v>
      </c>
      <c r="L3287" s="1" t="s">
        <v>2129</v>
      </c>
      <c r="M3287" s="1">
        <v>5.0788E-2</v>
      </c>
      <c r="N3287" s="1">
        <v>2.1929525947064592</v>
      </c>
    </row>
    <row r="3288" spans="11:14">
      <c r="K3288" s="1470">
        <v>45345</v>
      </c>
      <c r="L3288" s="1" t="s">
        <v>2129</v>
      </c>
      <c r="M3288" s="1">
        <v>5.0788E-2</v>
      </c>
      <c r="N3288" s="1">
        <v>2.194066351470259</v>
      </c>
    </row>
    <row r="3289" spans="11:14">
      <c r="K3289" s="1470">
        <v>45346</v>
      </c>
      <c r="M3289" s="1">
        <v>0</v>
      </c>
      <c r="N3289" s="1">
        <v>2.194066351470259</v>
      </c>
    </row>
    <row r="3290" spans="11:14">
      <c r="K3290" s="1470">
        <v>45347</v>
      </c>
      <c r="M3290" s="1">
        <v>0</v>
      </c>
      <c r="N3290" s="1">
        <v>2.194066351470259</v>
      </c>
    </row>
    <row r="3291" spans="11:14">
      <c r="K3291" s="1470">
        <v>45348</v>
      </c>
      <c r="L3291" s="1" t="s">
        <v>2129</v>
      </c>
      <c r="M3291" s="1">
        <v>5.0788E-2</v>
      </c>
      <c r="N3291" s="1">
        <v>2.1951806738888435</v>
      </c>
    </row>
    <row r="3292" spans="11:14">
      <c r="K3292" s="1470">
        <v>45349</v>
      </c>
      <c r="L3292" s="1" t="s">
        <v>2129</v>
      </c>
      <c r="M3292" s="1">
        <v>5.0788E-2</v>
      </c>
      <c r="N3292" s="1">
        <v>2.1962955622494982</v>
      </c>
    </row>
    <row r="3293" spans="11:14">
      <c r="K3293" s="1470">
        <v>45350</v>
      </c>
      <c r="L3293" s="1" t="s">
        <v>2129</v>
      </c>
      <c r="M3293" s="1">
        <v>5.0788E-2</v>
      </c>
      <c r="N3293" s="1">
        <v>2.1974110168396535</v>
      </c>
    </row>
    <row r="3294" spans="11:14">
      <c r="K3294" s="1470">
        <v>45351</v>
      </c>
      <c r="L3294" s="1" t="s">
        <v>2129</v>
      </c>
      <c r="M3294" s="1">
        <v>5.0788E-2</v>
      </c>
      <c r="N3294" s="1">
        <v>2.198527037946886</v>
      </c>
    </row>
    <row r="3295" spans="11:14">
      <c r="K3295" s="1470">
        <v>45352</v>
      </c>
      <c r="L3295" s="1" t="s">
        <v>2129</v>
      </c>
      <c r="M3295" s="1">
        <v>5.0788E-2</v>
      </c>
      <c r="N3295" s="1">
        <v>2.1996436258589185</v>
      </c>
    </row>
    <row r="3296" spans="11:14">
      <c r="K3296" s="1470">
        <v>45353</v>
      </c>
      <c r="M3296" s="1">
        <v>0</v>
      </c>
      <c r="N3296" s="1">
        <v>2.1996436258589185</v>
      </c>
    </row>
    <row r="3297" spans="11:14">
      <c r="K3297" s="1470">
        <v>45354</v>
      </c>
      <c r="M3297" s="1">
        <v>0</v>
      </c>
      <c r="N3297" s="1">
        <v>2.1996436258589185</v>
      </c>
    </row>
    <row r="3298" spans="11:14">
      <c r="K3298" s="1470">
        <v>45355</v>
      </c>
      <c r="L3298" s="1" t="s">
        <v>2129</v>
      </c>
      <c r="M3298" s="1">
        <v>5.0788E-2</v>
      </c>
      <c r="N3298" s="1">
        <v>2.2007607808636198</v>
      </c>
    </row>
    <row r="3299" spans="11:14">
      <c r="K3299" s="1470">
        <v>45356</v>
      </c>
      <c r="L3299" s="1" t="s">
        <v>2129</v>
      </c>
      <c r="M3299" s="1">
        <v>5.0788E-2</v>
      </c>
      <c r="N3299" s="1">
        <v>2.2018785032490049</v>
      </c>
    </row>
    <row r="3300" spans="11:14">
      <c r="K3300" s="1470">
        <v>45357</v>
      </c>
      <c r="L3300" s="1" t="s">
        <v>2129</v>
      </c>
      <c r="M3300" s="1">
        <v>5.0788E-2</v>
      </c>
      <c r="N3300" s="1">
        <v>2.2029967933032348</v>
      </c>
    </row>
    <row r="3301" spans="11:14">
      <c r="K3301" s="1470">
        <v>45358</v>
      </c>
      <c r="L3301" s="1" t="s">
        <v>2129</v>
      </c>
      <c r="M3301" s="1">
        <v>5.0788E-2</v>
      </c>
      <c r="N3301" s="1">
        <v>2.2041156513146176</v>
      </c>
    </row>
    <row r="3302" spans="11:14">
      <c r="K3302" s="1470">
        <v>45359</v>
      </c>
      <c r="L3302" s="1" t="s">
        <v>2129</v>
      </c>
      <c r="M3302" s="1">
        <v>5.0788E-2</v>
      </c>
      <c r="N3302" s="1">
        <v>2.2052350775716074</v>
      </c>
    </row>
    <row r="3303" spans="11:14">
      <c r="K3303" s="1470">
        <v>45360</v>
      </c>
      <c r="M3303" s="1">
        <v>0</v>
      </c>
      <c r="N3303" s="1">
        <v>2.2052350775716074</v>
      </c>
    </row>
    <row r="3304" spans="11:14">
      <c r="K3304" s="1470">
        <v>45361</v>
      </c>
      <c r="M3304" s="1">
        <v>0</v>
      </c>
      <c r="N3304" s="1">
        <v>2.2052350775716074</v>
      </c>
    </row>
    <row r="3305" spans="11:14">
      <c r="K3305" s="1470">
        <v>45362</v>
      </c>
      <c r="L3305" s="1" t="s">
        <v>2129</v>
      </c>
      <c r="M3305" s="1">
        <v>5.0788E-2</v>
      </c>
      <c r="N3305" s="1">
        <v>2.2063550723628045</v>
      </c>
    </row>
    <row r="3306" spans="11:14">
      <c r="K3306" s="1470">
        <v>45363</v>
      </c>
      <c r="L3306" s="1" t="s">
        <v>2129</v>
      </c>
      <c r="M3306" s="1">
        <v>5.0788E-2</v>
      </c>
      <c r="N3306" s="1">
        <v>2.2074756359769561</v>
      </c>
    </row>
    <row r="3307" spans="11:14">
      <c r="K3307" s="1470">
        <v>45364</v>
      </c>
      <c r="L3307" s="1" t="s">
        <v>2129</v>
      </c>
      <c r="M3307" s="1">
        <v>5.0788E-2</v>
      </c>
      <c r="N3307" s="1">
        <v>2.208596768702956</v>
      </c>
    </row>
    <row r="3308" spans="11:14">
      <c r="K3308" s="1470">
        <v>45365</v>
      </c>
      <c r="L3308" s="1" t="s">
        <v>2129</v>
      </c>
      <c r="M3308" s="1">
        <v>5.0788E-2</v>
      </c>
      <c r="N3308" s="1">
        <v>2.209718470829845</v>
      </c>
    </row>
    <row r="3309" spans="11:14">
      <c r="K3309" s="1470">
        <v>45366</v>
      </c>
      <c r="L3309" s="1" t="s">
        <v>2129</v>
      </c>
      <c r="M3309" s="1">
        <v>5.0788E-2</v>
      </c>
      <c r="N3309" s="1">
        <v>2.21084074264681</v>
      </c>
    </row>
    <row r="3310" spans="11:14">
      <c r="K3310" s="1470">
        <v>45367</v>
      </c>
      <c r="M3310" s="1">
        <v>0</v>
      </c>
      <c r="N3310" s="1">
        <v>2.21084074264681</v>
      </c>
    </row>
    <row r="3311" spans="11:14">
      <c r="K3311" s="1470">
        <v>45368</v>
      </c>
      <c r="M3311" s="1">
        <v>0</v>
      </c>
      <c r="N3311" s="1">
        <v>2.21084074264681</v>
      </c>
    </row>
    <row r="3312" spans="11:14">
      <c r="K3312" s="1470">
        <v>45369</v>
      </c>
      <c r="L3312" s="1" t="s">
        <v>2129</v>
      </c>
      <c r="M3312" s="1">
        <v>5.0788E-2</v>
      </c>
      <c r="N3312" s="1">
        <v>2.2119635844431853</v>
      </c>
    </row>
    <row r="3313" spans="11:14">
      <c r="K3313" s="1470">
        <v>45370</v>
      </c>
      <c r="L3313" s="1" t="s">
        <v>2129</v>
      </c>
      <c r="M3313" s="1">
        <v>5.0788E-2</v>
      </c>
      <c r="N3313" s="1">
        <v>2.2130869965084523</v>
      </c>
    </row>
    <row r="3314" spans="11:14">
      <c r="K3314" s="1470">
        <v>45371</v>
      </c>
      <c r="L3314" s="1" t="s">
        <v>2129</v>
      </c>
      <c r="M3314" s="1">
        <v>5.0788E-2</v>
      </c>
      <c r="N3314" s="1">
        <v>2.2142109791322389</v>
      </c>
    </row>
    <row r="3315" spans="11:14">
      <c r="K3315" s="1470">
        <v>45372</v>
      </c>
      <c r="L3315" s="1" t="s">
        <v>2129</v>
      </c>
      <c r="M3315" s="1">
        <v>5.0788E-2</v>
      </c>
      <c r="N3315" s="1">
        <v>2.2153355326043207</v>
      </c>
    </row>
    <row r="3316" spans="11:14">
      <c r="K3316" s="1470">
        <v>45373</v>
      </c>
      <c r="L3316" s="1" t="s">
        <v>2129</v>
      </c>
      <c r="M3316" s="1">
        <v>5.0788E-2</v>
      </c>
      <c r="N3316" s="1">
        <v>2.2164606572146197</v>
      </c>
    </row>
    <row r="3317" spans="11:14">
      <c r="K3317" s="1470"/>
    </row>
    <row r="3318" spans="11:14">
      <c r="K3318" s="1470"/>
    </row>
    <row r="3319" spans="11:14">
      <c r="K3319" s="1470"/>
    </row>
    <row r="3320" spans="11:14">
      <c r="K3320" s="1470"/>
    </row>
    <row r="3321" spans="11:14">
      <c r="K3321" s="1470"/>
    </row>
    <row r="3322" spans="11:14">
      <c r="K3322" s="1470"/>
    </row>
    <row r="3323" spans="11:14">
      <c r="K3323" s="1470"/>
    </row>
    <row r="3324" spans="11:14">
      <c r="K3324" s="1470"/>
    </row>
    <row r="3325" spans="11:14">
      <c r="K3325" s="1470"/>
    </row>
    <row r="3326" spans="11:14">
      <c r="K3326" s="1470"/>
    </row>
    <row r="3327" spans="11:14">
      <c r="K3327" s="1470"/>
    </row>
    <row r="3328" spans="11:14">
      <c r="K3328" s="1470"/>
    </row>
    <row r="3329" spans="11:11">
      <c r="K3329" s="1470"/>
    </row>
    <row r="3330" spans="11:11">
      <c r="K3330" s="1470"/>
    </row>
    <row r="3331" spans="11:11">
      <c r="K3331" s="1470"/>
    </row>
    <row r="3332" spans="11:11">
      <c r="K3332" s="1470"/>
    </row>
    <row r="3333" spans="11:11">
      <c r="K3333" s="1470"/>
    </row>
    <row r="3334" spans="11:11">
      <c r="K3334" s="1470"/>
    </row>
    <row r="3335" spans="11:11">
      <c r="K3335" s="1470"/>
    </row>
    <row r="3336" spans="11:11">
      <c r="K3336" s="1470"/>
    </row>
    <row r="3337" spans="11:11">
      <c r="K3337" s="1470"/>
    </row>
    <row r="3338" spans="11:11">
      <c r="K3338" s="1470"/>
    </row>
    <row r="3339" spans="11:11">
      <c r="K3339" s="1470"/>
    </row>
    <row r="3340" spans="11:11">
      <c r="K3340" s="1470"/>
    </row>
    <row r="3341" spans="11:11">
      <c r="K3341" s="1470"/>
    </row>
    <row r="3342" spans="11:11">
      <c r="K3342" s="1470"/>
    </row>
    <row r="3343" spans="11:11">
      <c r="K3343" s="1470"/>
    </row>
    <row r="3344" spans="11:11">
      <c r="K3344" s="1470"/>
    </row>
    <row r="3345" spans="11:11">
      <c r="K3345" s="1470"/>
    </row>
    <row r="3346" spans="11:11">
      <c r="K3346" s="1470"/>
    </row>
    <row r="3347" spans="11:11">
      <c r="K3347" s="1470"/>
    </row>
    <row r="3348" spans="11:11">
      <c r="K3348" s="1470"/>
    </row>
    <row r="3349" spans="11:11">
      <c r="K3349" s="1470"/>
    </row>
    <row r="3350" spans="11:11">
      <c r="K3350" s="1470"/>
    </row>
    <row r="3351" spans="11:11">
      <c r="K3351" s="1470"/>
    </row>
    <row r="3352" spans="11:11">
      <c r="K3352" s="1470"/>
    </row>
    <row r="3353" spans="11:11">
      <c r="K3353" s="1470"/>
    </row>
    <row r="3354" spans="11:11">
      <c r="K3354" s="1470"/>
    </row>
    <row r="3355" spans="11:11">
      <c r="K3355" s="1470"/>
    </row>
    <row r="3356" spans="11:11">
      <c r="K3356" s="1470"/>
    </row>
    <row r="3357" spans="11:11">
      <c r="K3357" s="1470"/>
    </row>
    <row r="3358" spans="11:11">
      <c r="K3358" s="1470"/>
    </row>
    <row r="3359" spans="11:11">
      <c r="K3359" s="1470"/>
    </row>
    <row r="3360" spans="11:11">
      <c r="K3360" s="1470"/>
    </row>
    <row r="3361" spans="11:11">
      <c r="K3361" s="1470"/>
    </row>
    <row r="3362" spans="11:11">
      <c r="K3362" s="1470"/>
    </row>
    <row r="3363" spans="11:11">
      <c r="K3363" s="1470"/>
    </row>
    <row r="3364" spans="11:11">
      <c r="K3364" s="1470"/>
    </row>
    <row r="3365" spans="11:11">
      <c r="K3365" s="1470"/>
    </row>
    <row r="3366" spans="11:11">
      <c r="K3366" s="1470"/>
    </row>
    <row r="3367" spans="11:11">
      <c r="K3367" s="1470"/>
    </row>
    <row r="3368" spans="11:11">
      <c r="K3368" s="1470"/>
    </row>
    <row r="3369" spans="11:11">
      <c r="K3369" s="1470"/>
    </row>
    <row r="3370" spans="11:11">
      <c r="K3370" s="1470"/>
    </row>
    <row r="3371" spans="11:11">
      <c r="K3371" s="1470"/>
    </row>
    <row r="3372" spans="11:11">
      <c r="K3372" s="1470"/>
    </row>
    <row r="3373" spans="11:11">
      <c r="K3373" s="1470"/>
    </row>
    <row r="3374" spans="11:11">
      <c r="K3374" s="1470"/>
    </row>
    <row r="3375" spans="11:11">
      <c r="K3375" s="1470"/>
    </row>
    <row r="3376" spans="11:11">
      <c r="K3376" s="1470"/>
    </row>
    <row r="3377" spans="11:11">
      <c r="K3377" s="1470"/>
    </row>
    <row r="3378" spans="11:11">
      <c r="K3378" s="1470"/>
    </row>
    <row r="3379" spans="11:11">
      <c r="K3379" s="1470"/>
    </row>
    <row r="3380" spans="11:11">
      <c r="K3380" s="1470"/>
    </row>
    <row r="3381" spans="11:11">
      <c r="K3381" s="1470"/>
    </row>
    <row r="3382" spans="11:11">
      <c r="K3382" s="1470"/>
    </row>
    <row r="3383" spans="11:11">
      <c r="K3383" s="1470"/>
    </row>
    <row r="3384" spans="11:11">
      <c r="K3384" s="1470"/>
    </row>
    <row r="3385" spans="11:11">
      <c r="K3385" s="1470"/>
    </row>
    <row r="3386" spans="11:11">
      <c r="K3386" s="1470"/>
    </row>
    <row r="3387" spans="11:11">
      <c r="K3387" s="1470"/>
    </row>
    <row r="3388" spans="11:11">
      <c r="K3388" s="1470"/>
    </row>
    <row r="3389" spans="11:11">
      <c r="K3389" s="1470"/>
    </row>
    <row r="3390" spans="11:11">
      <c r="K3390" s="1470"/>
    </row>
    <row r="3391" spans="11:11">
      <c r="K3391" s="1470"/>
    </row>
    <row r="3392" spans="11:11">
      <c r="K3392" s="1470"/>
    </row>
    <row r="3393" spans="11:11">
      <c r="K3393" s="1470"/>
    </row>
    <row r="3394" spans="11:11">
      <c r="K3394" s="1470"/>
    </row>
    <row r="3395" spans="11:11">
      <c r="K3395" s="1470"/>
    </row>
    <row r="3396" spans="11:11">
      <c r="K3396" s="1470"/>
    </row>
    <row r="3397" spans="11:11">
      <c r="K3397" s="1470"/>
    </row>
    <row r="3398" spans="11:11">
      <c r="K3398" s="1470"/>
    </row>
    <row r="3399" spans="11:11">
      <c r="K3399" s="1470"/>
    </row>
    <row r="3400" spans="11:11">
      <c r="K3400" s="1470"/>
    </row>
    <row r="3401" spans="11:11">
      <c r="K3401" s="1470"/>
    </row>
    <row r="3402" spans="11:11">
      <c r="K3402" s="1470"/>
    </row>
    <row r="3403" spans="11:11">
      <c r="K3403" s="1470"/>
    </row>
    <row r="3404" spans="11:11">
      <c r="K3404" s="1470"/>
    </row>
    <row r="3405" spans="11:11">
      <c r="K3405" s="1470"/>
    </row>
    <row r="3406" spans="11:11">
      <c r="K3406" s="1470"/>
    </row>
    <row r="3407" spans="11:11">
      <c r="K3407" s="1470"/>
    </row>
    <row r="3408" spans="11:11">
      <c r="K3408" s="1470"/>
    </row>
    <row r="3409" spans="11:11">
      <c r="K3409" s="1470"/>
    </row>
    <row r="3410" spans="11:11">
      <c r="K3410" s="1470"/>
    </row>
    <row r="3411" spans="11:11">
      <c r="K3411" s="1470"/>
    </row>
    <row r="3412" spans="11:11">
      <c r="K3412" s="1470"/>
    </row>
    <row r="3413" spans="11:11">
      <c r="K3413" s="1470"/>
    </row>
    <row r="3414" spans="11:11">
      <c r="K3414" s="1470"/>
    </row>
    <row r="3415" spans="11:11">
      <c r="K3415" s="1470"/>
    </row>
    <row r="3416" spans="11:11">
      <c r="K3416" s="1470"/>
    </row>
    <row r="3417" spans="11:11">
      <c r="K3417" s="1470"/>
    </row>
    <row r="3418" spans="11:11">
      <c r="K3418" s="1470"/>
    </row>
    <row r="3419" spans="11:11">
      <c r="K3419" s="1470"/>
    </row>
    <row r="3420" spans="11:11">
      <c r="K3420" s="1470"/>
    </row>
    <row r="3421" spans="11:11">
      <c r="K3421" s="1470"/>
    </row>
    <row r="3422" spans="11:11">
      <c r="K3422" s="1470"/>
    </row>
    <row r="3423" spans="11:11">
      <c r="K3423" s="1470"/>
    </row>
    <row r="3424" spans="11:11">
      <c r="K3424" s="1470"/>
    </row>
    <row r="3425" spans="11:11">
      <c r="K3425" s="1470"/>
    </row>
    <row r="3426" spans="11:11">
      <c r="K3426" s="1470"/>
    </row>
    <row r="3427" spans="11:11">
      <c r="K3427" s="1470"/>
    </row>
    <row r="3428" spans="11:11">
      <c r="K3428" s="1470"/>
    </row>
    <row r="3429" spans="11:11">
      <c r="K3429" s="1470"/>
    </row>
    <row r="3430" spans="11:11">
      <c r="K3430" s="1470"/>
    </row>
    <row r="3431" spans="11:11">
      <c r="K3431" s="1470"/>
    </row>
    <row r="3432" spans="11:11">
      <c r="K3432" s="1470"/>
    </row>
    <row r="3433" spans="11:11">
      <c r="K3433" s="1470"/>
    </row>
    <row r="3434" spans="11:11">
      <c r="K3434" s="1470"/>
    </row>
    <row r="3435" spans="11:11">
      <c r="K3435" s="1470"/>
    </row>
    <row r="3436" spans="11:11">
      <c r="K3436" s="1470"/>
    </row>
    <row r="3437" spans="11:11">
      <c r="K3437" s="1470"/>
    </row>
    <row r="3438" spans="11:11">
      <c r="K3438" s="1470"/>
    </row>
    <row r="3439" spans="11:11">
      <c r="K3439" s="1470"/>
    </row>
    <row r="3440" spans="11:11">
      <c r="K3440" s="1470"/>
    </row>
    <row r="3441" spans="11:11">
      <c r="K3441" s="1470"/>
    </row>
    <row r="3442" spans="11:11">
      <c r="K3442" s="1470"/>
    </row>
    <row r="3443" spans="11:11">
      <c r="K3443" s="1470"/>
    </row>
    <row r="3444" spans="11:11">
      <c r="K3444" s="1470"/>
    </row>
    <row r="3445" spans="11:11">
      <c r="K3445" s="1470"/>
    </row>
    <row r="3446" spans="11:11">
      <c r="K3446" s="1470"/>
    </row>
    <row r="3447" spans="11:11">
      <c r="K3447" s="1470"/>
    </row>
    <row r="3448" spans="11:11">
      <c r="K3448" s="1470"/>
    </row>
    <row r="3449" spans="11:11">
      <c r="K3449" s="1470"/>
    </row>
    <row r="3450" spans="11:11">
      <c r="K3450" s="1470"/>
    </row>
    <row r="3451" spans="11:11">
      <c r="K3451" s="1470"/>
    </row>
    <row r="3452" spans="11:11">
      <c r="K3452" s="1470"/>
    </row>
    <row r="3453" spans="11:11">
      <c r="K3453" s="1470"/>
    </row>
    <row r="3454" spans="11:11">
      <c r="K3454" s="1470"/>
    </row>
    <row r="3455" spans="11:11">
      <c r="K3455" s="1470"/>
    </row>
    <row r="3456" spans="11:11">
      <c r="K3456" s="1470"/>
    </row>
    <row r="3457" spans="11:11">
      <c r="K3457" s="1470"/>
    </row>
    <row r="3458" spans="11:11">
      <c r="K3458" s="1470"/>
    </row>
    <row r="3459" spans="11:11">
      <c r="K3459" s="1470"/>
    </row>
    <row r="3460" spans="11:11">
      <c r="K3460" s="1470"/>
    </row>
    <row r="3461" spans="11:11">
      <c r="K3461" s="1470"/>
    </row>
    <row r="3462" spans="11:11">
      <c r="K3462" s="1470"/>
    </row>
    <row r="3463" spans="11:11">
      <c r="K3463" s="1470"/>
    </row>
    <row r="3464" spans="11:11">
      <c r="K3464" s="1470"/>
    </row>
    <row r="3465" spans="11:11">
      <c r="K3465" s="1470"/>
    </row>
    <row r="3466" spans="11:11">
      <c r="K3466" s="1470"/>
    </row>
    <row r="3467" spans="11:11">
      <c r="K3467" s="1470"/>
    </row>
    <row r="3468" spans="11:11">
      <c r="K3468" s="1470"/>
    </row>
    <row r="3469" spans="11:11">
      <c r="K3469" s="1470"/>
    </row>
    <row r="3470" spans="11:11">
      <c r="K3470" s="1470"/>
    </row>
    <row r="3471" spans="11:11">
      <c r="K3471" s="1470"/>
    </row>
    <row r="3472" spans="11:11">
      <c r="K3472" s="1470"/>
    </row>
    <row r="3473" spans="11:11">
      <c r="K3473" s="1470"/>
    </row>
    <row r="3474" spans="11:11">
      <c r="K3474" s="1470"/>
    </row>
    <row r="3475" spans="11:11">
      <c r="K3475" s="1470"/>
    </row>
    <row r="3476" spans="11:11">
      <c r="K3476" s="1470"/>
    </row>
    <row r="3477" spans="11:11">
      <c r="K3477" s="1470"/>
    </row>
    <row r="3478" spans="11:11">
      <c r="K3478" s="1470"/>
    </row>
    <row r="3479" spans="11:11">
      <c r="K3479" s="1470"/>
    </row>
    <row r="3480" spans="11:11">
      <c r="K3480" s="1470"/>
    </row>
    <row r="3481" spans="11:11">
      <c r="K3481" s="1470"/>
    </row>
    <row r="3482" spans="11:11">
      <c r="K3482" s="1470"/>
    </row>
    <row r="3483" spans="11:11">
      <c r="K3483" s="1470"/>
    </row>
    <row r="3484" spans="11:11">
      <c r="K3484" s="1470"/>
    </row>
    <row r="3485" spans="11:11">
      <c r="K3485" s="1470"/>
    </row>
    <row r="3486" spans="11:11">
      <c r="K3486" s="1470"/>
    </row>
    <row r="3487" spans="11:11">
      <c r="K3487" s="1470"/>
    </row>
    <row r="3488" spans="11:11">
      <c r="K3488" s="1470"/>
    </row>
    <row r="3489" spans="11:11">
      <c r="K3489" s="1470"/>
    </row>
    <row r="3490" spans="11:11">
      <c r="K3490" s="1470"/>
    </row>
    <row r="3491" spans="11:11">
      <c r="K3491" s="1470"/>
    </row>
    <row r="3492" spans="11:11">
      <c r="K3492" s="1470"/>
    </row>
    <row r="3493" spans="11:11">
      <c r="K3493" s="1470"/>
    </row>
    <row r="3494" spans="11:11">
      <c r="K3494" s="1470"/>
    </row>
    <row r="3495" spans="11:11">
      <c r="K3495" s="1470"/>
    </row>
    <row r="3496" spans="11:11">
      <c r="K3496" s="1470"/>
    </row>
    <row r="3497" spans="11:11">
      <c r="K3497" s="1470"/>
    </row>
    <row r="3498" spans="11:11">
      <c r="K3498" s="1470"/>
    </row>
    <row r="3499" spans="11:11">
      <c r="K3499" s="1470"/>
    </row>
    <row r="3500" spans="11:11">
      <c r="K3500" s="1470"/>
    </row>
    <row r="3501" spans="11:11">
      <c r="K3501" s="1470"/>
    </row>
    <row r="3502" spans="11:11">
      <c r="K3502" s="1470"/>
    </row>
    <row r="3503" spans="11:11">
      <c r="K3503" s="1470"/>
    </row>
    <row r="3504" spans="11:11">
      <c r="K3504" s="1470"/>
    </row>
    <row r="3505" spans="11:11">
      <c r="K3505" s="1470"/>
    </row>
    <row r="3506" spans="11:11">
      <c r="K3506" s="1470"/>
    </row>
    <row r="3507" spans="11:11">
      <c r="K3507" s="1470"/>
    </row>
    <row r="3508" spans="11:11">
      <c r="K3508" s="1470"/>
    </row>
    <row r="3509" spans="11:11">
      <c r="K3509" s="1470"/>
    </row>
    <row r="3510" spans="11:11">
      <c r="K3510" s="1470"/>
    </row>
    <row r="3511" spans="11:11">
      <c r="K3511" s="1470"/>
    </row>
    <row r="3512" spans="11:11">
      <c r="K3512" s="1470"/>
    </row>
    <row r="3513" spans="11:11">
      <c r="K3513" s="1470"/>
    </row>
    <row r="3514" spans="11:11">
      <c r="K3514" s="1470"/>
    </row>
    <row r="3515" spans="11:11">
      <c r="K3515" s="1470"/>
    </row>
    <row r="3516" spans="11:11">
      <c r="K3516" s="1470"/>
    </row>
    <row r="3517" spans="11:11">
      <c r="K3517" s="1470"/>
    </row>
    <row r="3518" spans="11:11">
      <c r="K3518" s="1470"/>
    </row>
    <row r="3519" spans="11:11">
      <c r="K3519" s="1470"/>
    </row>
    <row r="3520" spans="11:11">
      <c r="K3520" s="1470"/>
    </row>
    <row r="3521" spans="11:11">
      <c r="K3521" s="1470"/>
    </row>
    <row r="3522" spans="11:11">
      <c r="K3522" s="1470"/>
    </row>
    <row r="3523" spans="11:11">
      <c r="K3523" s="1470"/>
    </row>
    <row r="3524" spans="11:11">
      <c r="K3524" s="1470"/>
    </row>
    <row r="3525" spans="11:11">
      <c r="K3525" s="1470"/>
    </row>
    <row r="3526" spans="11:11">
      <c r="K3526" s="1470"/>
    </row>
    <row r="3527" spans="11:11">
      <c r="K3527" s="1470"/>
    </row>
    <row r="3528" spans="11:11">
      <c r="K3528" s="1470"/>
    </row>
    <row r="3529" spans="11:11">
      <c r="K3529" s="1470"/>
    </row>
    <row r="3530" spans="11:11">
      <c r="K3530" s="1470"/>
    </row>
    <row r="3531" spans="11:11">
      <c r="K3531" s="1470"/>
    </row>
    <row r="3532" spans="11:11">
      <c r="K3532" s="1470"/>
    </row>
    <row r="3533" spans="11:11">
      <c r="K3533" s="1470"/>
    </row>
    <row r="3534" spans="11:11">
      <c r="K3534" s="1470"/>
    </row>
    <row r="3535" spans="11:11">
      <c r="K3535" s="1470"/>
    </row>
    <row r="3536" spans="11:11">
      <c r="K3536" s="1470"/>
    </row>
    <row r="3537" spans="11:11">
      <c r="K3537" s="1470"/>
    </row>
    <row r="3538" spans="11:11">
      <c r="K3538" s="1470"/>
    </row>
    <row r="3539" spans="11:11">
      <c r="K3539" s="1470"/>
    </row>
    <row r="3540" spans="11:11">
      <c r="K3540" s="1470"/>
    </row>
    <row r="3541" spans="11:11">
      <c r="K3541" s="1470"/>
    </row>
    <row r="3542" spans="11:11">
      <c r="K3542" s="1470"/>
    </row>
    <row r="3543" spans="11:11">
      <c r="K3543" s="1470"/>
    </row>
    <row r="3544" spans="11:11">
      <c r="K3544" s="1470"/>
    </row>
    <row r="3545" spans="11:11">
      <c r="K3545" s="1470"/>
    </row>
    <row r="3546" spans="11:11">
      <c r="K3546" s="1470"/>
    </row>
    <row r="3547" spans="11:11">
      <c r="K3547" s="1470"/>
    </row>
    <row r="3548" spans="11:11">
      <c r="K3548" s="1470"/>
    </row>
    <row r="3549" spans="11:11">
      <c r="K3549" s="1470"/>
    </row>
    <row r="3550" spans="11:11">
      <c r="K3550" s="1470"/>
    </row>
    <row r="3551" spans="11:11">
      <c r="K3551" s="1470"/>
    </row>
    <row r="3552" spans="11:11">
      <c r="K3552" s="1470"/>
    </row>
    <row r="3553" spans="11:11">
      <c r="K3553" s="1470"/>
    </row>
    <row r="3554" spans="11:11">
      <c r="K3554" s="1470"/>
    </row>
    <row r="3555" spans="11:11">
      <c r="K3555" s="1470"/>
    </row>
    <row r="3556" spans="11:11">
      <c r="K3556" s="1470"/>
    </row>
    <row r="3557" spans="11:11">
      <c r="K3557" s="1470"/>
    </row>
    <row r="3558" spans="11:11">
      <c r="K3558" s="1470"/>
    </row>
    <row r="3559" spans="11:11">
      <c r="K3559" s="1470"/>
    </row>
    <row r="3560" spans="11:11">
      <c r="K3560" s="1470"/>
    </row>
    <row r="3561" spans="11:11">
      <c r="K3561" s="1470"/>
    </row>
    <row r="3562" spans="11:11">
      <c r="K3562" s="1470"/>
    </row>
    <row r="3563" spans="11:11">
      <c r="K3563" s="1470"/>
    </row>
    <row r="3564" spans="11:11">
      <c r="K3564" s="1470"/>
    </row>
    <row r="3565" spans="11:11">
      <c r="K3565" s="1470"/>
    </row>
    <row r="3566" spans="11:11">
      <c r="K3566" s="1470"/>
    </row>
    <row r="3567" spans="11:11">
      <c r="K3567" s="1470"/>
    </row>
    <row r="3568" spans="11:11">
      <c r="K3568" s="1470"/>
    </row>
    <row r="3569" spans="11:11">
      <c r="K3569" s="1470"/>
    </row>
    <row r="3570" spans="11:11">
      <c r="K3570" s="1470"/>
    </row>
    <row r="3571" spans="11:11">
      <c r="K3571" s="1470"/>
    </row>
    <row r="3572" spans="11:11">
      <c r="K3572" s="1470"/>
    </row>
    <row r="3573" spans="11:11">
      <c r="K3573" s="1470"/>
    </row>
    <row r="3574" spans="11:11">
      <c r="K3574" s="1470"/>
    </row>
    <row r="3575" spans="11:11">
      <c r="K3575" s="1470"/>
    </row>
    <row r="3576" spans="11:11">
      <c r="K3576" s="1470"/>
    </row>
    <row r="3577" spans="11:11">
      <c r="K3577" s="1470"/>
    </row>
    <row r="3578" spans="11:11">
      <c r="K3578" s="1470"/>
    </row>
    <row r="3579" spans="11:11">
      <c r="K3579" s="1470"/>
    </row>
    <row r="3580" spans="11:11">
      <c r="K3580" s="1470"/>
    </row>
    <row r="3581" spans="11:11">
      <c r="K3581" s="1470"/>
    </row>
    <row r="3582" spans="11:11">
      <c r="K3582" s="1470"/>
    </row>
    <row r="3583" spans="11:11">
      <c r="K3583" s="1470"/>
    </row>
    <row r="3584" spans="11:11">
      <c r="K3584" s="1470"/>
    </row>
    <row r="3585" spans="11:11">
      <c r="K3585" s="1470"/>
    </row>
    <row r="3586" spans="11:11">
      <c r="K3586" s="1470"/>
    </row>
    <row r="3587" spans="11:11">
      <c r="K3587" s="1470"/>
    </row>
    <row r="3588" spans="11:11">
      <c r="K3588" s="1470"/>
    </row>
    <row r="3589" spans="11:11">
      <c r="K3589" s="1470"/>
    </row>
    <row r="3590" spans="11:11">
      <c r="K3590" s="1470"/>
    </row>
    <row r="3591" spans="11:11">
      <c r="K3591" s="1470"/>
    </row>
    <row r="3592" spans="11:11">
      <c r="K3592" s="1470"/>
    </row>
    <row r="3593" spans="11:11">
      <c r="K3593" s="1470"/>
    </row>
    <row r="3594" spans="11:11">
      <c r="K3594" s="1470"/>
    </row>
    <row r="3595" spans="11:11">
      <c r="K3595" s="1470"/>
    </row>
    <row r="3596" spans="11:11">
      <c r="K3596" s="1470"/>
    </row>
    <row r="3597" spans="11:11">
      <c r="K3597" s="1470"/>
    </row>
    <row r="3598" spans="11:11">
      <c r="K3598" s="1470"/>
    </row>
    <row r="3599" spans="11:11">
      <c r="K3599" s="1470"/>
    </row>
    <row r="3600" spans="11:11">
      <c r="K3600" s="1470"/>
    </row>
    <row r="3601" spans="11:11">
      <c r="K3601" s="1470"/>
    </row>
    <row r="3602" spans="11:11">
      <c r="K3602" s="1470"/>
    </row>
    <row r="3603" spans="11:11">
      <c r="K3603" s="1470"/>
    </row>
    <row r="3604" spans="11:11">
      <c r="K3604" s="1470"/>
    </row>
    <row r="3605" spans="11:11">
      <c r="K3605" s="1470"/>
    </row>
    <row r="3606" spans="11:11">
      <c r="K3606" s="1470"/>
    </row>
    <row r="3607" spans="11:11">
      <c r="K3607" s="1470"/>
    </row>
    <row r="3608" spans="11:11">
      <c r="K3608" s="1470"/>
    </row>
    <row r="3609" spans="11:11">
      <c r="K3609" s="1470"/>
    </row>
    <row r="3610" spans="11:11">
      <c r="K3610" s="1470"/>
    </row>
    <row r="3611" spans="11:11">
      <c r="K3611" s="1470"/>
    </row>
    <row r="3612" spans="11:11">
      <c r="K3612" s="1470"/>
    </row>
    <row r="3613" spans="11:11">
      <c r="K3613" s="1470"/>
    </row>
    <row r="3614" spans="11:11">
      <c r="K3614" s="1470"/>
    </row>
    <row r="3615" spans="11:11">
      <c r="K3615" s="1470"/>
    </row>
    <row r="3616" spans="11:11">
      <c r="K3616" s="1470"/>
    </row>
    <row r="3617" spans="11:11">
      <c r="K3617" s="1470"/>
    </row>
    <row r="3618" spans="11:11">
      <c r="K3618" s="1470"/>
    </row>
    <row r="3619" spans="11:11">
      <c r="K3619" s="1470"/>
    </row>
    <row r="3620" spans="11:11">
      <c r="K3620" s="1470"/>
    </row>
    <row r="3621" spans="11:11">
      <c r="K3621" s="1470"/>
    </row>
    <row r="3622" spans="11:11">
      <c r="K3622" s="1470"/>
    </row>
    <row r="3623" spans="11:11">
      <c r="K3623" s="1470"/>
    </row>
    <row r="3624" spans="11:11">
      <c r="K3624" s="1470"/>
    </row>
    <row r="3625" spans="11:11">
      <c r="K3625" s="1470"/>
    </row>
    <row r="3626" spans="11:11">
      <c r="K3626" s="1470"/>
    </row>
    <row r="3627" spans="11:11">
      <c r="K3627" s="1470"/>
    </row>
    <row r="3628" spans="11:11">
      <c r="K3628" s="1470"/>
    </row>
    <row r="3629" spans="11:11">
      <c r="K3629" s="1470"/>
    </row>
    <row r="3630" spans="11:11">
      <c r="K3630" s="1470"/>
    </row>
    <row r="3631" spans="11:11">
      <c r="K3631" s="1470"/>
    </row>
    <row r="3632" spans="11:11">
      <c r="K3632" s="1470"/>
    </row>
    <row r="3633" spans="11:11">
      <c r="K3633" s="1470"/>
    </row>
    <row r="3634" spans="11:11">
      <c r="K3634" s="1470"/>
    </row>
    <row r="3635" spans="11:11">
      <c r="K3635" s="1470"/>
    </row>
    <row r="3636" spans="11:11">
      <c r="K3636" s="1470"/>
    </row>
    <row r="3637" spans="11:11">
      <c r="K3637" s="1470"/>
    </row>
    <row r="3638" spans="11:11">
      <c r="K3638" s="1470"/>
    </row>
    <row r="3639" spans="11:11">
      <c r="K3639" s="1470"/>
    </row>
    <row r="3640" spans="11:11">
      <c r="K3640" s="1470"/>
    </row>
    <row r="3641" spans="11:11">
      <c r="K3641" s="1470"/>
    </row>
    <row r="3642" spans="11:11">
      <c r="K3642" s="1470"/>
    </row>
    <row r="3643" spans="11:11">
      <c r="K3643" s="1470"/>
    </row>
    <row r="3644" spans="11:11">
      <c r="K3644" s="1470"/>
    </row>
    <row r="3645" spans="11:11">
      <c r="K3645" s="1470"/>
    </row>
    <row r="3646" spans="11:11">
      <c r="K3646" s="1470"/>
    </row>
    <row r="3647" spans="11:11">
      <c r="K3647" s="1470"/>
    </row>
    <row r="3648" spans="11:11">
      <c r="K3648" s="1470"/>
    </row>
    <row r="3649" spans="11:11">
      <c r="K3649" s="1470"/>
    </row>
    <row r="3650" spans="11:11">
      <c r="K3650" s="1470"/>
    </row>
    <row r="3651" spans="11:11">
      <c r="K3651" s="1470"/>
    </row>
    <row r="3652" spans="11:11">
      <c r="K3652" s="1470"/>
    </row>
    <row r="3653" spans="11:11">
      <c r="K3653" s="1470"/>
    </row>
    <row r="3654" spans="11:11">
      <c r="K3654" s="1470"/>
    </row>
    <row r="3655" spans="11:11">
      <c r="K3655" s="1470"/>
    </row>
    <row r="3656" spans="11:11">
      <c r="K3656" s="1470"/>
    </row>
    <row r="3657" spans="11:11">
      <c r="K3657" s="1470"/>
    </row>
    <row r="3658" spans="11:11">
      <c r="K3658" s="1470"/>
    </row>
    <row r="3659" spans="11:11">
      <c r="K3659" s="1470"/>
    </row>
    <row r="3660" spans="11:11">
      <c r="K3660" s="1470"/>
    </row>
    <row r="3661" spans="11:11">
      <c r="K3661" s="1470"/>
    </row>
    <row r="3662" spans="11:11">
      <c r="K3662" s="1470"/>
    </row>
    <row r="3663" spans="11:11">
      <c r="K3663" s="1470"/>
    </row>
    <row r="3664" spans="11:11">
      <c r="K3664" s="1470"/>
    </row>
    <row r="3665" spans="11:11">
      <c r="K3665" s="1470"/>
    </row>
    <row r="3666" spans="11:11">
      <c r="K3666" s="1470"/>
    </row>
    <row r="3667" spans="11:11">
      <c r="K3667" s="1470"/>
    </row>
    <row r="3668" spans="11:11">
      <c r="K3668" s="1470"/>
    </row>
    <row r="3669" spans="11:11">
      <c r="K3669" s="1470"/>
    </row>
    <row r="3670" spans="11:11">
      <c r="K3670" s="1470"/>
    </row>
    <row r="3671" spans="11:11">
      <c r="K3671" s="1470"/>
    </row>
    <row r="3672" spans="11:11">
      <c r="K3672" s="1470"/>
    </row>
    <row r="3673" spans="11:11">
      <c r="K3673" s="1470"/>
    </row>
    <row r="3674" spans="11:11">
      <c r="K3674" s="1470"/>
    </row>
    <row r="3675" spans="11:11">
      <c r="K3675" s="1470"/>
    </row>
    <row r="3676" spans="11:11">
      <c r="K3676" s="1470"/>
    </row>
    <row r="3677" spans="11:11">
      <c r="K3677" s="1470"/>
    </row>
    <row r="3678" spans="11:11">
      <c r="K3678" s="1470"/>
    </row>
    <row r="3679" spans="11:11">
      <c r="K3679" s="1470"/>
    </row>
    <row r="3680" spans="11:11">
      <c r="K3680" s="1470"/>
    </row>
    <row r="3681" spans="11:11">
      <c r="K3681" s="1470"/>
    </row>
    <row r="3682" spans="11:11">
      <c r="K3682" s="1470"/>
    </row>
    <row r="3683" spans="11:11">
      <c r="K3683" s="1470"/>
    </row>
    <row r="3684" spans="11:11">
      <c r="K3684" s="1470"/>
    </row>
    <row r="3685" spans="11:11">
      <c r="K3685" s="1470"/>
    </row>
    <row r="3686" spans="11:11">
      <c r="K3686" s="1470"/>
    </row>
    <row r="3687" spans="11:11">
      <c r="K3687" s="1470"/>
    </row>
    <row r="3688" spans="11:11">
      <c r="K3688" s="1470"/>
    </row>
    <row r="3689" spans="11:11">
      <c r="K3689" s="1470"/>
    </row>
    <row r="3690" spans="11:11">
      <c r="K3690" s="1470"/>
    </row>
    <row r="3691" spans="11:11">
      <c r="K3691" s="1470"/>
    </row>
    <row r="3692" spans="11:11">
      <c r="K3692" s="1470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2" t="s">
        <v>2204</v>
      </c>
      <c r="B9" s="1582" t="s">
        <v>2205</v>
      </c>
      <c r="C9" s="1582"/>
      <c r="D9" s="1582" t="s">
        <v>2206</v>
      </c>
      <c r="E9" s="1710" t="s">
        <v>2231</v>
      </c>
      <c r="F9" s="1710" t="s">
        <v>2230</v>
      </c>
      <c r="G9" s="1710" t="s">
        <v>36</v>
      </c>
    </row>
    <row r="10" spans="1:11">
      <c r="A10" s="1868" t="s">
        <v>754</v>
      </c>
      <c r="B10" s="1868" t="s">
        <v>2078</v>
      </c>
      <c r="C10" s="1583">
        <v>12</v>
      </c>
      <c r="D10" s="1583" t="s">
        <v>2036</v>
      </c>
      <c r="E10" s="1711">
        <f>Encargos!I20</f>
        <v>0</v>
      </c>
      <c r="F10" s="1711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1">
        <f>(SUMIFS(Financeiros[Valor],Financeiros[iddet1],19,Financeiros[iddet2],60,Financeiros[id_Detalhe_Grupo_TARIFA],C10))</f>
        <v>0</v>
      </c>
      <c r="K10" s="9"/>
    </row>
    <row r="11" spans="1:11">
      <c r="A11" s="1869"/>
      <c r="B11" s="1868"/>
      <c r="C11" s="1583">
        <v>14</v>
      </c>
      <c r="D11" s="1583" t="s">
        <v>40</v>
      </c>
      <c r="E11" s="1711">
        <f ca="1">Resultado!D17</f>
        <v>133762.32262577442</v>
      </c>
      <c r="F11" s="1711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-3652.6782808927237</v>
      </c>
      <c r="G11" s="1711">
        <f>(SUMIFS(Financeiros[Valor],Financeiros[iddet1],19,Financeiros[iddet2],60,Financeiros[id_Detalhe_Grupo_TARIFA],C11))</f>
        <v>0</v>
      </c>
    </row>
    <row r="12" spans="1:11">
      <c r="A12" s="1869"/>
      <c r="B12" s="1868"/>
      <c r="C12" s="1583">
        <v>19</v>
      </c>
      <c r="D12" s="1583" t="s">
        <v>48</v>
      </c>
      <c r="E12" s="1711">
        <f ca="1">Resultado!D22-E38</f>
        <v>0</v>
      </c>
      <c r="F12" s="1711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1">
        <f>(SUMIFS(Financeiros[Valor],Financeiros[iddet1],19,Financeiros[iddet2],60,Financeiros[id_Detalhe_Grupo_TARIFA],C12))</f>
        <v>0</v>
      </c>
    </row>
    <row r="13" spans="1:11">
      <c r="A13" s="1869"/>
      <c r="B13" s="1868"/>
      <c r="C13" s="1583">
        <v>20</v>
      </c>
      <c r="D13" s="1583" t="s">
        <v>49</v>
      </c>
      <c r="E13" s="1711">
        <f>Resultado!D23</f>
        <v>0</v>
      </c>
      <c r="F13" s="1711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1">
        <f>(SUMIFS(Financeiros[Valor],Financeiros[iddet1],19,Financeiros[iddet2],60,Financeiros[id_Detalhe_Grupo_TARIFA],C13))</f>
        <v>0</v>
      </c>
    </row>
    <row r="14" spans="1:11">
      <c r="A14" s="1869"/>
      <c r="B14" s="1868"/>
      <c r="C14" s="1583">
        <v>13</v>
      </c>
      <c r="D14" s="1583" t="s">
        <v>39</v>
      </c>
      <c r="E14" s="1711">
        <f>Resultado!D16</f>
        <v>0</v>
      </c>
      <c r="F14" s="1711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1">
        <f>(SUMIFS(Financeiros[Valor],Financeiros[iddet1],19,Financeiros[iddet2],60,Financeiros[id_Detalhe_Grupo_TARIFA],C14))</f>
        <v>0</v>
      </c>
    </row>
    <row r="15" spans="1:11">
      <c r="A15" s="1869"/>
      <c r="B15" s="1868"/>
      <c r="C15" s="1583">
        <v>15</v>
      </c>
      <c r="D15" s="1583" t="s">
        <v>41</v>
      </c>
      <c r="E15" s="1711">
        <f ca="1">Encargos!I19</f>
        <v>11535786.343379999</v>
      </c>
      <c r="F15" s="1711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-349542.0553979844</v>
      </c>
      <c r="G15" s="1711">
        <f>(SUMIFS(Financeiros[Valor],Financeiros[iddet1],19,Financeiros[iddet2],60,Financeiros[id_Detalhe_Grupo_TARIFA],C15))</f>
        <v>0</v>
      </c>
    </row>
    <row r="16" spans="1:11">
      <c r="A16" s="1869"/>
      <c r="B16" s="1868"/>
      <c r="C16" s="1583">
        <v>18</v>
      </c>
      <c r="D16" s="1583" t="s">
        <v>47</v>
      </c>
      <c r="E16" s="1711">
        <f ca="1">Resultado!D21</f>
        <v>2028549.6268199999</v>
      </c>
      <c r="F16" s="1711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-61869.648417803073</v>
      </c>
      <c r="G16" s="1711">
        <f>(SUMIFS(Financeiros[Valor],Financeiros[iddet1],19,Financeiros[iddet2],60,Financeiros[id_Detalhe_Grupo_TARIFA],C16))</f>
        <v>0</v>
      </c>
    </row>
    <row r="17" spans="1:7">
      <c r="A17" s="1869"/>
      <c r="B17" s="1868"/>
      <c r="C17" s="1583"/>
      <c r="D17" s="1583" t="s">
        <v>2207</v>
      </c>
      <c r="E17" s="1711">
        <v>0</v>
      </c>
      <c r="F17" s="1711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1">
        <v>0</v>
      </c>
    </row>
    <row r="18" spans="1:7">
      <c r="A18" s="1869"/>
      <c r="B18" s="1868"/>
      <c r="C18" s="1583"/>
      <c r="D18" s="1694" t="s">
        <v>2208</v>
      </c>
      <c r="E18" s="1711">
        <f ca="1">SUM(E10:E17)</f>
        <v>13698098.292825773</v>
      </c>
      <c r="F18" s="1711">
        <f t="shared" ref="F18:G18" ca="1" si="0">SUM(F10:F17)</f>
        <v>-415064.38209668017</v>
      </c>
      <c r="G18" s="1711">
        <f t="shared" si="0"/>
        <v>0</v>
      </c>
    </row>
    <row r="19" spans="1:7">
      <c r="A19" s="1869"/>
      <c r="B19" s="1868" t="s">
        <v>2209</v>
      </c>
      <c r="C19" s="1583">
        <v>1</v>
      </c>
      <c r="D19" s="1583" t="s">
        <v>2210</v>
      </c>
      <c r="E19" s="1711">
        <f>Resultado!D25</f>
        <v>0</v>
      </c>
      <c r="F19" s="1711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1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9"/>
      <c r="B20" s="1868"/>
      <c r="C20" s="1583">
        <v>2</v>
      </c>
      <c r="D20" s="1583" t="s">
        <v>2211</v>
      </c>
      <c r="E20" s="1711">
        <f>Resultado!D26</f>
        <v>0</v>
      </c>
      <c r="F20" s="1711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1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9"/>
      <c r="B21" s="1868"/>
      <c r="C21" s="1583">
        <v>3</v>
      </c>
      <c r="D21" s="1583" t="s">
        <v>2212</v>
      </c>
      <c r="E21" s="1711">
        <f>Resultado!D31</f>
        <v>0</v>
      </c>
      <c r="F21" s="1711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1">
        <f>(SUMIFS(Financeiros[Valor],Financeiros[iddet1],19,Financeiros[iddet2],60,Financeiros[id_Detalhe_Grupo_TARIFA],C21))</f>
        <v>0</v>
      </c>
    </row>
    <row r="22" spans="1:7">
      <c r="A22" s="1869"/>
      <c r="B22" s="1868"/>
      <c r="C22" s="1583">
        <v>4</v>
      </c>
      <c r="D22" s="1583" t="s">
        <v>2213</v>
      </c>
      <c r="E22" s="1711">
        <f>0</f>
        <v>0</v>
      </c>
      <c r="F22" s="1711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1">
        <f>(SUMIFS(Financeiros[Valor],Financeiros[iddet1],19,Financeiros[iddet2],60,Financeiros[id_Detalhe_Grupo_TARIFA],C22))</f>
        <v>0</v>
      </c>
    </row>
    <row r="23" spans="1:7">
      <c r="A23" s="1869"/>
      <c r="B23" s="1868"/>
      <c r="C23" s="1583">
        <v>7</v>
      </c>
      <c r="D23" s="1583" t="s">
        <v>953</v>
      </c>
      <c r="E23" s="1711">
        <f>Resultado!D32</f>
        <v>11589713.29614</v>
      </c>
      <c r="F23" s="1711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365137.38193692808</v>
      </c>
      <c r="G23" s="1711">
        <f>(SUMIFS(Financeiros[Valor],Financeiros[iddet1],19,Financeiros[iddet2],60,Financeiros[id_Detalhe_Grupo_TARIFA],C23))</f>
        <v>0</v>
      </c>
    </row>
    <row r="24" spans="1:7">
      <c r="A24" s="1869"/>
      <c r="B24" s="1868"/>
      <c r="C24" s="1583">
        <v>6</v>
      </c>
      <c r="D24" s="1583" t="s">
        <v>2214</v>
      </c>
      <c r="E24" s="1711">
        <f>Resultado!D28</f>
        <v>0</v>
      </c>
      <c r="F24" s="1711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1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9"/>
      <c r="B25" s="1868"/>
      <c r="C25" s="1583">
        <v>5</v>
      </c>
      <c r="D25" s="1583" t="s">
        <v>2215</v>
      </c>
      <c r="E25" s="1711">
        <f>Resultado!D27</f>
        <v>0</v>
      </c>
      <c r="F25" s="1711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1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9"/>
      <c r="B26" s="1868"/>
      <c r="C26" s="1583"/>
      <c r="D26" s="1694" t="s">
        <v>2208</v>
      </c>
      <c r="E26" s="1711">
        <f>SUM(E19:E25)</f>
        <v>11589713.29614</v>
      </c>
      <c r="F26" s="1711">
        <f t="shared" ref="F26:G26" si="1">SUM(F19:F25)</f>
        <v>365137.38193692808</v>
      </c>
      <c r="G26" s="1711">
        <f t="shared" si="1"/>
        <v>0</v>
      </c>
    </row>
    <row r="27" spans="1:7">
      <c r="A27" s="1869"/>
      <c r="B27" s="1868" t="s">
        <v>2216</v>
      </c>
      <c r="C27" s="1583">
        <v>999</v>
      </c>
      <c r="D27" s="1583" t="s">
        <v>954</v>
      </c>
      <c r="E27" s="1711">
        <f>LnkTXTIParcelaBcomSub</f>
        <v>30237728.700547267</v>
      </c>
      <c r="F27" s="1711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-1327071.3845209642</v>
      </c>
      <c r="G27" s="1711">
        <v>0</v>
      </c>
    </row>
    <row r="28" spans="1:7">
      <c r="A28" s="1869"/>
      <c r="B28" s="1868"/>
      <c r="C28" s="1583"/>
      <c r="D28" s="1694" t="s">
        <v>2208</v>
      </c>
      <c r="E28" s="1711">
        <f>SUM(E27)</f>
        <v>30237728.700547267</v>
      </c>
      <c r="F28" s="1711">
        <f t="shared" ref="F28:G28" ca="1" si="2">SUM(F27)</f>
        <v>-1327071.3845209642</v>
      </c>
      <c r="G28" s="1711">
        <f t="shared" si="2"/>
        <v>0</v>
      </c>
    </row>
    <row r="29" spans="1:7">
      <c r="A29" s="1869"/>
      <c r="B29" s="1868" t="s">
        <v>2217</v>
      </c>
      <c r="C29" s="1583">
        <v>179</v>
      </c>
      <c r="D29" s="1583" t="s">
        <v>2218</v>
      </c>
      <c r="E29" s="1711">
        <v>0</v>
      </c>
      <c r="F29" s="1711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1">
        <v>0</v>
      </c>
    </row>
    <row r="30" spans="1:7">
      <c r="A30" s="1869"/>
      <c r="B30" s="1868"/>
      <c r="C30" s="1583"/>
      <c r="D30" s="1583" t="s">
        <v>950</v>
      </c>
      <c r="E30" s="1711">
        <v>0</v>
      </c>
      <c r="F30" s="1711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1">
        <v>0</v>
      </c>
    </row>
    <row r="31" spans="1:7">
      <c r="A31" s="1869"/>
      <c r="B31" s="1868"/>
      <c r="C31" s="1583"/>
      <c r="D31" s="1694" t="s">
        <v>2208</v>
      </c>
      <c r="E31" s="1711">
        <f>SUM(E29:E30)</f>
        <v>0</v>
      </c>
      <c r="F31" s="1711">
        <f t="shared" ref="F31:G31" ca="1" si="3">SUM(F29:F30)</f>
        <v>0</v>
      </c>
      <c r="G31" s="1711">
        <f t="shared" si="3"/>
        <v>0</v>
      </c>
    </row>
    <row r="32" spans="1:7">
      <c r="A32" s="1869"/>
      <c r="B32" s="1868" t="s">
        <v>2219</v>
      </c>
      <c r="C32" s="1583">
        <v>8</v>
      </c>
      <c r="D32" s="1583" t="s">
        <v>2220</v>
      </c>
      <c r="E32" s="1711">
        <f ca="1">Energia!D11*Energia!D14</f>
        <v>1259155.8978067304</v>
      </c>
      <c r="F32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-89359.7973499402</v>
      </c>
      <c r="G32" s="1711">
        <f>(SUMIFS(Financeiros[Valor],Financeiros[iddet1],19,Financeiros[iddet2],60,Financeiros[id_Detalhe_Grupo_TARIFA],C32))</f>
        <v>0</v>
      </c>
    </row>
    <row r="33" spans="1:7">
      <c r="A33" s="1869"/>
      <c r="B33" s="1868"/>
      <c r="C33" s="1583">
        <v>10</v>
      </c>
      <c r="D33" s="1583" t="s">
        <v>2221</v>
      </c>
      <c r="E33" s="1711">
        <f ca="1">Energia!D12*Energia!D14</f>
        <v>0</v>
      </c>
      <c r="F33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11">
        <f>(SUMIFS(Financeiros[Valor],Financeiros[iddet1],19,Financeiros[iddet2],60,Financeiros[id_Detalhe_Grupo_TARIFA],C33))</f>
        <v>0</v>
      </c>
    </row>
    <row r="34" spans="1:7">
      <c r="A34" s="1869"/>
      <c r="B34" s="1868"/>
      <c r="C34" s="1583">
        <v>9</v>
      </c>
      <c r="D34" s="1583" t="s">
        <v>2222</v>
      </c>
      <c r="E34" s="1711">
        <f ca="1">Energia!D10*Energia!D14</f>
        <v>0</v>
      </c>
      <c r="F34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1">
        <f>(SUMIFS(Financeiros[Valor],Financeiros[iddet1],19,Financeiros[iddet2],60,Financeiros[id_Detalhe_Grupo_TARIFA],C34))</f>
        <v>0</v>
      </c>
    </row>
    <row r="35" spans="1:7">
      <c r="A35" s="1869"/>
      <c r="B35" s="1868"/>
      <c r="C35" s="1583">
        <v>999</v>
      </c>
      <c r="D35" s="1583" t="s">
        <v>990</v>
      </c>
      <c r="E35" s="1711"/>
      <c r="F35" s="1711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1">
        <f>(SUMIFS(Financeiros[Valor],Financeiros[iddet1],19,Financeiros[iddet2],60,Financeiros[id_Detalhe_Grupo_TARIFA],C35))</f>
        <v>0</v>
      </c>
    </row>
    <row r="36" spans="1:7">
      <c r="A36" s="1869"/>
      <c r="B36" s="1868"/>
      <c r="C36" s="1583"/>
      <c r="D36" s="1694" t="s">
        <v>2208</v>
      </c>
      <c r="E36" s="1711">
        <f ca="1">SUM(E32:E35)</f>
        <v>1259155.8978067304</v>
      </c>
      <c r="F36" s="1711">
        <f t="shared" ref="F36:G36" ca="1" si="4">SUM(F32:F35)</f>
        <v>-89359.7973499402</v>
      </c>
      <c r="G36" s="1711">
        <f t="shared" si="4"/>
        <v>0</v>
      </c>
    </row>
    <row r="37" spans="1:7">
      <c r="A37" s="1869"/>
      <c r="B37" s="1870" t="s">
        <v>2208</v>
      </c>
      <c r="C37" s="1870"/>
      <c r="D37" s="1870"/>
      <c r="E37" s="1711">
        <f ca="1">SUM(E18,E26,E28,E36,E31)</f>
        <v>56784696.18731977</v>
      </c>
      <c r="F37" s="1711">
        <f ca="1">SUM(F18,F26,F28,F36,F31)</f>
        <v>-1466358.1820306566</v>
      </c>
      <c r="G37" s="1711">
        <f>SUM(G18,G26,G28,G36,G31)</f>
        <v>0</v>
      </c>
    </row>
    <row r="38" spans="1:7">
      <c r="A38" s="1868" t="s">
        <v>972</v>
      </c>
      <c r="B38" s="1868" t="s">
        <v>2078</v>
      </c>
      <c r="C38" s="1583">
        <v>19</v>
      </c>
      <c r="D38" s="1583" t="s">
        <v>48</v>
      </c>
      <c r="E38" s="1711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1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1">
        <f>(SUMIFS(Financeiros[Valor],Financeiros[iddet1],19,Financeiros[iddet2],60,Financeiros[id_Detalhe_Grupo_TARIFA],C38))</f>
        <v>0</v>
      </c>
    </row>
    <row r="39" spans="1:7">
      <c r="A39" s="1869"/>
      <c r="B39" s="1868"/>
      <c r="C39" s="1583">
        <v>17</v>
      </c>
      <c r="D39" s="1583" t="s">
        <v>46</v>
      </c>
      <c r="E39" s="1711">
        <f>Encargos!C9</f>
        <v>0</v>
      </c>
      <c r="F39" s="1711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11">
        <f>(SUMIFS(Financeiros[Valor],Financeiros[iddet1],19,Financeiros[iddet2],60,Financeiros[id_Detalhe_Grupo_TARIFA],C39))</f>
        <v>0</v>
      </c>
    </row>
    <row r="40" spans="1:7">
      <c r="A40" s="1869"/>
      <c r="B40" s="1868"/>
      <c r="C40" s="1583">
        <v>16</v>
      </c>
      <c r="D40" s="1583" t="s">
        <v>112</v>
      </c>
      <c r="E40" s="1711">
        <f>Encargos!C8</f>
        <v>0</v>
      </c>
      <c r="F40" s="1711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1">
        <f>(SUMIFS(Financeiros[Valor],Financeiros[iddet1],19,Financeiros[iddet2],60,Financeiros[id_Detalhe_Grupo_TARIFA],C40))</f>
        <v>0</v>
      </c>
    </row>
    <row r="41" spans="1:7">
      <c r="A41" s="1869"/>
      <c r="B41" s="1868"/>
      <c r="C41" s="1583">
        <v>25</v>
      </c>
      <c r="D41" s="1583" t="s">
        <v>2223</v>
      </c>
      <c r="E41" s="1711">
        <v>0</v>
      </c>
      <c r="F41" s="1711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1">
        <f>(SUMIFS(Financeiros[Valor],Financeiros[iddet1],19,Financeiros[iddet2],60,Financeiros[id_Detalhe_Grupo_TARIFA],C41))</f>
        <v>0</v>
      </c>
    </row>
    <row r="42" spans="1:7">
      <c r="A42" s="1869"/>
      <c r="B42" s="1868"/>
      <c r="C42" s="1583">
        <v>28</v>
      </c>
      <c r="D42" s="1583" t="s">
        <v>2057</v>
      </c>
      <c r="E42" s="1711">
        <f>Encargos!I21</f>
        <v>0</v>
      </c>
      <c r="F42" s="1711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1">
        <f>(SUMIFS(Financeiros[Valor],Financeiros[iddet1],19,Financeiros[iddet2],60,Financeiros[id_Detalhe_Grupo_TARIFA],C42))</f>
        <v>0</v>
      </c>
    </row>
    <row r="43" spans="1:7">
      <c r="A43" s="1869"/>
      <c r="B43" s="1868"/>
      <c r="C43" s="1583"/>
      <c r="D43" s="1694" t="s">
        <v>2208</v>
      </c>
      <c r="E43" s="1711">
        <f ca="1">SUM(E38:E42)</f>
        <v>0</v>
      </c>
      <c r="F43" s="1711">
        <f ca="1">SUM(F38:F42)</f>
        <v>0</v>
      </c>
      <c r="G43" s="1711">
        <f>SUM(G38:G42)</f>
        <v>0</v>
      </c>
    </row>
    <row r="44" spans="1:7">
      <c r="A44" s="1869"/>
      <c r="B44" s="1868" t="s">
        <v>2079</v>
      </c>
      <c r="C44" s="1583">
        <v>11</v>
      </c>
      <c r="D44" s="1583" t="s">
        <v>2224</v>
      </c>
      <c r="E44" s="1711">
        <f ca="1">Energia!D6*Energia!D14</f>
        <v>20968479.437533595</v>
      </c>
      <c r="F44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-1488091.4083301169</v>
      </c>
      <c r="G44" s="1711">
        <f>(SUMIFS(Financeiros[Valor],Financeiros[iddet1],19,Financeiros[iddet2],60,Financeiros[id_Detalhe_Grupo_TARIFA],C44))</f>
        <v>0</v>
      </c>
    </row>
    <row r="45" spans="1:7">
      <c r="A45" s="1869"/>
      <c r="B45" s="1868"/>
      <c r="C45" s="1583"/>
      <c r="D45" s="1694" t="s">
        <v>2208</v>
      </c>
      <c r="E45" s="1711">
        <f ca="1">SUM(E44)</f>
        <v>20968479.437533595</v>
      </c>
      <c r="F45" s="1711">
        <f ca="1">SUM(F44)</f>
        <v>-1488091.4083301169</v>
      </c>
      <c r="G45" s="1711">
        <f>SUM(G44)</f>
        <v>0</v>
      </c>
    </row>
    <row r="46" spans="1:7">
      <c r="A46" s="1869"/>
      <c r="B46" s="1868" t="s">
        <v>2209</v>
      </c>
      <c r="C46" s="1583">
        <v>21</v>
      </c>
      <c r="D46" s="1583" t="s">
        <v>976</v>
      </c>
      <c r="E46" s="1711">
        <f>Resultado!D29</f>
        <v>0</v>
      </c>
      <c r="F46" s="1711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1">
        <f>(SUMIFS(Financeiros[Valor],Financeiros[iddet1],19,Financeiros[iddet2],60,Financeiros[id_Detalhe_Grupo_TARIFA],C46))</f>
        <v>0</v>
      </c>
    </row>
    <row r="47" spans="1:7">
      <c r="A47" s="1869"/>
      <c r="B47" s="1868"/>
      <c r="C47" s="1583">
        <v>23</v>
      </c>
      <c r="D47" s="1583" t="s">
        <v>2225</v>
      </c>
      <c r="E47" s="1711">
        <f>Resultado!D30</f>
        <v>0</v>
      </c>
      <c r="F47" s="1711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1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9"/>
      <c r="B48" s="1868"/>
      <c r="C48" s="1583">
        <v>22</v>
      </c>
      <c r="D48" s="1583" t="s">
        <v>2226</v>
      </c>
      <c r="E48" s="1711">
        <f>0</f>
        <v>0</v>
      </c>
      <c r="F48" s="1711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1">
        <f>(SUMIFS(Financeiros[Valor],Financeiros[iddet1],19,Financeiros[iddet2],60,Financeiros[id_Detalhe_Grupo_TARIFA],C48))</f>
        <v>0</v>
      </c>
    </row>
    <row r="49" spans="1:7">
      <c r="A49" s="1869"/>
      <c r="B49" s="1868"/>
      <c r="C49" s="1583"/>
      <c r="D49" s="1694" t="s">
        <v>2208</v>
      </c>
      <c r="E49" s="1711">
        <f>SUM(E46:E48)</f>
        <v>0</v>
      </c>
      <c r="F49" s="1711">
        <f>SUM(F46:F48)</f>
        <v>0</v>
      </c>
      <c r="G49" s="1711">
        <f>SUM(G46:G48)</f>
        <v>0</v>
      </c>
    </row>
    <row r="50" spans="1:7">
      <c r="A50" s="1869"/>
      <c r="B50" s="1868" t="s">
        <v>2217</v>
      </c>
      <c r="C50" s="1583">
        <v>179</v>
      </c>
      <c r="D50" s="1583" t="s">
        <v>2218</v>
      </c>
      <c r="E50" s="1711">
        <v>0</v>
      </c>
      <c r="F50" s="1711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1">
        <f>SUMIFS(Financeiros[Valor],Financeiros[iddet1],19,Financeiros[iddet2],60,Financeiros[id_Detalhe_Grupo_TARIFA],C50)</f>
        <v>0</v>
      </c>
    </row>
    <row r="51" spans="1:7">
      <c r="A51" s="1869"/>
      <c r="B51" s="1868"/>
      <c r="C51" s="1583"/>
      <c r="D51" s="1583" t="s">
        <v>2208</v>
      </c>
      <c r="E51" s="1711">
        <f>SUM(E50)</f>
        <v>0</v>
      </c>
      <c r="F51" s="1711">
        <f ca="1">SUM(F50)</f>
        <v>0</v>
      </c>
      <c r="G51" s="1711">
        <f>SUM(G50)</f>
        <v>0</v>
      </c>
    </row>
    <row r="52" spans="1:7">
      <c r="A52" s="1869"/>
      <c r="B52" s="1868" t="s">
        <v>2219</v>
      </c>
      <c r="C52" s="1583">
        <v>24</v>
      </c>
      <c r="D52" s="1583" t="s">
        <v>2227</v>
      </c>
      <c r="E52" s="1711">
        <f ca="1">Energia!D13*Energia!D14</f>
        <v>0</v>
      </c>
      <c r="F52" s="1711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11">
        <f>(SUMIFS(Financeiros[Valor],Financeiros[iddet1],19,Financeiros[iddet2],60,Financeiros[id_Detalhe_Grupo_TARIFA],C52))</f>
        <v>0</v>
      </c>
    </row>
    <row r="53" spans="1:7">
      <c r="A53" s="1869"/>
      <c r="B53" s="1868"/>
      <c r="C53" s="1583"/>
      <c r="D53" s="1694" t="s">
        <v>2208</v>
      </c>
      <c r="E53" s="1711">
        <f ca="1">SUM(E52)</f>
        <v>0</v>
      </c>
      <c r="F53" s="1711">
        <f t="shared" ref="F53:G53" ca="1" si="5">SUM(F52)</f>
        <v>0</v>
      </c>
      <c r="G53" s="1711">
        <f t="shared" si="5"/>
        <v>0</v>
      </c>
    </row>
    <row r="54" spans="1:7">
      <c r="A54" s="1869"/>
      <c r="B54" s="1870" t="s">
        <v>2208</v>
      </c>
      <c r="C54" s="1870"/>
      <c r="D54" s="1870"/>
      <c r="E54" s="1711">
        <f ca="1">SUM(E43,E45,E49,E53,E51)</f>
        <v>20968479.437533595</v>
      </c>
      <c r="F54" s="1711">
        <f t="shared" ref="F54:G54" ca="1" si="6">SUM(F43,F45,F49,F53,F51)</f>
        <v>-1488091.4083301169</v>
      </c>
      <c r="G54" s="1711">
        <f t="shared" si="6"/>
        <v>0</v>
      </c>
    </row>
    <row r="55" spans="1:7">
      <c r="A55" s="1868" t="s">
        <v>761</v>
      </c>
      <c r="B55" s="1868"/>
      <c r="C55" s="1868"/>
      <c r="D55" s="1868"/>
      <c r="E55" s="1711">
        <f ca="1">E37+E54</f>
        <v>77753175.624853373</v>
      </c>
      <c r="F55" s="1711">
        <f t="shared" ref="F55:G55" ca="1" si="7">F37+F54</f>
        <v>-2954449.5903607737</v>
      </c>
      <c r="G55" s="1711">
        <f t="shared" si="7"/>
        <v>0</v>
      </c>
    </row>
    <row r="56" spans="1:7">
      <c r="E56" s="1712"/>
      <c r="F56" s="1712"/>
      <c r="G56" s="1712"/>
    </row>
    <row r="57" spans="1:7">
      <c r="D57" s="1694" t="s">
        <v>2283</v>
      </c>
      <c r="E57" s="1711">
        <f ca="1">Resultado!C5</f>
        <v>77753175.624853358</v>
      </c>
      <c r="F57" s="1711">
        <f ca="1">(SUMIFS(Financeiros[Valor],Financeiros[iddet1],20)+SUMIFS(Financeiros[Valor],Financeiros[iddet1],22)+SUMIFS(Financeiros[Valor],Financeiros[iddet1],19,Financeiros[iddet2],64))</f>
        <v>-2954449.5903607737</v>
      </c>
      <c r="G57" s="1711">
        <f>(SUMIFS(Financeiros[Valor],Financeiros[iddet1],19,Financeiros[iddet2],60))</f>
        <v>0</v>
      </c>
    </row>
    <row r="58" spans="1:7">
      <c r="D58" s="1694" t="s">
        <v>2228</v>
      </c>
      <c r="E58" s="1711" t="str">
        <f ca="1">IF(ABS(E55-E57)&gt;1,"verificar sparta","ok")</f>
        <v>ok</v>
      </c>
      <c r="F58" s="1711" t="str">
        <f t="shared" ref="F58" ca="1" si="8">IF(ABS(F55-F57)&gt;1,"verificar sparta","ok")</f>
        <v>ok</v>
      </c>
      <c r="G58" s="1711" t="str">
        <f>IF(ABS(G55-G57)&gt;1,"verificar sparta","ok")</f>
        <v>ok</v>
      </c>
    </row>
    <row r="59" spans="1:7">
      <c r="E59" s="1712"/>
      <c r="F59" s="1712"/>
      <c r="G59" s="1712"/>
    </row>
    <row r="60" spans="1:7">
      <c r="D60" s="1694" t="s">
        <v>2229</v>
      </c>
      <c r="E60" s="1711">
        <f ca="1">SUMIFS(TabelaBadNet[valor],TabelaBadNet[id_Natureza_dado],2,TabelaBadNet[id_Detalhe_Natureza],1,TabelaBadNet[id_Unidade],3,TabelaBadNet[idDet1],51)</f>
        <v>77753175.624853358</v>
      </c>
      <c r="F60" s="1711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-2954449.5903607737</v>
      </c>
      <c r="G60" s="1711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4" t="s">
        <v>2228</v>
      </c>
      <c r="E61" s="1711" t="str">
        <f ca="1">IF(ABS(E60-E55)&gt;1,"verificar badnet","ok")</f>
        <v>ok</v>
      </c>
      <c r="F61" s="1711" t="str">
        <f t="shared" ref="F61:G61" ca="1" si="9">IF(ABS(F60-F55)&gt;1,"verificar badnet","ok")</f>
        <v>ok</v>
      </c>
      <c r="G61" s="1711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A101" zoomScaleNormal="100" workbookViewId="0">
      <selection activeCell="C88" sqref="C8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697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697</v>
      </c>
      <c r="B3" t="s">
        <v>1419</v>
      </c>
      <c r="C3" t="s">
        <v>773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697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697</v>
      </c>
      <c r="B5" t="s">
        <v>1419</v>
      </c>
      <c r="C5" t="s">
        <v>773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697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0.1195</v>
      </c>
      <c r="Q6" s="232">
        <f ca="1">Resultado!C7</f>
        <v>0.1195</v>
      </c>
    </row>
    <row r="7" spans="1:17" s="13" customFormat="1" ht="15.75">
      <c r="A7" t="s">
        <v>697</v>
      </c>
      <c r="B7" t="s">
        <v>1419</v>
      </c>
      <c r="C7" t="s">
        <v>1262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-4.2500000000000003E-2</v>
      </c>
      <c r="Q7" s="232">
        <f ca="1">Resultado!C8</f>
        <v>-4.2500000000000003E-2</v>
      </c>
    </row>
    <row r="8" spans="1:17" s="13" customFormat="1" ht="15.75">
      <c r="A8" t="s">
        <v>697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7.6999999999999999E-2</v>
      </c>
      <c r="Q8" s="232">
        <f ca="1">Resultado!C9</f>
        <v>7.6999999999999999E-2</v>
      </c>
    </row>
    <row r="9" spans="1:17" s="13" customFormat="1" ht="15.75">
      <c r="A9" t="s">
        <v>697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0.23544812054850259</v>
      </c>
      <c r="Q9" s="232">
        <f ca="1">IF(ISERROR(LnkTXTICMS),0,LnkTXTICMS)</f>
        <v>0.23544812054850259</v>
      </c>
    </row>
    <row r="10" spans="1:17" s="13" customFormat="1" ht="15.75">
      <c r="A10" t="s">
        <v>697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1.9807779941797311E-3</v>
      </c>
      <c r="Q10" s="232">
        <f ca="1">IF(ISERROR(LNKTXTPercPISCOFINS),0,LNKTXTPercPISCOFINS)</f>
        <v>1.9807779941797311E-3</v>
      </c>
    </row>
    <row r="11" spans="1:17" ht="15.75">
      <c r="A11" t="s">
        <v>697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697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697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133762.32262577442</v>
      </c>
      <c r="Q13" s="232">
        <f ca="1">Resultado!D17</f>
        <v>133762.32262577442</v>
      </c>
    </row>
    <row r="14" spans="1:17" ht="15.75">
      <c r="A14" t="s">
        <v>697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11535786.343379999</v>
      </c>
      <c r="Q14" s="232">
        <f ca="1">Encargos!I19</f>
        <v>11535786.343379999</v>
      </c>
    </row>
    <row r="15" spans="1:17" ht="15.75">
      <c r="A15" t="s">
        <v>697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697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697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2028549.6268199999</v>
      </c>
      <c r="Q17" s="232">
        <f ca="1">Resultado!D21</f>
        <v>2028549.6268199999</v>
      </c>
    </row>
    <row r="18" spans="1:17" ht="15.75">
      <c r="A18" t="s">
        <v>697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697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697</v>
      </c>
      <c r="B20" t="s">
        <v>718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697</v>
      </c>
      <c r="B21" t="s">
        <v>718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11589713.29614</v>
      </c>
      <c r="Q21" s="232">
        <f>Q22/(1-Q20)</f>
        <v>11589713.29614</v>
      </c>
    </row>
    <row r="22" spans="1:17" ht="15.75">
      <c r="A22" t="s">
        <v>697</v>
      </c>
      <c r="B22" t="s">
        <v>718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11589713.29614</v>
      </c>
      <c r="Q22" s="232">
        <f>CUSD!C3</f>
        <v>11589713.29614</v>
      </c>
    </row>
    <row r="23" spans="1:17" ht="15.75">
      <c r="A23" t="s">
        <v>697</v>
      </c>
      <c r="B23" t="s">
        <v>718</v>
      </c>
      <c r="C23" s="9" t="s">
        <v>1154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697</v>
      </c>
      <c r="B24" t="s">
        <v>718</v>
      </c>
      <c r="C24" t="s">
        <v>1182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697</v>
      </c>
      <c r="B25" t="s">
        <v>718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697</v>
      </c>
      <c r="B26" t="s">
        <v>718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697</v>
      </c>
      <c r="B27" t="s">
        <v>718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697</v>
      </c>
      <c r="B28" t="s">
        <v>718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697</v>
      </c>
      <c r="B29" t="s">
        <v>718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696</v>
      </c>
      <c r="B30" t="s">
        <v>108</v>
      </c>
      <c r="C30" t="s">
        <v>746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697</v>
      </c>
      <c r="B31" t="s">
        <v>108</v>
      </c>
      <c r="C31" t="s">
        <v>746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153598.07499999998</v>
      </c>
      <c r="Q31" s="232">
        <f ca="1">Energia!D5</f>
        <v>153598.07499999998</v>
      </c>
    </row>
    <row r="32" spans="1:17" ht="15.75">
      <c r="A32" t="s">
        <v>697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8701.0570000000098</v>
      </c>
      <c r="Q32" s="232">
        <f ca="1">Energia!N17</f>
        <v>8701.0570000000098</v>
      </c>
    </row>
    <row r="33" spans="1:17" ht="15.75">
      <c r="A33" t="s">
        <v>697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697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697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697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5.664821645713991E-2</v>
      </c>
      <c r="Q36" s="232">
        <f ca="1">Energia!N14</f>
        <v>5.664821645713991E-2</v>
      </c>
    </row>
    <row r="37" spans="1:17" s="12" customFormat="1" ht="15.75">
      <c r="A37" t="s">
        <v>697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697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697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22227635.335340325</v>
      </c>
      <c r="Q39" s="232">
        <f ca="1">Energia!D15</f>
        <v>22227635.335340325</v>
      </c>
    </row>
    <row r="40" spans="1:17" ht="15.75">
      <c r="A40" t="s">
        <v>696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144.71298117076225</v>
      </c>
      <c r="Q40" s="232">
        <f ca="1">Energia!D14</f>
        <v>144.71298117076225</v>
      </c>
    </row>
    <row r="41" spans="1:17" ht="15.75">
      <c r="A41" t="s">
        <v>696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2416.7616097665855</v>
      </c>
      <c r="Q41" s="232">
        <f>Energia!C20</f>
        <v>2416.7616097665855</v>
      </c>
    </row>
    <row r="42" spans="1:17" ht="15.75">
      <c r="A42" t="s">
        <v>697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151181.31339023341</v>
      </c>
      <c r="Q42" s="232">
        <f ca="1">Energia!C23</f>
        <v>151181.31339023341</v>
      </c>
    </row>
    <row r="43" spans="1:17" ht="15.75">
      <c r="A43" t="s">
        <v>697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22227635.335340325</v>
      </c>
      <c r="Q43" s="232">
        <f ca="1">Energia!F23</f>
        <v>22227635.335340325</v>
      </c>
    </row>
    <row r="44" spans="1:17" s="12" customFormat="1" ht="15.75">
      <c r="A44" t="s">
        <v>697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697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697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697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>
        <f>VALUE(Energia!A28)</f>
        <v>5697</v>
      </c>
      <c r="P47" s="232">
        <f t="shared" si="0"/>
        <v>0.48409999999999997</v>
      </c>
      <c r="Q47" s="232">
        <f>Energia!F28</f>
        <v>0.48409999999999997</v>
      </c>
    </row>
    <row r="48" spans="1:17" s="12" customFormat="1" ht="15.75">
      <c r="A48" t="s">
        <v>697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>
        <f>VALUE(Energia!A29)</f>
        <v>5697</v>
      </c>
      <c r="P48" s="232">
        <f t="shared" si="0"/>
        <v>0.48409999999999997</v>
      </c>
      <c r="Q48" s="232">
        <f>Energia!F29</f>
        <v>0.48409999999999997</v>
      </c>
    </row>
    <row r="49" spans="1:17" s="12" customFormat="1" ht="15.75">
      <c r="A49" t="s">
        <v>697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697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697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697</v>
      </c>
      <c r="B52" t="s">
        <v>896</v>
      </c>
      <c r="C52" t="s">
        <v>888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144897.01799999998</v>
      </c>
      <c r="Q52" s="232">
        <f ca="1">FornecimentoE</f>
        <v>144897.01799999998</v>
      </c>
    </row>
    <row r="53" spans="1:17" s="12" customFormat="1" ht="15.75">
      <c r="A53" t="s">
        <v>697</v>
      </c>
      <c r="B53" t="s">
        <v>896</v>
      </c>
      <c r="C53" t="s">
        <v>909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697</v>
      </c>
      <c r="B54" t="s">
        <v>896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697</v>
      </c>
      <c r="B55" t="s">
        <v>896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697</v>
      </c>
      <c r="B56" t="s">
        <v>896</v>
      </c>
      <c r="C56" t="s">
        <v>913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697</v>
      </c>
      <c r="B57" t="s">
        <v>896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697</v>
      </c>
      <c r="B58" t="s">
        <v>896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697</v>
      </c>
      <c r="B59" t="s">
        <v>896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697</v>
      </c>
      <c r="B60" t="s">
        <v>896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697</v>
      </c>
      <c r="B61" t="s">
        <v>896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697</v>
      </c>
      <c r="B62" t="s">
        <v>896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90384.587999999989</v>
      </c>
      <c r="Q62" s="232">
        <f ca="1">Calc_Mercado!C13</f>
        <v>90384.587999999989</v>
      </c>
    </row>
    <row r="63" spans="1:17" s="12" customFormat="1" ht="15.75">
      <c r="A63" t="s">
        <v>697</v>
      </c>
      <c r="B63" t="s">
        <v>896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697</v>
      </c>
      <c r="B64" t="s">
        <v>896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54512.429999999993</v>
      </c>
      <c r="Q64" s="232">
        <f ca="1">FornecimentoE_BT</f>
        <v>54512.429999999993</v>
      </c>
    </row>
    <row r="65" spans="1:17" ht="15.75">
      <c r="A65" t="s">
        <v>697</v>
      </c>
      <c r="B65" t="s">
        <v>896</v>
      </c>
      <c r="C65" t="s">
        <v>888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69453986.271459967</v>
      </c>
      <c r="Q65" s="232">
        <f ca="1">Calc_Mercado!D8</f>
        <v>69453986.271459967</v>
      </c>
    </row>
    <row r="66" spans="1:17" ht="15.75">
      <c r="A66" t="s">
        <v>697</v>
      </c>
      <c r="B66" t="s">
        <v>896</v>
      </c>
      <c r="C66" t="s">
        <v>909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697</v>
      </c>
      <c r="B67" t="s">
        <v>896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697</v>
      </c>
      <c r="B68" t="s">
        <v>896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697</v>
      </c>
      <c r="B69" t="s">
        <v>896</v>
      </c>
      <c r="C69" t="s">
        <v>913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697</v>
      </c>
      <c r="B70" t="s">
        <v>896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697</v>
      </c>
      <c r="B71" t="s">
        <v>896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697</v>
      </c>
      <c r="B72" t="s">
        <v>896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697</v>
      </c>
      <c r="B73" t="s">
        <v>896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697</v>
      </c>
      <c r="B74" t="s">
        <v>896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697</v>
      </c>
      <c r="B75" t="s">
        <v>896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34749569.034319989</v>
      </c>
      <c r="Q75" s="232">
        <f ca="1">Calc_Mercado!D13</f>
        <v>34749569.034319989</v>
      </c>
    </row>
    <row r="76" spans="1:17" ht="15.75">
      <c r="A76" t="s">
        <v>697</v>
      </c>
      <c r="B76" t="s">
        <v>896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697</v>
      </c>
      <c r="B77" t="s">
        <v>896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34704417.237139978</v>
      </c>
      <c r="Q77" s="232">
        <f ca="1">Calc_Mercado!D15</f>
        <v>34704417.237139978</v>
      </c>
    </row>
    <row r="78" spans="1:17" ht="15.75">
      <c r="A78" t="s">
        <v>697</v>
      </c>
      <c r="B78" t="s">
        <v>896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696</v>
      </c>
      <c r="B79" t="s">
        <v>896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697</v>
      </c>
      <c r="B80" t="s">
        <v>896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144897.01799999998</v>
      </c>
      <c r="Q80" s="232">
        <f ca="1">LnkTXTEV</f>
        <v>144897.01799999998</v>
      </c>
    </row>
    <row r="81" spans="1:17" ht="15.75">
      <c r="A81" t="s">
        <v>697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30237728.700547267</v>
      </c>
      <c r="Q81" s="232">
        <f>Resultado!D39</f>
        <v>30237728.700547267</v>
      </c>
    </row>
    <row r="82" spans="1:17" ht="15.75">
      <c r="A82" t="s">
        <v>697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1</v>
      </c>
      <c r="Q84" s="232">
        <f ca="1">IF(CAPA!C110="Revisão",1,0)</f>
        <v>1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697</v>
      </c>
      <c r="B86" t="s">
        <v>896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697</v>
      </c>
      <c r="B87" s="16" t="s">
        <v>108</v>
      </c>
      <c r="C87" s="16" t="s">
        <v>746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153598.07499999998</v>
      </c>
      <c r="Q87" s="232">
        <f ca="1">Energia!D5</f>
        <v>153598.07499999998</v>
      </c>
    </row>
    <row r="88" spans="1:17" ht="15.75">
      <c r="A88" s="16" t="s">
        <v>697</v>
      </c>
      <c r="B88" s="16" t="s">
        <v>108</v>
      </c>
      <c r="C88" s="16" t="s">
        <v>746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22227635.335340325</v>
      </c>
      <c r="Q88" s="232">
        <f ca="1">Energia!D15</f>
        <v>22227635.335340325</v>
      </c>
    </row>
    <row r="89" spans="1:17" ht="15.75">
      <c r="A89" s="16" t="s">
        <v>697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47515446.924306095</v>
      </c>
      <c r="Q89" s="232">
        <f ca="1">Resultado!D34</f>
        <v>47515446.924306095</v>
      </c>
    </row>
    <row r="90" spans="1:17" ht="15.75">
      <c r="A90" s="16" t="s">
        <v>697</v>
      </c>
      <c r="B90" s="16" t="s">
        <v>104</v>
      </c>
      <c r="C90" s="16" t="s">
        <v>761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30237728.700547267</v>
      </c>
      <c r="Q90" s="232">
        <f>Resultado!D39</f>
        <v>30237728.700547267</v>
      </c>
    </row>
    <row r="91" spans="1:17" ht="15.75">
      <c r="A91" s="16" t="s">
        <v>697</v>
      </c>
      <c r="B91" s="16" t="s">
        <v>72</v>
      </c>
      <c r="C91" s="16" t="s">
        <v>761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13698098.292825773</v>
      </c>
      <c r="Q91" s="232">
        <f ca="1">Resultado!D14</f>
        <v>13698098.292825773</v>
      </c>
    </row>
    <row r="92" spans="1:17" ht="15.75">
      <c r="A92" s="16" t="s">
        <v>697</v>
      </c>
      <c r="B92" s="16" t="s">
        <v>718</v>
      </c>
      <c r="C92" s="16" t="s">
        <v>761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11589713.29614</v>
      </c>
      <c r="Q92" s="232">
        <f>Resultado!D24</f>
        <v>11589713.29614</v>
      </c>
    </row>
    <row r="93" spans="1:17" ht="15.75">
      <c r="A93" s="16" t="s">
        <v>697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77753175.624853358</v>
      </c>
      <c r="Q93" s="232">
        <f ca="1">Resultado!C5</f>
        <v>77753175.624853358</v>
      </c>
    </row>
    <row r="94" spans="1:17" ht="15.75">
      <c r="A94" s="16" t="s">
        <v>697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697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696</v>
      </c>
      <c r="B96" s="16" t="s">
        <v>108</v>
      </c>
      <c r="C96" s="16" t="s">
        <v>761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21999785.028878268</v>
      </c>
      <c r="Q96" s="232">
        <f ca="1">Resultado!C33</f>
        <v>21999785.028878268</v>
      </c>
    </row>
    <row r="97" spans="1:17" ht="15.75">
      <c r="A97" s="16" t="s">
        <v>696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69453986.271459967</v>
      </c>
      <c r="Q97" s="232">
        <f ca="1">Mercado_RA0_Reais</f>
        <v>69453986.271459967</v>
      </c>
    </row>
    <row r="98" spans="1:17" ht="15.75">
      <c r="A98" s="16" t="s">
        <v>697</v>
      </c>
      <c r="B98" s="16" t="s">
        <v>1290</v>
      </c>
      <c r="C98" s="16" t="s">
        <v>761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-2954449.5903607737</v>
      </c>
      <c r="Q98" s="232">
        <f ca="1">Financeiros!D7</f>
        <v>-2954449.5903607737</v>
      </c>
    </row>
    <row r="99" spans="1:17" ht="15.75">
      <c r="A99" s="16" t="s">
        <v>697</v>
      </c>
      <c r="B99" s="16" t="s">
        <v>1290</v>
      </c>
      <c r="C99" s="16" t="s">
        <v>761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-4.2538229250274374E-2</v>
      </c>
      <c r="Q99" s="232">
        <f ca="1">Financeiros!E7</f>
        <v>-4.2538229250274374E-2</v>
      </c>
    </row>
    <row r="100" spans="1:17" ht="15.75">
      <c r="A100" s="16" t="s">
        <v>697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74798726.034492582</v>
      </c>
      <c r="Q100" s="232">
        <f ca="1">Resultado!C5+Financeiros!D7/(1+IF(Q86&gt;0,Q86,0))</f>
        <v>74798726.034492582</v>
      </c>
    </row>
    <row r="101" spans="1:17" ht="15.75">
      <c r="A101" t="s">
        <v>697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697</v>
      </c>
      <c r="B102" t="s">
        <v>108</v>
      </c>
      <c r="C102" t="s">
        <v>746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153598.07499999998</v>
      </c>
      <c r="Q102" s="232">
        <f ca="1">Energia!D5</f>
        <v>153598.07499999998</v>
      </c>
    </row>
    <row r="103" spans="1:17" ht="15.75">
      <c r="A103" s="16" t="s">
        <v>697</v>
      </c>
      <c r="B103" s="16" t="s">
        <v>108</v>
      </c>
      <c r="C103" s="16" t="s">
        <v>746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22227635.335340325</v>
      </c>
      <c r="Q103" s="232">
        <f ca="1">Energia!D15</f>
        <v>22227635.335340325</v>
      </c>
    </row>
    <row r="104" spans="1:17" ht="15.75">
      <c r="A104" t="s">
        <v>697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8701.0570000000098</v>
      </c>
      <c r="Q104" s="232">
        <f ca="1">SUM(LnkTXTPerdas)</f>
        <v>8701.0570000000098</v>
      </c>
    </row>
    <row r="105" spans="1:17" ht="15.75">
      <c r="A105" s="16" t="s">
        <v>697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335990</v>
      </c>
      <c r="Q105" s="232">
        <f ca="1">SUM(INDIRECT("dados_MercadoBase[D]"))</f>
        <v>335990</v>
      </c>
    </row>
    <row r="106" spans="1:17" ht="15.75">
      <c r="A106" t="s">
        <v>697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144897.01800000007</v>
      </c>
      <c r="Q106" s="232">
        <f ca="1">SUM(INDIRECT("dados_MercadoBase[TUSD_E]"))</f>
        <v>144897.01800000007</v>
      </c>
    </row>
    <row r="107" spans="1:17" ht="15.75">
      <c r="A107" s="16" t="s">
        <v>696</v>
      </c>
      <c r="B107" s="16" t="s">
        <v>718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696</v>
      </c>
      <c r="B108" t="s">
        <v>718</v>
      </c>
      <c r="C108" t="s">
        <v>1182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696</v>
      </c>
      <c r="B109" s="16" t="s">
        <v>718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696</v>
      </c>
      <c r="B110" t="s">
        <v>718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696</v>
      </c>
      <c r="B111" s="16" t="s">
        <v>718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697</v>
      </c>
      <c r="B112" t="s">
        <v>718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697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144897.01800000007</v>
      </c>
      <c r="Q113" s="232">
        <f ca="1">SUM(INDIRECT("dados_MercadoBase[TE_E]"))</f>
        <v>144897.01800000007</v>
      </c>
    </row>
    <row r="114" spans="1:19" ht="15.75">
      <c r="A114" t="s">
        <v>697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697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697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17777668.960000001</v>
      </c>
      <c r="Q116" s="232">
        <f>CAPA!D32</f>
        <v>17777668.960000001</v>
      </c>
      <c r="S116" s="9"/>
    </row>
    <row r="117" spans="1:19" ht="15.75">
      <c r="A117" s="16" t="s">
        <v>697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697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12460295.539999999</v>
      </c>
      <c r="Q118" s="232">
        <f>CAPA!D33</f>
        <v>12460295.539999999</v>
      </c>
    </row>
    <row r="119" spans="1:19" ht="15.75">
      <c r="A119" s="16" t="s">
        <v>697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30237728.700547267</v>
      </c>
      <c r="Q119" s="232">
        <f>Resultado!D39</f>
        <v>30237728.700547267</v>
      </c>
    </row>
    <row r="120" spans="1:19" ht="15.75">
      <c r="A120" t="s">
        <v>697</v>
      </c>
      <c r="B120" t="s">
        <v>1482</v>
      </c>
      <c r="C120" t="s">
        <v>210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289.1950146002817</v>
      </c>
      <c r="Q124" s="232">
        <f>'Tabelas e Gráficos'!BP314</f>
        <v>289.1950146002817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-1668.8800040087615</v>
      </c>
      <c r="Q125" s="232">
        <f>'Tabelas e Gráficos'!BP315</f>
        <v>-1668.8800040087615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-214.46186093767179</v>
      </c>
      <c r="Q126" s="232">
        <f>'Tabelas e Gráficos'!BP316</f>
        <v>-214.46186093767179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565.35926672927974</v>
      </c>
      <c r="Q130" s="232">
        <f>'Tabelas e Gráficos'!BQ314</f>
        <v>565.35926672927974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11911.676987739565</v>
      </c>
      <c r="Q131" s="232">
        <f>'Tabelas e Gráficos'!BQ315</f>
        <v>11911.676987739565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356.90236450469638</v>
      </c>
      <c r="Q132" s="232">
        <f>'Tabelas e Gráficos'!BQ316</f>
        <v>356.90236450469638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854.55428132956149</v>
      </c>
      <c r="Q136" s="232">
        <f>'Tabelas e Gráficos'!BR314</f>
        <v>854.55428132956149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10242.796983730805</v>
      </c>
      <c r="Q137" s="232">
        <f>'Tabelas e Gráficos'!BR315</f>
        <v>10242.796983730805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142.44050356702459</v>
      </c>
      <c r="Q138" s="232">
        <f>'Tabelas e Gráficos'!BR316</f>
        <v>142.44050356702459</v>
      </c>
    </row>
    <row r="139" spans="1:17" ht="15.75">
      <c r="A139" s="845" t="s">
        <v>697</v>
      </c>
      <c r="B139" s="845" t="s">
        <v>72</v>
      </c>
      <c r="C139" s="845" t="s">
        <v>1508</v>
      </c>
      <c r="D139" s="845">
        <v>2</v>
      </c>
      <c r="E139" s="845">
        <v>1</v>
      </c>
      <c r="F139" s="845">
        <v>51</v>
      </c>
      <c r="G139" s="845">
        <v>73</v>
      </c>
      <c r="H139" s="845">
        <v>999</v>
      </c>
      <c r="I139" s="845">
        <v>3</v>
      </c>
      <c r="J139" s="845">
        <v>15</v>
      </c>
      <c r="K139" s="845">
        <v>1</v>
      </c>
      <c r="L139" s="845">
        <v>99</v>
      </c>
      <c r="M139" s="845">
        <v>9</v>
      </c>
      <c r="N139" s="845">
        <v>3</v>
      </c>
      <c r="O139" s="845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5" t="s">
        <v>697</v>
      </c>
      <c r="B140" s="845" t="s">
        <v>108</v>
      </c>
      <c r="C140" s="845" t="str">
        <f>Energia!$B$21</f>
        <v>Angra</v>
      </c>
      <c r="D140" s="845">
        <v>1</v>
      </c>
      <c r="E140" s="845">
        <v>1</v>
      </c>
      <c r="F140" s="845">
        <v>8</v>
      </c>
      <c r="G140" s="845">
        <v>999999</v>
      </c>
      <c r="H140" s="845">
        <v>999</v>
      </c>
      <c r="I140" s="845">
        <v>2</v>
      </c>
      <c r="J140" s="845">
        <v>999</v>
      </c>
      <c r="K140" s="845">
        <v>9</v>
      </c>
      <c r="L140" s="845">
        <v>99</v>
      </c>
      <c r="M140" s="845">
        <v>9</v>
      </c>
      <c r="N140" s="845">
        <v>2</v>
      </c>
      <c r="O140" s="845">
        <v>99999</v>
      </c>
      <c r="P140" s="907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5" t="s">
        <v>697</v>
      </c>
      <c r="B141" s="845" t="s">
        <v>108</v>
      </c>
      <c r="C141" s="845" t="str">
        <f>Energia!B21</f>
        <v>Angra</v>
      </c>
      <c r="D141" s="845">
        <v>1</v>
      </c>
      <c r="E141" s="845">
        <v>1</v>
      </c>
      <c r="F141" s="845">
        <v>8</v>
      </c>
      <c r="G141" s="845">
        <v>999999</v>
      </c>
      <c r="H141" s="845">
        <v>999</v>
      </c>
      <c r="I141" s="845">
        <v>2</v>
      </c>
      <c r="J141" s="845">
        <v>999</v>
      </c>
      <c r="K141" s="845">
        <v>9</v>
      </c>
      <c r="L141" s="845">
        <v>99</v>
      </c>
      <c r="M141" s="845">
        <v>9</v>
      </c>
      <c r="N141" s="845">
        <v>3</v>
      </c>
      <c r="O141" s="845">
        <v>99999</v>
      </c>
      <c r="P141" s="907">
        <f t="shared" ca="1" si="5"/>
        <v>0</v>
      </c>
      <c r="Q141" s="232">
        <f ca="1">Energia!$F$21</f>
        <v>0</v>
      </c>
    </row>
    <row r="142" spans="1:17" ht="15.75">
      <c r="A142" s="845" t="s">
        <v>697</v>
      </c>
      <c r="B142" s="845" t="s">
        <v>108</v>
      </c>
      <c r="C142" s="845" t="str">
        <f>Energia!$B$22</f>
        <v>CCGF</v>
      </c>
      <c r="D142" s="845">
        <v>1</v>
      </c>
      <c r="E142" s="845">
        <v>1</v>
      </c>
      <c r="F142" s="845">
        <v>17</v>
      </c>
      <c r="G142" s="845">
        <v>999999</v>
      </c>
      <c r="H142" s="845">
        <v>999</v>
      </c>
      <c r="I142" s="845">
        <v>2</v>
      </c>
      <c r="J142" s="845">
        <v>999</v>
      </c>
      <c r="K142" s="845">
        <v>9</v>
      </c>
      <c r="L142" s="845">
        <v>99</v>
      </c>
      <c r="M142" s="845">
        <v>9</v>
      </c>
      <c r="N142" s="845">
        <v>2</v>
      </c>
      <c r="O142" s="845">
        <v>0</v>
      </c>
      <c r="P142" s="907">
        <f t="shared" ca="1" si="5"/>
        <v>0</v>
      </c>
      <c r="Q142" s="232">
        <f ca="1">Energia!$C$22</f>
        <v>0</v>
      </c>
    </row>
    <row r="143" spans="1:17" ht="15.75">
      <c r="A143" s="845" t="s">
        <v>697</v>
      </c>
      <c r="B143" s="845" t="s">
        <v>108</v>
      </c>
      <c r="C143" s="845" t="str">
        <f>Energia!$B$22</f>
        <v>CCGF</v>
      </c>
      <c r="D143" s="845">
        <v>1</v>
      </c>
      <c r="E143" s="845">
        <v>1</v>
      </c>
      <c r="F143" s="845">
        <v>17</v>
      </c>
      <c r="G143" s="845">
        <v>999999</v>
      </c>
      <c r="H143" s="845">
        <v>999</v>
      </c>
      <c r="I143" s="845">
        <v>2</v>
      </c>
      <c r="J143" s="845">
        <v>999</v>
      </c>
      <c r="K143" s="845">
        <v>9</v>
      </c>
      <c r="L143" s="845">
        <v>99</v>
      </c>
      <c r="M143" s="845">
        <v>9</v>
      </c>
      <c r="N143" s="845">
        <v>3</v>
      </c>
      <c r="O143" s="845">
        <v>0</v>
      </c>
      <c r="P143" s="907">
        <f t="shared" ca="1" si="5"/>
        <v>0</v>
      </c>
      <c r="Q143" s="232">
        <f ca="1">Energia!$F$22</f>
        <v>0</v>
      </c>
    </row>
    <row r="144" spans="1:17" ht="15.75">
      <c r="A144" s="845" t="s">
        <v>697</v>
      </c>
      <c r="B144" s="845" t="s">
        <v>72</v>
      </c>
      <c r="C144" s="845" t="s">
        <v>2055</v>
      </c>
      <c r="D144" s="845">
        <v>1</v>
      </c>
      <c r="E144" s="845">
        <v>1</v>
      </c>
      <c r="F144" s="845">
        <v>999</v>
      </c>
      <c r="G144" s="845">
        <v>999999</v>
      </c>
      <c r="H144" s="845">
        <v>999</v>
      </c>
      <c r="I144" s="845">
        <v>3</v>
      </c>
      <c r="J144" s="845">
        <v>35</v>
      </c>
      <c r="K144" s="845">
        <v>9</v>
      </c>
      <c r="L144" s="845">
        <v>99</v>
      </c>
      <c r="M144" s="845">
        <v>9</v>
      </c>
      <c r="N144" s="845">
        <v>3</v>
      </c>
      <c r="O144" s="845">
        <v>99999</v>
      </c>
      <c r="P144" s="907">
        <f>IF(ISNUMBER(Q144),Q144,0)</f>
        <v>0</v>
      </c>
      <c r="Q144" s="232">
        <f>Encargos!L17</f>
        <v>0</v>
      </c>
    </row>
    <row r="145" spans="1:17" ht="15.75">
      <c r="A145" s="845" t="s">
        <v>697</v>
      </c>
      <c r="B145" s="845" t="s">
        <v>72</v>
      </c>
      <c r="C145" s="845" t="s">
        <v>2057</v>
      </c>
      <c r="D145" s="845">
        <v>2</v>
      </c>
      <c r="E145" s="845">
        <v>1</v>
      </c>
      <c r="F145" s="845">
        <v>51</v>
      </c>
      <c r="G145" s="845">
        <v>999999</v>
      </c>
      <c r="H145" s="845">
        <v>999</v>
      </c>
      <c r="I145" s="845">
        <v>3</v>
      </c>
      <c r="J145" s="845">
        <v>28</v>
      </c>
      <c r="K145" s="845">
        <v>2</v>
      </c>
      <c r="L145" s="845">
        <v>99</v>
      </c>
      <c r="M145" s="845">
        <v>9</v>
      </c>
      <c r="N145" s="845">
        <v>3</v>
      </c>
      <c r="O145" s="845">
        <v>99999</v>
      </c>
      <c r="P145" s="907">
        <f>IF(ISNUMBER(Q145),Q145,0)</f>
        <v>0</v>
      </c>
      <c r="Q145" s="232">
        <f>Encargos!I21</f>
        <v>0</v>
      </c>
    </row>
    <row r="146" spans="1:17" ht="15.75">
      <c r="A146" s="845" t="s">
        <v>1461</v>
      </c>
      <c r="B146" s="845" t="s">
        <v>108</v>
      </c>
      <c r="C146" s="845" t="s">
        <v>2164</v>
      </c>
      <c r="D146" s="845">
        <v>3</v>
      </c>
      <c r="E146" s="845">
        <v>1</v>
      </c>
      <c r="F146" s="845">
        <v>37</v>
      </c>
      <c r="G146" s="845">
        <v>999999</v>
      </c>
      <c r="H146" s="845">
        <v>999</v>
      </c>
      <c r="I146" s="845">
        <v>99</v>
      </c>
      <c r="J146" s="845">
        <v>999</v>
      </c>
      <c r="K146" s="845">
        <v>9</v>
      </c>
      <c r="L146" s="845">
        <v>99</v>
      </c>
      <c r="M146" s="845">
        <v>9</v>
      </c>
      <c r="N146" s="845">
        <v>8</v>
      </c>
      <c r="O146" s="845">
        <v>99999</v>
      </c>
      <c r="P146" s="907">
        <f ca="1">IF(ISNUMBER(Q146),Q146,0)</f>
        <v>6.9400089234762805E-2</v>
      </c>
      <c r="Q146" s="232">
        <f ca="1">Energia!L35</f>
        <v>6.9400089234762805E-2</v>
      </c>
    </row>
    <row r="147" spans="1:17" ht="15.75">
      <c r="A147" s="845" t="s">
        <v>697</v>
      </c>
      <c r="B147" s="845" t="s">
        <v>1290</v>
      </c>
      <c r="C147" s="845" t="str">
        <f>Financeiros!C9</f>
        <v>Repasse de PIS COFINS CUSD</v>
      </c>
      <c r="D147" s="845">
        <v>2</v>
      </c>
      <c r="E147" s="845">
        <v>2</v>
      </c>
      <c r="F147" s="845">
        <f>Financeiros!H9</f>
        <v>22</v>
      </c>
      <c r="G147" s="845">
        <f>Financeiros!I9</f>
        <v>60</v>
      </c>
      <c r="H147" s="845">
        <f>Financeiros!J9</f>
        <v>999</v>
      </c>
      <c r="I147" s="845">
        <f>Financeiros!K9</f>
        <v>1</v>
      </c>
      <c r="J147" s="845">
        <f>Financeiros!L9</f>
        <v>7</v>
      </c>
      <c r="K147" s="845">
        <f>Financeiros!M9</f>
        <v>9</v>
      </c>
      <c r="L147" s="845">
        <v>99</v>
      </c>
      <c r="M147" s="845">
        <v>9</v>
      </c>
      <c r="N147" s="845">
        <v>3</v>
      </c>
      <c r="O147" s="845">
        <v>99999</v>
      </c>
      <c r="P147" s="907">
        <f t="shared" si="5"/>
        <v>365137.38193692808</v>
      </c>
      <c r="Q147" s="232">
        <f>Financeiros!D9</f>
        <v>365137.38193692808</v>
      </c>
    </row>
    <row r="148" spans="1:17" ht="15.75">
      <c r="A148" s="845" t="s">
        <v>697</v>
      </c>
      <c r="B148" s="845" t="s">
        <v>1290</v>
      </c>
      <c r="C148" s="845" t="str">
        <f>Financeiros!C10</f>
        <v>Repasse de PIS COFINS TE - Energia - Energia de Revenda</v>
      </c>
      <c r="D148" s="845">
        <v>2</v>
      </c>
      <c r="E148" s="845">
        <v>2</v>
      </c>
      <c r="F148" s="845">
        <f>Financeiros!H10</f>
        <v>22</v>
      </c>
      <c r="G148" s="845">
        <f>Financeiros!I10</f>
        <v>60</v>
      </c>
      <c r="H148" s="845">
        <f>Financeiros!J10</f>
        <v>999</v>
      </c>
      <c r="I148" s="845">
        <f>Financeiros!K10</f>
        <v>2</v>
      </c>
      <c r="J148" s="845">
        <f>Financeiros!L10</f>
        <v>11</v>
      </c>
      <c r="K148" s="845">
        <f>Financeiros!M10</f>
        <v>9</v>
      </c>
      <c r="L148" s="845">
        <v>99</v>
      </c>
      <c r="M148" s="845">
        <v>9</v>
      </c>
      <c r="N148" s="845">
        <v>3</v>
      </c>
      <c r="O148" s="845">
        <v>99999</v>
      </c>
      <c r="P148" s="907">
        <f t="shared" ref="P148:P211" ca="1" si="6">IF(ISNUMBER(Q148),Q148,0)</f>
        <v>712757.43094850751</v>
      </c>
      <c r="Q148" s="232">
        <f ca="1">Financeiros!D10</f>
        <v>712757.43094850751</v>
      </c>
    </row>
    <row r="149" spans="1:17" ht="15.75">
      <c r="A149" s="845" t="s">
        <v>697</v>
      </c>
      <c r="B149" s="845" t="s">
        <v>1290</v>
      </c>
      <c r="C149" s="845" t="str">
        <f>Financeiros!C11</f>
        <v>Repasse de PIS COFINS TE - Energia - Perda Não Técnica</v>
      </c>
      <c r="D149" s="845">
        <v>2</v>
      </c>
      <c r="E149" s="845">
        <v>2</v>
      </c>
      <c r="F149" s="845">
        <f>Financeiros!H11</f>
        <v>22</v>
      </c>
      <c r="G149" s="845">
        <f>Financeiros!I11</f>
        <v>60</v>
      </c>
      <c r="H149" s="845">
        <f>Financeiros!J11</f>
        <v>999</v>
      </c>
      <c r="I149" s="845">
        <f>Financeiros!K11</f>
        <v>2</v>
      </c>
      <c r="J149" s="845">
        <f>Financeiros!L11</f>
        <v>9</v>
      </c>
      <c r="K149" s="845">
        <f>Financeiros!M11</f>
        <v>9</v>
      </c>
      <c r="L149" s="845">
        <v>99</v>
      </c>
      <c r="M149" s="845">
        <v>9</v>
      </c>
      <c r="N149" s="845">
        <v>3</v>
      </c>
      <c r="O149" s="845">
        <v>99999</v>
      </c>
      <c r="P149" s="907">
        <f t="shared" ca="1" si="6"/>
        <v>0</v>
      </c>
      <c r="Q149" s="232">
        <f ca="1">Financeiros!D11</f>
        <v>0</v>
      </c>
    </row>
    <row r="150" spans="1:17" ht="15.75">
      <c r="A150" s="845" t="s">
        <v>697</v>
      </c>
      <c r="B150" s="845" t="s">
        <v>1290</v>
      </c>
      <c r="C150" s="845" t="str">
        <f>Financeiros!C12</f>
        <v>Repasse de PIS COFINS TE - Energia - Perda Técnica</v>
      </c>
      <c r="D150" s="845">
        <v>2</v>
      </c>
      <c r="E150" s="845">
        <v>2</v>
      </c>
      <c r="F150" s="845">
        <f>Financeiros!H12</f>
        <v>22</v>
      </c>
      <c r="G150" s="845">
        <f>Financeiros!I12</f>
        <v>60</v>
      </c>
      <c r="H150" s="845">
        <f>Financeiros!J12</f>
        <v>999</v>
      </c>
      <c r="I150" s="845">
        <f>Financeiros!K12</f>
        <v>2</v>
      </c>
      <c r="J150" s="845">
        <f>Financeiros!L12</f>
        <v>8</v>
      </c>
      <c r="K150" s="845">
        <f>Financeiros!M12</f>
        <v>9</v>
      </c>
      <c r="L150" s="845">
        <v>99</v>
      </c>
      <c r="M150" s="845">
        <v>9</v>
      </c>
      <c r="N150" s="845">
        <v>3</v>
      </c>
      <c r="O150" s="845">
        <v>99999</v>
      </c>
      <c r="P150" s="907">
        <f t="shared" ca="1" si="6"/>
        <v>42801.039796806137</v>
      </c>
      <c r="Q150" s="232">
        <f ca="1">Financeiros!D12</f>
        <v>42801.039796806137</v>
      </c>
    </row>
    <row r="151" spans="1:17" ht="15.75">
      <c r="A151" s="845" t="s">
        <v>697</v>
      </c>
      <c r="B151" s="845" t="s">
        <v>1290</v>
      </c>
      <c r="C151" s="845" t="str">
        <f>Financeiros!C13</f>
        <v>Repasse de PIS COFINS TE - Energia - Perda Rede Básica sobre Dist.</v>
      </c>
      <c r="D151" s="845">
        <v>2</v>
      </c>
      <c r="E151" s="845">
        <v>2</v>
      </c>
      <c r="F151" s="845">
        <f>Financeiros!H13</f>
        <v>22</v>
      </c>
      <c r="G151" s="845">
        <f>Financeiros!I13</f>
        <v>60</v>
      </c>
      <c r="H151" s="845">
        <f>Financeiros!J13</f>
        <v>999</v>
      </c>
      <c r="I151" s="845">
        <f>Financeiros!K13</f>
        <v>2</v>
      </c>
      <c r="J151" s="845">
        <f>Financeiros!L13</f>
        <v>10</v>
      </c>
      <c r="K151" s="845">
        <f>Financeiros!M13</f>
        <v>9</v>
      </c>
      <c r="L151" s="845">
        <v>99</v>
      </c>
      <c r="M151" s="845">
        <v>9</v>
      </c>
      <c r="N151" s="845">
        <v>3</v>
      </c>
      <c r="O151" s="845">
        <v>99999</v>
      </c>
      <c r="P151" s="907">
        <f t="shared" ca="1" si="6"/>
        <v>0</v>
      </c>
      <c r="Q151" s="232">
        <f ca="1">Financeiros!D13</f>
        <v>0</v>
      </c>
    </row>
    <row r="152" spans="1:17" ht="15.75">
      <c r="A152" s="845" t="s">
        <v>697</v>
      </c>
      <c r="B152" s="845" t="s">
        <v>1290</v>
      </c>
      <c r="C152" s="845" t="str">
        <f>Financeiros!C14</f>
        <v>Repasse de PIS COFINS TE - Energia - Perda Rede Básica sobre mercado Cat.</v>
      </c>
      <c r="D152" s="845">
        <v>2</v>
      </c>
      <c r="E152" s="845">
        <v>2</v>
      </c>
      <c r="F152" s="845">
        <f>Financeiros!H14</f>
        <v>22</v>
      </c>
      <c r="G152" s="845">
        <f>Financeiros!I14</f>
        <v>60</v>
      </c>
      <c r="H152" s="845">
        <f>Financeiros!J14</f>
        <v>999</v>
      </c>
      <c r="I152" s="845">
        <f>Financeiros!K14</f>
        <v>2</v>
      </c>
      <c r="J152" s="845">
        <f>Financeiros!L14</f>
        <v>24</v>
      </c>
      <c r="K152" s="845">
        <f>Financeiros!M14</f>
        <v>9</v>
      </c>
      <c r="L152" s="845">
        <v>99</v>
      </c>
      <c r="M152" s="845">
        <v>9</v>
      </c>
      <c r="N152" s="845">
        <v>3</v>
      </c>
      <c r="O152" s="845">
        <v>99999</v>
      </c>
      <c r="P152" s="907">
        <f t="shared" ca="1" si="6"/>
        <v>0</v>
      </c>
      <c r="Q152" s="232">
        <f ca="1">Financeiros!D14</f>
        <v>0</v>
      </c>
    </row>
    <row r="153" spans="1:17" ht="15.75">
      <c r="A153" s="845" t="s">
        <v>697</v>
      </c>
      <c r="B153" s="845" t="s">
        <v>1290</v>
      </c>
      <c r="C153" s="845" t="str">
        <f>Financeiros!C15</f>
        <v>(Neutralidade) TFSEE</v>
      </c>
      <c r="D153" s="845">
        <v>2</v>
      </c>
      <c r="E153" s="845">
        <v>2</v>
      </c>
      <c r="F153" s="845">
        <f>Financeiros!H15</f>
        <v>20</v>
      </c>
      <c r="G153" s="845">
        <f>Financeiros!I15</f>
        <v>60</v>
      </c>
      <c r="H153" s="845">
        <f>Financeiros!J15</f>
        <v>999</v>
      </c>
      <c r="I153" s="845">
        <f>Financeiros!K15</f>
        <v>3</v>
      </c>
      <c r="J153" s="845">
        <f>Financeiros!L15</f>
        <v>14</v>
      </c>
      <c r="K153" s="845">
        <f>Financeiros!M15</f>
        <v>9</v>
      </c>
      <c r="L153" s="845">
        <v>99</v>
      </c>
      <c r="M153" s="845">
        <v>9</v>
      </c>
      <c r="N153" s="845">
        <v>3</v>
      </c>
      <c r="O153" s="845">
        <v>99999</v>
      </c>
      <c r="P153" s="907">
        <f t="shared" ca="1" si="6"/>
        <v>-3652.6782808927237</v>
      </c>
      <c r="Q153" s="232">
        <f ca="1">Financeiros!D15</f>
        <v>-3652.6782808927237</v>
      </c>
    </row>
    <row r="154" spans="1:17" ht="15.75">
      <c r="A154" s="845" t="s">
        <v>697</v>
      </c>
      <c r="B154" s="845" t="s">
        <v>1290</v>
      </c>
      <c r="C154" s="845" t="str">
        <f>Financeiros!C16</f>
        <v>(Neutralidade) CDE</v>
      </c>
      <c r="D154" s="845">
        <v>2</v>
      </c>
      <c r="E154" s="845">
        <v>2</v>
      </c>
      <c r="F154" s="845">
        <f>Financeiros!H16</f>
        <v>20</v>
      </c>
      <c r="G154" s="845">
        <f>Financeiros!I16</f>
        <v>60</v>
      </c>
      <c r="H154" s="845">
        <f>Financeiros!J16</f>
        <v>999</v>
      </c>
      <c r="I154" s="845">
        <f>Financeiros!K16</f>
        <v>3</v>
      </c>
      <c r="J154" s="845">
        <f>Financeiros!L16</f>
        <v>15</v>
      </c>
      <c r="K154" s="845">
        <f>Financeiros!M16</f>
        <v>9</v>
      </c>
      <c r="L154" s="845">
        <v>99</v>
      </c>
      <c r="M154" s="845">
        <v>9</v>
      </c>
      <c r="N154" s="845">
        <v>3</v>
      </c>
      <c r="O154" s="845">
        <v>99999</v>
      </c>
      <c r="P154" s="907">
        <f t="shared" ca="1" si="6"/>
        <v>-349542.0553979844</v>
      </c>
      <c r="Q154" s="232">
        <f ca="1">Financeiros!D16</f>
        <v>-349542.0553979844</v>
      </c>
    </row>
    <row r="155" spans="1:17" ht="15.75">
      <c r="A155" s="845" t="s">
        <v>697</v>
      </c>
      <c r="B155" s="845" t="s">
        <v>1290</v>
      </c>
      <c r="C155" s="845" t="str">
        <f>Financeiros!C17</f>
        <v>(Neutralidade) CFURH</v>
      </c>
      <c r="D155" s="845">
        <v>2</v>
      </c>
      <c r="E155" s="845">
        <v>2</v>
      </c>
      <c r="F155" s="845">
        <f>Financeiros!H17</f>
        <v>20</v>
      </c>
      <c r="G155" s="845">
        <f>Financeiros!I17</f>
        <v>60</v>
      </c>
      <c r="H155" s="845">
        <f>Financeiros!J17</f>
        <v>999</v>
      </c>
      <c r="I155" s="845">
        <f>Financeiros!K17</f>
        <v>3</v>
      </c>
      <c r="J155" s="845">
        <f>Financeiros!L17</f>
        <v>16</v>
      </c>
      <c r="K155" s="845">
        <f>Financeiros!M17</f>
        <v>9</v>
      </c>
      <c r="L155" s="845">
        <v>99</v>
      </c>
      <c r="M155" s="845">
        <v>9</v>
      </c>
      <c r="N155" s="845">
        <v>3</v>
      </c>
      <c r="O155" s="845">
        <v>99999</v>
      </c>
      <c r="P155" s="907">
        <f t="shared" si="6"/>
        <v>0</v>
      </c>
      <c r="Q155" s="232">
        <f>Financeiros!D17</f>
        <v>0</v>
      </c>
    </row>
    <row r="156" spans="1:17" ht="15.75">
      <c r="A156" s="845" t="s">
        <v>697</v>
      </c>
      <c r="B156" s="845" t="s">
        <v>1290</v>
      </c>
      <c r="C156" s="845" t="str">
        <f>Financeiros!C18</f>
        <v>(Neutralidade) ESS/ERR</v>
      </c>
      <c r="D156" s="845">
        <v>2</v>
      </c>
      <c r="E156" s="845">
        <v>2</v>
      </c>
      <c r="F156" s="845">
        <f>Financeiros!H18</f>
        <v>20</v>
      </c>
      <c r="G156" s="845">
        <f>Financeiros!I18</f>
        <v>60</v>
      </c>
      <c r="H156" s="845">
        <f>Financeiros!J18</f>
        <v>999</v>
      </c>
      <c r="I156" s="845">
        <f>Financeiros!K18</f>
        <v>3</v>
      </c>
      <c r="J156" s="845">
        <f>Financeiros!L18</f>
        <v>17</v>
      </c>
      <c r="K156" s="845">
        <f>Financeiros!M18</f>
        <v>9</v>
      </c>
      <c r="L156" s="845">
        <v>99</v>
      </c>
      <c r="M156" s="845">
        <v>9</v>
      </c>
      <c r="N156" s="845">
        <v>3</v>
      </c>
      <c r="O156" s="845">
        <v>99999</v>
      </c>
      <c r="P156" s="907">
        <f t="shared" ca="1" si="6"/>
        <v>0</v>
      </c>
      <c r="Q156" s="232">
        <f ca="1">Financeiros!D18</f>
        <v>0</v>
      </c>
    </row>
    <row r="157" spans="1:17" ht="15.75">
      <c r="A157" s="845" t="s">
        <v>697</v>
      </c>
      <c r="B157" s="845" t="s">
        <v>1290</v>
      </c>
      <c r="C157" s="845" t="str">
        <f>Financeiros!C19</f>
        <v>(Neutralidade) PROINFA</v>
      </c>
      <c r="D157" s="845">
        <v>2</v>
      </c>
      <c r="E157" s="845">
        <v>2</v>
      </c>
      <c r="F157" s="845">
        <f>Financeiros!H19</f>
        <v>20</v>
      </c>
      <c r="G157" s="845">
        <f>Financeiros!I19</f>
        <v>60</v>
      </c>
      <c r="H157" s="845">
        <f>Financeiros!J19</f>
        <v>999</v>
      </c>
      <c r="I157" s="845">
        <f>Financeiros!K19</f>
        <v>3</v>
      </c>
      <c r="J157" s="845">
        <f>Financeiros!L19</f>
        <v>18</v>
      </c>
      <c r="K157" s="845">
        <f>Financeiros!M19</f>
        <v>9</v>
      </c>
      <c r="L157" s="845">
        <v>99</v>
      </c>
      <c r="M157" s="845">
        <v>9</v>
      </c>
      <c r="N157" s="845">
        <v>3</v>
      </c>
      <c r="O157" s="845">
        <v>99999</v>
      </c>
      <c r="P157" s="907">
        <f t="shared" ca="1" si="6"/>
        <v>-61869.648417803073</v>
      </c>
      <c r="Q157" s="232">
        <f ca="1">Financeiros!D19</f>
        <v>-61869.648417803073</v>
      </c>
    </row>
    <row r="158" spans="1:17" ht="15.75">
      <c r="A158" s="845" t="s">
        <v>697</v>
      </c>
      <c r="B158" s="845" t="s">
        <v>1290</v>
      </c>
      <c r="C158" s="845" t="str">
        <f>Financeiros!C20</f>
        <v>(Neutralidade) CDE COVID</v>
      </c>
      <c r="D158" s="845">
        <v>2</v>
      </c>
      <c r="E158" s="845">
        <v>2</v>
      </c>
      <c r="F158" s="845">
        <f>Financeiros!H20</f>
        <v>20</v>
      </c>
      <c r="G158" s="845">
        <f>Financeiros!I20</f>
        <v>60</v>
      </c>
      <c r="H158" s="845">
        <f>Financeiros!J20</f>
        <v>999</v>
      </c>
      <c r="I158" s="845">
        <f>Financeiros!K20</f>
        <v>3</v>
      </c>
      <c r="J158" s="845">
        <f>Financeiros!L20</f>
        <v>12</v>
      </c>
      <c r="K158" s="845">
        <f>Financeiros!M20</f>
        <v>9</v>
      </c>
      <c r="L158" s="845">
        <v>99</v>
      </c>
      <c r="M158" s="845">
        <v>9</v>
      </c>
      <c r="N158" s="845">
        <v>3</v>
      </c>
      <c r="O158" s="845">
        <v>99999</v>
      </c>
      <c r="P158" s="907">
        <f t="shared" ca="1" si="6"/>
        <v>0</v>
      </c>
      <c r="Q158" s="232">
        <f ca="1">Financeiros!D20</f>
        <v>0</v>
      </c>
    </row>
    <row r="159" spans="1:17" ht="15.75">
      <c r="A159" s="845" t="s">
        <v>697</v>
      </c>
      <c r="B159" s="845" t="s">
        <v>1290</v>
      </c>
      <c r="C159" s="845" t="str">
        <f>Financeiros!C21</f>
        <v>(Neutralidade) P&amp;D</v>
      </c>
      <c r="D159" s="845">
        <v>2</v>
      </c>
      <c r="E159" s="845">
        <v>2</v>
      </c>
      <c r="F159" s="845">
        <f>Financeiros!H21</f>
        <v>20</v>
      </c>
      <c r="G159" s="845">
        <f>Financeiros!I21</f>
        <v>60</v>
      </c>
      <c r="H159" s="845">
        <f>Financeiros!J21</f>
        <v>999</v>
      </c>
      <c r="I159" s="845">
        <f>Financeiros!K21</f>
        <v>3</v>
      </c>
      <c r="J159" s="845">
        <f>Financeiros!L21</f>
        <v>19</v>
      </c>
      <c r="K159" s="845">
        <f>Financeiros!M21</f>
        <v>9</v>
      </c>
      <c r="L159" s="845">
        <v>99</v>
      </c>
      <c r="M159" s="845">
        <v>9</v>
      </c>
      <c r="N159" s="845">
        <v>3</v>
      </c>
      <c r="O159" s="845">
        <v>99999</v>
      </c>
      <c r="P159" s="907">
        <f t="shared" ca="1" si="6"/>
        <v>0</v>
      </c>
      <c r="Q159" s="232">
        <f ca="1">Financeiros!D21</f>
        <v>0</v>
      </c>
    </row>
    <row r="160" spans="1:17" ht="15.75">
      <c r="A160" s="845" t="s">
        <v>697</v>
      </c>
      <c r="B160" s="845" t="s">
        <v>1290</v>
      </c>
      <c r="C160" s="845" t="str">
        <f>Financeiros!C22</f>
        <v>(Neutralidade)Financeiro Covid</v>
      </c>
      <c r="D160" s="845">
        <v>2</v>
      </c>
      <c r="E160" s="845">
        <v>2</v>
      </c>
      <c r="F160" s="845">
        <f>Financeiros!H22</f>
        <v>20</v>
      </c>
      <c r="G160" s="845">
        <f>Financeiros!I22</f>
        <v>60</v>
      </c>
      <c r="H160" s="845">
        <f>Financeiros!J22</f>
        <v>999</v>
      </c>
      <c r="I160" s="845">
        <f>Financeiros!K22</f>
        <v>4</v>
      </c>
      <c r="J160" s="845">
        <f>Financeiros!L22</f>
        <v>999</v>
      </c>
      <c r="K160" s="845">
        <f>Financeiros!M22</f>
        <v>9</v>
      </c>
      <c r="L160" s="845">
        <v>99</v>
      </c>
      <c r="M160" s="845">
        <v>9</v>
      </c>
      <c r="N160" s="845">
        <v>3</v>
      </c>
      <c r="O160" s="845">
        <v>99999</v>
      </c>
      <c r="P160" s="907">
        <f t="shared" ca="1" si="6"/>
        <v>0</v>
      </c>
      <c r="Q160" s="232">
        <f ca="1">Financeiros!D22</f>
        <v>0</v>
      </c>
    </row>
    <row r="161" spans="1:17" ht="15.75">
      <c r="A161" s="845" t="s">
        <v>697</v>
      </c>
      <c r="B161" s="845" t="s">
        <v>1290</v>
      </c>
      <c r="C161" s="845" t="str">
        <f>Financeiros!C23</f>
        <v>(Neutralidade)Crédito Pis Cofins</v>
      </c>
      <c r="D161" s="845">
        <v>2</v>
      </c>
      <c r="E161" s="845">
        <v>2</v>
      </c>
      <c r="F161" s="845">
        <f>Financeiros!H23</f>
        <v>20</v>
      </c>
      <c r="G161" s="845">
        <f>Financeiros!I23</f>
        <v>60</v>
      </c>
      <c r="H161" s="845">
        <f>Financeiros!J23</f>
        <v>179</v>
      </c>
      <c r="I161" s="845">
        <f>Financeiros!K23</f>
        <v>99</v>
      </c>
      <c r="J161" s="845">
        <f>Financeiros!L23</f>
        <v>999</v>
      </c>
      <c r="K161" s="845">
        <f>Financeiros!M23</f>
        <v>3</v>
      </c>
      <c r="L161" s="845">
        <v>99</v>
      </c>
      <c r="M161" s="845">
        <v>9</v>
      </c>
      <c r="N161" s="845">
        <v>3</v>
      </c>
      <c r="O161" s="845">
        <v>99999</v>
      </c>
      <c r="P161" s="907">
        <f t="shared" ca="1" si="6"/>
        <v>0</v>
      </c>
      <c r="Q161" s="232">
        <f ca="1">Financeiros!D23</f>
        <v>0</v>
      </c>
    </row>
    <row r="162" spans="1:17" ht="15.75">
      <c r="A162" s="845" t="s">
        <v>697</v>
      </c>
      <c r="B162" s="845" t="s">
        <v>1290</v>
      </c>
      <c r="C162" s="845" t="str">
        <f>Financeiros!C24</f>
        <v>Ajuste CUST RB + PIS Cofins RB</v>
      </c>
      <c r="D162" s="845">
        <v>2</v>
      </c>
      <c r="E162" s="845">
        <v>2</v>
      </c>
      <c r="F162" s="845">
        <f>Financeiros!H24</f>
        <v>22</v>
      </c>
      <c r="G162" s="845">
        <f>Financeiros!I24</f>
        <v>60</v>
      </c>
      <c r="H162" s="845">
        <f>Financeiros!J24</f>
        <v>999</v>
      </c>
      <c r="I162" s="845">
        <f>Financeiros!K24</f>
        <v>1</v>
      </c>
      <c r="J162" s="845">
        <f>Financeiros!L24</f>
        <v>1</v>
      </c>
      <c r="K162" s="845">
        <f>Financeiros!M24</f>
        <v>9</v>
      </c>
      <c r="L162" s="845">
        <v>99</v>
      </c>
      <c r="M162" s="845">
        <v>9</v>
      </c>
      <c r="N162" s="845">
        <v>3</v>
      </c>
      <c r="O162" s="845">
        <v>99999</v>
      </c>
      <c r="P162" s="907">
        <f t="shared" si="6"/>
        <v>0</v>
      </c>
      <c r="Q162" s="232">
        <f>Financeiros!D24</f>
        <v>0</v>
      </c>
    </row>
    <row r="163" spans="1:17" ht="15.75">
      <c r="A163" s="845" t="s">
        <v>697</v>
      </c>
      <c r="B163" s="845" t="s">
        <v>1290</v>
      </c>
      <c r="C163" s="845" t="str">
        <f>Financeiros!C25</f>
        <v>Ajuste CUST RB Fronteira + PIS Cofins RB Fronteira</v>
      </c>
      <c r="D163" s="845">
        <v>2</v>
      </c>
      <c r="E163" s="845">
        <v>2</v>
      </c>
      <c r="F163" s="845">
        <f>Financeiros!H25</f>
        <v>22</v>
      </c>
      <c r="G163" s="845">
        <f>Financeiros!I25</f>
        <v>60</v>
      </c>
      <c r="H163" s="845">
        <f>Financeiros!J25</f>
        <v>999</v>
      </c>
      <c r="I163" s="845">
        <f>Financeiros!K25</f>
        <v>1</v>
      </c>
      <c r="J163" s="845">
        <f>Financeiros!L25</f>
        <v>2</v>
      </c>
      <c r="K163" s="845">
        <f>Financeiros!M25</f>
        <v>9</v>
      </c>
      <c r="L163" s="845">
        <v>99</v>
      </c>
      <c r="M163" s="845">
        <v>9</v>
      </c>
      <c r="N163" s="845">
        <v>3</v>
      </c>
      <c r="O163" s="845">
        <v>99999</v>
      </c>
      <c r="P163" s="907">
        <f t="shared" si="6"/>
        <v>0</v>
      </c>
      <c r="Q163" s="232">
        <f>Financeiros!D25</f>
        <v>0</v>
      </c>
    </row>
    <row r="164" spans="1:17" ht="15.75">
      <c r="A164" s="845" t="s">
        <v>697</v>
      </c>
      <c r="B164" s="845" t="s">
        <v>1290</v>
      </c>
      <c r="C164" s="845" t="str">
        <f>Financeiros!C26</f>
        <v>Manual de Contabilidade do Setor Elétrico</v>
      </c>
      <c r="D164" s="845">
        <v>2</v>
      </c>
      <c r="E164" s="845">
        <v>2</v>
      </c>
      <c r="F164" s="845">
        <f>Financeiros!H26</f>
        <v>22</v>
      </c>
      <c r="G164" s="845">
        <f>Financeiros!I26</f>
        <v>60</v>
      </c>
      <c r="H164" s="845">
        <f>Financeiros!J26</f>
        <v>167</v>
      </c>
      <c r="I164" s="845">
        <f>Financeiros!K26</f>
        <v>4</v>
      </c>
      <c r="J164" s="845">
        <f>Financeiros!L26</f>
        <v>999</v>
      </c>
      <c r="K164" s="845">
        <f>Financeiros!M26</f>
        <v>9</v>
      </c>
      <c r="L164" s="845">
        <v>99</v>
      </c>
      <c r="M164" s="845">
        <v>9</v>
      </c>
      <c r="N164" s="845">
        <v>3</v>
      </c>
      <c r="O164" s="845">
        <v>99999</v>
      </c>
      <c r="P164" s="907">
        <f t="shared" si="6"/>
        <v>0</v>
      </c>
      <c r="Q164" s="232">
        <f>Financeiros!D26</f>
        <v>0</v>
      </c>
    </row>
    <row r="165" spans="1:17" ht="15.75">
      <c r="A165" s="845" t="s">
        <v>697</v>
      </c>
      <c r="B165" s="845" t="s">
        <v>1290</v>
      </c>
      <c r="C165" s="845" t="str">
        <f>Financeiros!C27</f>
        <v>Financeiro CDE Eletrobras</v>
      </c>
      <c r="D165" s="845">
        <v>2</v>
      </c>
      <c r="E165" s="845">
        <v>2</v>
      </c>
      <c r="F165" s="845">
        <f>Financeiros!H27</f>
        <v>22</v>
      </c>
      <c r="G165" s="845">
        <f>Financeiros!I27</f>
        <v>60</v>
      </c>
      <c r="H165" s="845">
        <f>Financeiros!J27</f>
        <v>999</v>
      </c>
      <c r="I165" s="845">
        <f>Financeiros!K27</f>
        <v>3</v>
      </c>
      <c r="J165" s="845">
        <f>Financeiros!L27</f>
        <v>28</v>
      </c>
      <c r="K165" s="845">
        <f>Financeiros!M27</f>
        <v>9</v>
      </c>
      <c r="L165" s="845">
        <v>99</v>
      </c>
      <c r="M165" s="845">
        <v>9</v>
      </c>
      <c r="N165" s="845">
        <v>3</v>
      </c>
      <c r="O165" s="845">
        <v>99999</v>
      </c>
      <c r="P165" s="907">
        <f t="shared" si="6"/>
        <v>0</v>
      </c>
      <c r="Q165" s="232">
        <f>Financeiros!D27</f>
        <v>0</v>
      </c>
    </row>
    <row r="166" spans="1:17" ht="15.75">
      <c r="A166" s="845" t="s">
        <v>697</v>
      </c>
      <c r="B166" s="845" t="s">
        <v>1290</v>
      </c>
      <c r="C166" s="845" t="str">
        <f>Financeiros!C28</f>
        <v>Ajustes Processos anteriores</v>
      </c>
      <c r="D166" s="845">
        <v>2</v>
      </c>
      <c r="E166" s="845">
        <v>2</v>
      </c>
      <c r="F166" s="845">
        <f>Financeiros!H28</f>
        <v>22</v>
      </c>
      <c r="G166" s="845">
        <f>Financeiros!I28</f>
        <v>60</v>
      </c>
      <c r="H166" s="845">
        <f>Financeiros!J28</f>
        <v>999</v>
      </c>
      <c r="I166" s="845">
        <f>Financeiros!K28</f>
        <v>2</v>
      </c>
      <c r="J166" s="845">
        <f>Financeiros!L28</f>
        <v>30</v>
      </c>
      <c r="K166" s="845">
        <f>Financeiros!M28</f>
        <v>9</v>
      </c>
      <c r="L166" s="845">
        <v>99</v>
      </c>
      <c r="M166" s="845">
        <v>9</v>
      </c>
      <c r="N166" s="845">
        <v>3</v>
      </c>
      <c r="O166" s="845">
        <v>99999</v>
      </c>
      <c r="P166" s="907">
        <f t="shared" si="6"/>
        <v>0</v>
      </c>
      <c r="Q166" s="232">
        <f>Financeiros!D28</f>
        <v>0</v>
      </c>
    </row>
    <row r="167" spans="1:17" ht="15.75">
      <c r="A167" s="845" t="s">
        <v>697</v>
      </c>
      <c r="B167" s="845" t="s">
        <v>1290</v>
      </c>
      <c r="C167" s="845" t="str">
        <f>Financeiros!C29</f>
        <v>Compensação DIC FIC</v>
      </c>
      <c r="D167" s="845">
        <v>2</v>
      </c>
      <c r="E167" s="845">
        <v>2</v>
      </c>
      <c r="F167" s="845">
        <f>Financeiros!H29</f>
        <v>22</v>
      </c>
      <c r="G167" s="845">
        <f>Financeiros!I29</f>
        <v>60</v>
      </c>
      <c r="H167" s="845">
        <f>Financeiros!J29</f>
        <v>178</v>
      </c>
      <c r="I167" s="845">
        <f>Financeiros!K29</f>
        <v>1</v>
      </c>
      <c r="J167" s="845">
        <f>Financeiros!L29</f>
        <v>7</v>
      </c>
      <c r="K167" s="845">
        <f>Financeiros!M29</f>
        <v>9</v>
      </c>
      <c r="L167" s="845">
        <v>99</v>
      </c>
      <c r="M167" s="845">
        <v>9</v>
      </c>
      <c r="N167" s="845">
        <v>3</v>
      </c>
      <c r="O167" s="845">
        <v>99999</v>
      </c>
      <c r="P167" s="907">
        <f t="shared" si="6"/>
        <v>0</v>
      </c>
      <c r="Q167" s="232">
        <f>Financeiros!D29</f>
        <v>0</v>
      </c>
    </row>
    <row r="168" spans="1:17" ht="15.75">
      <c r="A168" s="845" t="s">
        <v>697</v>
      </c>
      <c r="B168" s="845" t="s">
        <v>1290</v>
      </c>
      <c r="C168" s="845" t="str">
        <f>Financeiros!C30</f>
        <v>Subvenção CDE</v>
      </c>
      <c r="D168" s="845">
        <v>2</v>
      </c>
      <c r="E168" s="845">
        <v>2</v>
      </c>
      <c r="F168" s="845">
        <f>Financeiros!H30</f>
        <v>22</v>
      </c>
      <c r="G168" s="845">
        <f>Financeiros!I30</f>
        <v>60</v>
      </c>
      <c r="H168" s="845">
        <f>Financeiros!J30</f>
        <v>999</v>
      </c>
      <c r="I168" s="845">
        <f>Financeiros!K30</f>
        <v>4</v>
      </c>
      <c r="J168" s="845">
        <f>Financeiros!L30</f>
        <v>999</v>
      </c>
      <c r="K168" s="845">
        <f>Financeiros!M30</f>
        <v>9</v>
      </c>
      <c r="L168" s="845">
        <v>99</v>
      </c>
      <c r="M168" s="845">
        <v>9</v>
      </c>
      <c r="N168" s="845">
        <v>3</v>
      </c>
      <c r="O168" s="845">
        <v>99999</v>
      </c>
      <c r="P168" s="907">
        <f t="shared" ca="1" si="6"/>
        <v>-1327071.3845209642</v>
      </c>
      <c r="Q168" s="232">
        <f ca="1">Financeiros!D30</f>
        <v>-1327071.3845209642</v>
      </c>
    </row>
    <row r="169" spans="1:17" ht="15.75">
      <c r="A169" s="845" t="s">
        <v>697</v>
      </c>
      <c r="B169" s="845" t="s">
        <v>1290</v>
      </c>
      <c r="C169" s="845" t="str">
        <f>Financeiros!C31</f>
        <v>Retenção de Adicionais de Bandeiras Tarifárias</v>
      </c>
      <c r="D169" s="845">
        <v>2</v>
      </c>
      <c r="E169" s="845">
        <v>2</v>
      </c>
      <c r="F169" s="845">
        <f>Financeiros!H31</f>
        <v>22</v>
      </c>
      <c r="G169" s="845">
        <f>Financeiros!I31</f>
        <v>60</v>
      </c>
      <c r="H169" s="845">
        <f>Financeiros!J31</f>
        <v>999</v>
      </c>
      <c r="I169" s="845">
        <f>Financeiros!K31</f>
        <v>2</v>
      </c>
      <c r="J169" s="845">
        <f>Financeiros!L31</f>
        <v>30</v>
      </c>
      <c r="K169" s="845">
        <f>Financeiros!M31</f>
        <v>9</v>
      </c>
      <c r="L169" s="845">
        <v>99</v>
      </c>
      <c r="M169" s="845">
        <v>9</v>
      </c>
      <c r="N169" s="845">
        <v>3</v>
      </c>
      <c r="O169" s="845">
        <v>99999</v>
      </c>
      <c r="P169" s="907">
        <f t="shared" si="6"/>
        <v>-2333009.6764253709</v>
      </c>
      <c r="Q169" s="232">
        <f>Financeiros!D31</f>
        <v>-2333009.6764253709</v>
      </c>
    </row>
    <row r="170" spans="1:17" ht="15.75">
      <c r="A170" s="845" t="s">
        <v>697</v>
      </c>
      <c r="B170" s="845" t="s">
        <v>1290</v>
      </c>
      <c r="C170" s="845" t="str">
        <f>Financeiros!C32</f>
        <v>Multa LPT</v>
      </c>
      <c r="D170" s="845">
        <v>2</v>
      </c>
      <c r="E170" s="845">
        <v>2</v>
      </c>
      <c r="F170" s="845">
        <f>Financeiros!H32</f>
        <v>22</v>
      </c>
      <c r="G170" s="845">
        <f>Financeiros!I32</f>
        <v>60</v>
      </c>
      <c r="H170" s="845">
        <f>Financeiros!J32</f>
        <v>120</v>
      </c>
      <c r="I170" s="845">
        <f>Financeiros!K32</f>
        <v>4</v>
      </c>
      <c r="J170" s="845">
        <f>Financeiros!L32</f>
        <v>999</v>
      </c>
      <c r="K170" s="845">
        <f>Financeiros!M32</f>
        <v>9</v>
      </c>
      <c r="L170" s="845">
        <v>99</v>
      </c>
      <c r="M170" s="845">
        <v>9</v>
      </c>
      <c r="N170" s="845">
        <v>3</v>
      </c>
      <c r="O170" s="845">
        <v>99999</v>
      </c>
      <c r="P170" s="907">
        <f t="shared" si="6"/>
        <v>0</v>
      </c>
      <c r="Q170" s="232">
        <f>Financeiros!D32</f>
        <v>0</v>
      </c>
    </row>
    <row r="171" spans="1:17" ht="15.75">
      <c r="A171" s="845" t="s">
        <v>697</v>
      </c>
      <c r="B171" s="845" t="s">
        <v>1290</v>
      </c>
      <c r="C171" s="845" t="str">
        <f>Financeiros!C33</f>
        <v>Repasse de ICMS CUSD</v>
      </c>
      <c r="D171" s="845">
        <v>2</v>
      </c>
      <c r="E171" s="845">
        <v>2</v>
      </c>
      <c r="F171" s="845">
        <f>Financeiros!H33</f>
        <v>22</v>
      </c>
      <c r="G171" s="845">
        <f>Financeiros!I33</f>
        <v>60</v>
      </c>
      <c r="H171" s="845">
        <f>Financeiros!J33</f>
        <v>999</v>
      </c>
      <c r="I171" s="845">
        <f>Financeiros!K33</f>
        <v>1</v>
      </c>
      <c r="J171" s="845">
        <f>Financeiros!L33</f>
        <v>7</v>
      </c>
      <c r="K171" s="845">
        <f>Financeiros!M33</f>
        <v>9</v>
      </c>
      <c r="L171" s="845">
        <v>99</v>
      </c>
      <c r="M171" s="845">
        <v>9</v>
      </c>
      <c r="N171" s="845">
        <v>3</v>
      </c>
      <c r="O171" s="845">
        <v>99999</v>
      </c>
      <c r="P171" s="907">
        <f t="shared" si="6"/>
        <v>0</v>
      </c>
      <c r="Q171" s="232">
        <f>Financeiros!D33</f>
        <v>0</v>
      </c>
    </row>
    <row r="172" spans="1:17" ht="15.75">
      <c r="A172" s="845" t="s">
        <v>697</v>
      </c>
      <c r="B172" s="845" t="s">
        <v>1290</v>
      </c>
      <c r="C172" s="845" t="str">
        <f>Financeiros!C34</f>
        <v>Repasse de ICMS TE</v>
      </c>
      <c r="D172" s="845">
        <v>2</v>
      </c>
      <c r="E172" s="845">
        <v>2</v>
      </c>
      <c r="F172" s="845">
        <f>Financeiros!H34</f>
        <v>22</v>
      </c>
      <c r="G172" s="845">
        <f>Financeiros!I34</f>
        <v>60</v>
      </c>
      <c r="H172" s="845">
        <f>Financeiros!J34</f>
        <v>999</v>
      </c>
      <c r="I172" s="845">
        <f>Financeiros!K34</f>
        <v>2</v>
      </c>
      <c r="J172" s="845">
        <f>Financeiros!L34</f>
        <v>30</v>
      </c>
      <c r="K172" s="845">
        <f>Financeiros!M34</f>
        <v>9</v>
      </c>
      <c r="L172" s="845">
        <v>99</v>
      </c>
      <c r="M172" s="845">
        <v>9</v>
      </c>
      <c r="N172" s="845">
        <v>3</v>
      </c>
      <c r="O172" s="845">
        <v>99999</v>
      </c>
      <c r="P172" s="907">
        <f t="shared" si="6"/>
        <v>0</v>
      </c>
      <c r="Q172" s="232">
        <f>Financeiros!D34</f>
        <v>0</v>
      </c>
    </row>
    <row r="173" spans="1:17" ht="15.75">
      <c r="A173" s="845" t="s">
        <v>697</v>
      </c>
      <c r="B173" s="845" t="s">
        <v>1290</v>
      </c>
      <c r="C173" s="845" t="str">
        <f>Financeiros!C35</f>
        <v>Ressarcimento P&amp;D</v>
      </c>
      <c r="D173" s="845">
        <v>2</v>
      </c>
      <c r="E173" s="845">
        <v>2</v>
      </c>
      <c r="F173" s="845">
        <f>Financeiros!H35</f>
        <v>22</v>
      </c>
      <c r="G173" s="845">
        <f>Financeiros!I35</f>
        <v>60</v>
      </c>
      <c r="H173" s="845">
        <f>Financeiros!J35</f>
        <v>999</v>
      </c>
      <c r="I173" s="845">
        <f>Financeiros!K35</f>
        <v>3</v>
      </c>
      <c r="J173" s="845">
        <f>Financeiros!L35</f>
        <v>19</v>
      </c>
      <c r="K173" s="845">
        <f>Financeiros!M35</f>
        <v>9</v>
      </c>
      <c r="L173" s="845">
        <v>99</v>
      </c>
      <c r="M173" s="845">
        <v>9</v>
      </c>
      <c r="N173" s="845">
        <v>3</v>
      </c>
      <c r="O173" s="845">
        <v>99999</v>
      </c>
      <c r="P173" s="907">
        <f t="shared" si="6"/>
        <v>0</v>
      </c>
      <c r="Q173" s="232">
        <f>Financeiros!D35</f>
        <v>0</v>
      </c>
    </row>
    <row r="174" spans="1:17" ht="15.75">
      <c r="A174" s="845" t="s">
        <v>697</v>
      </c>
      <c r="B174" s="845" t="s">
        <v>1290</v>
      </c>
      <c r="C174" s="845" t="str">
        <f>Financeiros!C36</f>
        <v>Efeito Conta COVID</v>
      </c>
      <c r="D174" s="845">
        <v>2</v>
      </c>
      <c r="E174" s="845">
        <v>2</v>
      </c>
      <c r="F174" s="845">
        <f>Financeiros!H36</f>
        <v>22</v>
      </c>
      <c r="G174" s="845">
        <f>Financeiros!I36</f>
        <v>60</v>
      </c>
      <c r="H174" s="845">
        <f>Financeiros!J36</f>
        <v>999</v>
      </c>
      <c r="I174" s="845">
        <f>Financeiros!K36</f>
        <v>4</v>
      </c>
      <c r="J174" s="845">
        <f>Financeiros!L36</f>
        <v>999</v>
      </c>
      <c r="K174" s="845">
        <f>Financeiros!M36</f>
        <v>9</v>
      </c>
      <c r="L174" s="845">
        <v>99</v>
      </c>
      <c r="M174" s="845">
        <v>9</v>
      </c>
      <c r="N174" s="845">
        <v>3</v>
      </c>
      <c r="O174" s="845">
        <v>99999</v>
      </c>
      <c r="P174" s="907">
        <f t="shared" si="6"/>
        <v>0</v>
      </c>
      <c r="Q174" s="232">
        <f>Financeiros!D36</f>
        <v>0</v>
      </c>
    </row>
    <row r="175" spans="1:17" ht="15.75">
      <c r="A175" s="845" t="s">
        <v>697</v>
      </c>
      <c r="B175" s="845" t="s">
        <v>1290</v>
      </c>
      <c r="C175" s="845" t="str">
        <f>Financeiros!C37</f>
        <v>Diferimento de Parcela B</v>
      </c>
      <c r="D175" s="845">
        <v>2</v>
      </c>
      <c r="E175" s="845">
        <v>2</v>
      </c>
      <c r="F175" s="845">
        <v>999</v>
      </c>
      <c r="G175" s="845">
        <v>999999</v>
      </c>
      <c r="H175" s="845">
        <v>999</v>
      </c>
      <c r="I175" s="845">
        <v>99</v>
      </c>
      <c r="J175" s="845">
        <v>999</v>
      </c>
      <c r="K175" s="845">
        <v>9</v>
      </c>
      <c r="L175" s="845">
        <v>99</v>
      </c>
      <c r="M175" s="845">
        <v>9</v>
      </c>
      <c r="N175" s="845">
        <v>3</v>
      </c>
      <c r="O175" s="845">
        <v>99999</v>
      </c>
      <c r="P175" s="907">
        <f t="shared" si="6"/>
        <v>0</v>
      </c>
      <c r="Q175" s="232">
        <f>Financeiros!D37</f>
        <v>0</v>
      </c>
    </row>
    <row r="176" spans="1:17" ht="15.75">
      <c r="A176" s="845" t="s">
        <v>697</v>
      </c>
      <c r="B176" s="845" t="s">
        <v>1290</v>
      </c>
      <c r="C176" s="845" t="str">
        <f>Financeiros!C38</f>
        <v>Efeito COVID da Supridora</v>
      </c>
      <c r="D176" s="845">
        <v>2</v>
      </c>
      <c r="E176" s="845">
        <v>2</v>
      </c>
      <c r="F176" s="845">
        <f>Financeiros!H38</f>
        <v>22</v>
      </c>
      <c r="G176" s="845">
        <f>Financeiros!I38</f>
        <v>60</v>
      </c>
      <c r="H176" s="845">
        <f>Financeiros!J38</f>
        <v>999</v>
      </c>
      <c r="I176" s="845">
        <f>Financeiros!K38</f>
        <v>2</v>
      </c>
      <c r="J176" s="845">
        <f>Financeiros!L38</f>
        <v>30</v>
      </c>
      <c r="K176" s="845">
        <f>Financeiros!M38</f>
        <v>9</v>
      </c>
      <c r="L176" s="845">
        <v>99</v>
      </c>
      <c r="M176" s="845">
        <v>9</v>
      </c>
      <c r="N176" s="845">
        <v>3</v>
      </c>
      <c r="O176" s="845">
        <v>99999</v>
      </c>
      <c r="P176" s="907">
        <f t="shared" si="6"/>
        <v>0</v>
      </c>
      <c r="Q176" s="232">
        <f>Financeiros!D38</f>
        <v>0</v>
      </c>
    </row>
    <row r="177" spans="1:17" ht="15.75">
      <c r="A177" s="845" t="s">
        <v>697</v>
      </c>
      <c r="B177" s="845" t="s">
        <v>1290</v>
      </c>
      <c r="C177" s="845" t="str">
        <f>Financeiros!C39</f>
        <v>Crédito de Pis Cofins sobre ICMS</v>
      </c>
      <c r="D177" s="845">
        <v>2</v>
      </c>
      <c r="E177" s="845">
        <v>2</v>
      </c>
      <c r="F177" s="845">
        <f>Financeiros!H39</f>
        <v>22</v>
      </c>
      <c r="G177" s="845">
        <f>Financeiros!I39</f>
        <v>60</v>
      </c>
      <c r="H177" s="845">
        <f>Financeiros!J39</f>
        <v>179</v>
      </c>
      <c r="I177" s="845">
        <f>Financeiros!K39</f>
        <v>99</v>
      </c>
      <c r="J177" s="845">
        <f>Financeiros!L39</f>
        <v>999</v>
      </c>
      <c r="K177" s="845">
        <f>Financeiros!M39</f>
        <v>3</v>
      </c>
      <c r="L177" s="845">
        <v>99</v>
      </c>
      <c r="M177" s="845">
        <v>9</v>
      </c>
      <c r="N177" s="845">
        <v>3</v>
      </c>
      <c r="O177" s="845">
        <v>99999</v>
      </c>
      <c r="P177" s="907">
        <f t="shared" si="6"/>
        <v>0</v>
      </c>
      <c r="Q177" s="232">
        <f>Financeiros!D39</f>
        <v>0</v>
      </c>
    </row>
    <row r="178" spans="1:17" ht="15.75">
      <c r="A178" s="845" t="s">
        <v>697</v>
      </c>
      <c r="B178" s="845" t="s">
        <v>1290</v>
      </c>
      <c r="C178" s="845" t="str">
        <f>Financeiros!C40</f>
        <v>Diferimento Pis Cofins TUSD</v>
      </c>
      <c r="D178" s="845">
        <v>2</v>
      </c>
      <c r="E178" s="845">
        <v>2</v>
      </c>
      <c r="F178" s="845">
        <f>Financeiros!H40</f>
        <v>22</v>
      </c>
      <c r="G178" s="845">
        <f>Financeiros!I40</f>
        <v>60</v>
      </c>
      <c r="H178" s="845">
        <f>Financeiros!J40</f>
        <v>999</v>
      </c>
      <c r="I178" s="845">
        <f>Financeiros!K40</f>
        <v>1</v>
      </c>
      <c r="J178" s="845">
        <f>Financeiros!L40</f>
        <v>7</v>
      </c>
      <c r="K178" s="845">
        <f>Financeiros!M40</f>
        <v>9</v>
      </c>
      <c r="L178" s="845">
        <v>99</v>
      </c>
      <c r="M178" s="845">
        <v>9</v>
      </c>
      <c r="N178" s="845">
        <v>3</v>
      </c>
      <c r="O178" s="845">
        <v>99999</v>
      </c>
      <c r="P178" s="907">
        <f t="shared" si="6"/>
        <v>0</v>
      </c>
      <c r="Q178" s="232">
        <f>Financeiros!D40</f>
        <v>0</v>
      </c>
    </row>
    <row r="179" spans="1:17" ht="15.75">
      <c r="A179" s="845" t="s">
        <v>697</v>
      </c>
      <c r="B179" s="845" t="s">
        <v>1290</v>
      </c>
      <c r="C179" s="845" t="str">
        <f>Financeiros!C41</f>
        <v>Diferimento Pis Cofins TE</v>
      </c>
      <c r="D179" s="845">
        <v>2</v>
      </c>
      <c r="E179" s="845">
        <v>2</v>
      </c>
      <c r="F179" s="845">
        <f>Financeiros!H41</f>
        <v>22</v>
      </c>
      <c r="G179" s="845">
        <f>Financeiros!I41</f>
        <v>60</v>
      </c>
      <c r="H179" s="845">
        <f>Financeiros!J41</f>
        <v>999</v>
      </c>
      <c r="I179" s="845">
        <f>Financeiros!K41</f>
        <v>2</v>
      </c>
      <c r="J179" s="845">
        <f>Financeiros!L41</f>
        <v>30</v>
      </c>
      <c r="K179" s="845">
        <f>Financeiros!M41</f>
        <v>9</v>
      </c>
      <c r="L179" s="845">
        <v>99</v>
      </c>
      <c r="M179" s="845">
        <v>9</v>
      </c>
      <c r="N179" s="845">
        <v>3</v>
      </c>
      <c r="O179" s="845">
        <v>99999</v>
      </c>
      <c r="P179" s="907">
        <f t="shared" si="6"/>
        <v>0</v>
      </c>
      <c r="Q179" s="232">
        <f>Financeiros!D41</f>
        <v>0</v>
      </c>
    </row>
    <row r="180" spans="1:17" ht="15.75">
      <c r="A180" s="845" t="s">
        <v>697</v>
      </c>
      <c r="B180" s="845" t="s">
        <v>1290</v>
      </c>
      <c r="C180" s="845" t="str">
        <f>Financeiros!C42</f>
        <v>Financeiros associados ao §7º do Art. 88 da Ren 414/2021</v>
      </c>
      <c r="D180" s="845">
        <v>2</v>
      </c>
      <c r="E180" s="845">
        <v>2</v>
      </c>
      <c r="F180" s="845">
        <f>Financeiros!H42</f>
        <v>22</v>
      </c>
      <c r="G180" s="845">
        <f>Financeiros!I42</f>
        <v>60</v>
      </c>
      <c r="H180" s="845">
        <f>Financeiros!J42</f>
        <v>999</v>
      </c>
      <c r="I180" s="845">
        <f>Financeiros!K42</f>
        <v>4</v>
      </c>
      <c r="J180" s="845">
        <f>Financeiros!L42</f>
        <v>999</v>
      </c>
      <c r="K180" s="845">
        <f>Financeiros!M42</f>
        <v>9</v>
      </c>
      <c r="L180" s="845">
        <v>99</v>
      </c>
      <c r="M180" s="845">
        <v>9</v>
      </c>
      <c r="N180" s="845">
        <v>3</v>
      </c>
      <c r="O180" s="845">
        <v>99999</v>
      </c>
      <c r="P180" s="907">
        <f t="shared" si="6"/>
        <v>0</v>
      </c>
      <c r="Q180" s="232">
        <f>Financeiros!D42</f>
        <v>0</v>
      </c>
    </row>
    <row r="181" spans="1:17" ht="15.75">
      <c r="A181" s="845" t="s">
        <v>697</v>
      </c>
      <c r="B181" s="845" t="s">
        <v>1290</v>
      </c>
      <c r="C181" s="845" t="str">
        <f>Financeiros!C43</f>
        <v>Spread Conta Covid</v>
      </c>
      <c r="D181" s="845">
        <v>2</v>
      </c>
      <c r="E181" s="845">
        <v>2</v>
      </c>
      <c r="F181" s="845">
        <f>Financeiros!H43</f>
        <v>22</v>
      </c>
      <c r="G181" s="845">
        <f>Financeiros!I43</f>
        <v>60</v>
      </c>
      <c r="H181" s="845">
        <f>Financeiros!J43</f>
        <v>235</v>
      </c>
      <c r="I181" s="845">
        <f>Financeiros!K43</f>
        <v>4</v>
      </c>
      <c r="J181" s="845">
        <f>Financeiros!L43</f>
        <v>999</v>
      </c>
      <c r="K181" s="845">
        <f>Financeiros!M43</f>
        <v>9</v>
      </c>
      <c r="L181" s="845">
        <v>99</v>
      </c>
      <c r="M181" s="845">
        <v>9</v>
      </c>
      <c r="N181" s="845">
        <v>3</v>
      </c>
      <c r="O181" s="845">
        <v>99999</v>
      </c>
      <c r="P181" s="907">
        <f t="shared" si="6"/>
        <v>0</v>
      </c>
      <c r="Q181" s="232">
        <f>Financeiros!D43</f>
        <v>0</v>
      </c>
    </row>
    <row r="182" spans="1:17" ht="15.75">
      <c r="A182" s="845" t="s">
        <v>697</v>
      </c>
      <c r="B182" s="845" t="s">
        <v>1290</v>
      </c>
      <c r="C182" s="845" t="str">
        <f>Financeiros!C44</f>
        <v>Diferimento de Energia</v>
      </c>
      <c r="D182" s="845">
        <v>2</v>
      </c>
      <c r="E182" s="845">
        <v>2</v>
      </c>
      <c r="F182" s="845">
        <v>999</v>
      </c>
      <c r="G182" s="845">
        <v>999999</v>
      </c>
      <c r="H182" s="845">
        <v>999</v>
      </c>
      <c r="I182" s="845">
        <v>99</v>
      </c>
      <c r="J182" s="845">
        <v>999</v>
      </c>
      <c r="K182" s="845">
        <v>9</v>
      </c>
      <c r="L182" s="845">
        <v>99</v>
      </c>
      <c r="M182" s="845">
        <v>9</v>
      </c>
      <c r="N182" s="845">
        <v>3</v>
      </c>
      <c r="O182" s="845">
        <v>99999</v>
      </c>
      <c r="P182" s="907">
        <f t="shared" si="6"/>
        <v>0</v>
      </c>
      <c r="Q182" s="232">
        <f>Financeiros!D44</f>
        <v>0</v>
      </c>
    </row>
    <row r="183" spans="1:17" ht="15.75">
      <c r="A183" s="845" t="s">
        <v>697</v>
      </c>
      <c r="B183" s="845" t="s">
        <v>1290</v>
      </c>
      <c r="C183" s="845" t="str">
        <f>Financeiros!C45</f>
        <v xml:space="preserve">Reversão do Diferimento de Compra de Energia </v>
      </c>
      <c r="D183" s="845">
        <v>2</v>
      </c>
      <c r="E183" s="845">
        <v>2</v>
      </c>
      <c r="F183" s="845">
        <v>999</v>
      </c>
      <c r="G183" s="845">
        <v>999999</v>
      </c>
      <c r="H183" s="845">
        <v>999</v>
      </c>
      <c r="I183" s="845">
        <v>99</v>
      </c>
      <c r="J183" s="845">
        <v>999</v>
      </c>
      <c r="K183" s="845">
        <v>9</v>
      </c>
      <c r="L183" s="845">
        <v>99</v>
      </c>
      <c r="M183" s="845">
        <v>9</v>
      </c>
      <c r="N183" s="845">
        <v>3</v>
      </c>
      <c r="O183" s="845">
        <v>99999</v>
      </c>
      <c r="P183" s="907">
        <f t="shared" si="6"/>
        <v>0</v>
      </c>
      <c r="Q183" s="232">
        <f>Financeiros!D45</f>
        <v>0</v>
      </c>
    </row>
    <row r="184" spans="1:17" ht="15.75">
      <c r="A184" s="845" t="s">
        <v>697</v>
      </c>
      <c r="B184" s="845" t="s">
        <v>1290</v>
      </c>
      <c r="C184" s="845" t="str">
        <f>Financeiros!C46</f>
        <v>Reversão do Diferimento de Parcela B</v>
      </c>
      <c r="D184" s="845">
        <v>2</v>
      </c>
      <c r="E184" s="845">
        <v>2</v>
      </c>
      <c r="F184" s="845">
        <v>999</v>
      </c>
      <c r="G184" s="845">
        <v>999999</v>
      </c>
      <c r="H184" s="845">
        <v>999</v>
      </c>
      <c r="I184" s="845">
        <v>99</v>
      </c>
      <c r="J184" s="845">
        <v>999</v>
      </c>
      <c r="K184" s="845">
        <v>9</v>
      </c>
      <c r="L184" s="845">
        <v>99</v>
      </c>
      <c r="M184" s="845">
        <v>9</v>
      </c>
      <c r="N184" s="845">
        <v>3</v>
      </c>
      <c r="O184" s="845">
        <v>99999</v>
      </c>
      <c r="P184" s="907">
        <f t="shared" si="6"/>
        <v>0</v>
      </c>
      <c r="Q184" s="232">
        <f>Financeiros!D46</f>
        <v>0</v>
      </c>
    </row>
    <row r="185" spans="1:17" ht="15.75">
      <c r="A185" s="845" t="s">
        <v>697</v>
      </c>
      <c r="B185" s="845" t="s">
        <v>1290</v>
      </c>
      <c r="C185" s="845" t="str">
        <f>Financeiros!C47</f>
        <v>Reversão do Diferimento de Pis Cofins TUSD</v>
      </c>
      <c r="D185" s="845">
        <v>2</v>
      </c>
      <c r="E185" s="845">
        <v>2</v>
      </c>
      <c r="F185" s="845">
        <v>999</v>
      </c>
      <c r="G185" s="845">
        <v>999999</v>
      </c>
      <c r="H185" s="845">
        <v>999</v>
      </c>
      <c r="I185" s="845">
        <v>99</v>
      </c>
      <c r="J185" s="845">
        <v>999</v>
      </c>
      <c r="K185" s="845">
        <v>9</v>
      </c>
      <c r="L185" s="845">
        <v>99</v>
      </c>
      <c r="M185" s="845">
        <v>9</v>
      </c>
      <c r="N185" s="845">
        <v>3</v>
      </c>
      <c r="O185" s="845">
        <v>99999</v>
      </c>
      <c r="P185" s="907">
        <f t="shared" si="6"/>
        <v>0</v>
      </c>
      <c r="Q185" s="232">
        <f>Financeiros!D47</f>
        <v>0</v>
      </c>
    </row>
    <row r="186" spans="1:17" ht="15.75">
      <c r="A186" s="845" t="s">
        <v>697</v>
      </c>
      <c r="B186" s="845" t="s">
        <v>1290</v>
      </c>
      <c r="C186" s="845" t="str">
        <f>Financeiros!C48</f>
        <v>Reversão do Diferimento de Pis Cofins TE</v>
      </c>
      <c r="D186" s="845">
        <v>2</v>
      </c>
      <c r="E186" s="845">
        <v>2</v>
      </c>
      <c r="F186" s="845">
        <v>999</v>
      </c>
      <c r="G186" s="845">
        <v>999999</v>
      </c>
      <c r="H186" s="845">
        <v>999</v>
      </c>
      <c r="I186" s="845">
        <v>99</v>
      </c>
      <c r="J186" s="845">
        <v>999</v>
      </c>
      <c r="K186" s="845">
        <v>9</v>
      </c>
      <c r="L186" s="845">
        <v>99</v>
      </c>
      <c r="M186" s="845">
        <v>9</v>
      </c>
      <c r="N186" s="845">
        <v>3</v>
      </c>
      <c r="O186" s="845">
        <v>99999</v>
      </c>
      <c r="P186" s="907">
        <f t="shared" si="6"/>
        <v>0</v>
      </c>
      <c r="Q186" s="232">
        <f>Financeiros!D48</f>
        <v>0</v>
      </c>
    </row>
    <row r="187" spans="1:17" ht="15.75">
      <c r="A187" s="845" t="s">
        <v>697</v>
      </c>
      <c r="B187" s="845" t="s">
        <v>1290</v>
      </c>
      <c r="C187" s="845" t="str">
        <f>Financeiros!C49</f>
        <v>CVE ccc</v>
      </c>
      <c r="D187" s="845">
        <v>2</v>
      </c>
      <c r="E187" s="845">
        <v>2</v>
      </c>
      <c r="F187" s="845">
        <f>Financeiros!H49</f>
        <v>22</v>
      </c>
      <c r="G187" s="845">
        <f>Financeiros!I49</f>
        <v>60</v>
      </c>
      <c r="H187" s="845">
        <f>Financeiros!J49</f>
        <v>241</v>
      </c>
      <c r="I187" s="845">
        <f>Financeiros!K49</f>
        <v>3</v>
      </c>
      <c r="J187" s="845">
        <f>Financeiros!L49</f>
        <v>13</v>
      </c>
      <c r="K187" s="845">
        <f>Financeiros!M49</f>
        <v>9</v>
      </c>
      <c r="L187" s="845">
        <v>99</v>
      </c>
      <c r="M187" s="845">
        <v>9</v>
      </c>
      <c r="N187" s="845">
        <v>3</v>
      </c>
      <c r="O187" s="845">
        <v>99999</v>
      </c>
      <c r="P187" s="907">
        <f t="shared" si="6"/>
        <v>0</v>
      </c>
      <c r="Q187" s="232">
        <f>Financeiros!D49</f>
        <v>0</v>
      </c>
    </row>
    <row r="188" spans="1:17" ht="15.75">
      <c r="A188" s="845" t="s">
        <v>697</v>
      </c>
      <c r="B188" s="845" t="s">
        <v>1290</v>
      </c>
      <c r="C188" s="845" t="str">
        <f>Financeiros!C50</f>
        <v>CVE cde</v>
      </c>
      <c r="D188" s="845">
        <v>2</v>
      </c>
      <c r="E188" s="845">
        <v>2</v>
      </c>
      <c r="F188" s="845">
        <f>Financeiros!H50</f>
        <v>22</v>
      </c>
      <c r="G188" s="845">
        <f>Financeiros!I50</f>
        <v>60</v>
      </c>
      <c r="H188" s="845">
        <f>Financeiros!J50</f>
        <v>241</v>
      </c>
      <c r="I188" s="845">
        <f>Financeiros!K50</f>
        <v>3</v>
      </c>
      <c r="J188" s="845">
        <f>Financeiros!L50</f>
        <v>15</v>
      </c>
      <c r="K188" s="845">
        <f>Financeiros!M50</f>
        <v>9</v>
      </c>
      <c r="L188" s="845">
        <v>99</v>
      </c>
      <c r="M188" s="845">
        <v>9</v>
      </c>
      <c r="N188" s="845">
        <v>3</v>
      </c>
      <c r="O188" s="845">
        <v>99999</v>
      </c>
      <c r="P188" s="907">
        <f t="shared" si="6"/>
        <v>0</v>
      </c>
      <c r="Q188" s="232">
        <f>Financeiros!D50</f>
        <v>0</v>
      </c>
    </row>
    <row r="189" spans="1:17" ht="15.75">
      <c r="A189" s="845" t="s">
        <v>697</v>
      </c>
      <c r="B189" s="845" t="s">
        <v>1290</v>
      </c>
      <c r="C189" s="845" t="str">
        <f>Financeiros!C51</f>
        <v>CVE cde energia</v>
      </c>
      <c r="D189" s="845">
        <v>2</v>
      </c>
      <c r="E189" s="845">
        <v>2</v>
      </c>
      <c r="F189" s="845">
        <f>Financeiros!H51</f>
        <v>22</v>
      </c>
      <c r="G189" s="845">
        <f>Financeiros!I51</f>
        <v>60</v>
      </c>
      <c r="H189" s="845">
        <f>Financeiros!J51</f>
        <v>241</v>
      </c>
      <c r="I189" s="845">
        <f>Financeiros!K51</f>
        <v>3</v>
      </c>
      <c r="J189" s="845">
        <f>Financeiros!L51</f>
        <v>25</v>
      </c>
      <c r="K189" s="845">
        <f>Financeiros!M51</f>
        <v>9</v>
      </c>
      <c r="L189" s="845">
        <v>99</v>
      </c>
      <c r="M189" s="845">
        <v>9</v>
      </c>
      <c r="N189" s="845">
        <v>3</v>
      </c>
      <c r="O189" s="845">
        <v>99999</v>
      </c>
      <c r="P189" s="907">
        <f t="shared" si="6"/>
        <v>0</v>
      </c>
      <c r="Q189" s="232">
        <f>Financeiros!D51</f>
        <v>0</v>
      </c>
    </row>
    <row r="190" spans="1:17" ht="15.75">
      <c r="A190" s="845" t="s">
        <v>697</v>
      </c>
      <c r="B190" s="845" t="s">
        <v>1290</v>
      </c>
      <c r="C190" s="845" t="str">
        <f>Financeiros!C52</f>
        <v>CVE RB - Nodal</v>
      </c>
      <c r="D190" s="845">
        <v>2</v>
      </c>
      <c r="E190" s="845">
        <v>2</v>
      </c>
      <c r="F190" s="845">
        <f>Financeiros!H52</f>
        <v>22</v>
      </c>
      <c r="G190" s="845">
        <f>Financeiros!I52</f>
        <v>60</v>
      </c>
      <c r="H190" s="845">
        <f>Financeiros!J52</f>
        <v>241</v>
      </c>
      <c r="I190" s="845">
        <f>Financeiros!K52</f>
        <v>1</v>
      </c>
      <c r="J190" s="845">
        <f>Financeiros!L52</f>
        <v>1</v>
      </c>
      <c r="K190" s="845">
        <f>Financeiros!M52</f>
        <v>9</v>
      </c>
      <c r="L190" s="845">
        <v>99</v>
      </c>
      <c r="M190" s="845">
        <v>9</v>
      </c>
      <c r="N190" s="845">
        <v>3</v>
      </c>
      <c r="O190" s="845">
        <v>99999</v>
      </c>
      <c r="P190" s="907">
        <f t="shared" si="6"/>
        <v>0</v>
      </c>
      <c r="Q190" s="232">
        <f>Financeiros!D52</f>
        <v>0</v>
      </c>
    </row>
    <row r="191" spans="1:17" ht="15.75">
      <c r="A191" s="845" t="s">
        <v>697</v>
      </c>
      <c r="B191" s="845" t="s">
        <v>1290</v>
      </c>
      <c r="C191" s="845" t="str">
        <f>Financeiros!C53</f>
        <v>CVE RB - Fronteira</v>
      </c>
      <c r="D191" s="845">
        <v>2</v>
      </c>
      <c r="E191" s="845">
        <v>2</v>
      </c>
      <c r="F191" s="845">
        <f>Financeiros!H53</f>
        <v>22</v>
      </c>
      <c r="G191" s="845">
        <f>Financeiros!I53</f>
        <v>60</v>
      </c>
      <c r="H191" s="845">
        <f>Financeiros!J53</f>
        <v>241</v>
      </c>
      <c r="I191" s="845">
        <f>Financeiros!K53</f>
        <v>1</v>
      </c>
      <c r="J191" s="845">
        <f>Financeiros!L53</f>
        <v>1</v>
      </c>
      <c r="K191" s="845">
        <f>Financeiros!M53</f>
        <v>9</v>
      </c>
      <c r="L191" s="845">
        <v>99</v>
      </c>
      <c r="M191" s="845">
        <v>9</v>
      </c>
      <c r="N191" s="845">
        <v>3</v>
      </c>
      <c r="O191" s="845">
        <v>99999</v>
      </c>
      <c r="P191" s="907">
        <f t="shared" si="6"/>
        <v>0</v>
      </c>
      <c r="Q191" s="232">
        <f>Financeiros!D53</f>
        <v>0</v>
      </c>
    </row>
    <row r="192" spans="1:17" ht="15.75">
      <c r="A192" s="845" t="s">
        <v>697</v>
      </c>
      <c r="B192" s="845" t="s">
        <v>1290</v>
      </c>
      <c r="C192" s="845" t="str">
        <f>Financeiros!C54</f>
        <v>CVE RB - TUSDg EXP</v>
      </c>
      <c r="D192" s="845">
        <v>2</v>
      </c>
      <c r="E192" s="845">
        <v>2</v>
      </c>
      <c r="F192" s="845">
        <f>Financeiros!H54</f>
        <v>22</v>
      </c>
      <c r="G192" s="845">
        <f>Financeiros!I54</f>
        <v>60</v>
      </c>
      <c r="H192" s="845">
        <f>Financeiros!J54</f>
        <v>241</v>
      </c>
      <c r="I192" s="845">
        <f>Financeiros!K54</f>
        <v>1</v>
      </c>
      <c r="J192" s="845">
        <f>Financeiros!L54</f>
        <v>1</v>
      </c>
      <c r="K192" s="845">
        <f>Financeiros!M54</f>
        <v>9</v>
      </c>
      <c r="L192" s="845">
        <v>99</v>
      </c>
      <c r="M192" s="845">
        <v>9</v>
      </c>
      <c r="N192" s="845">
        <v>3</v>
      </c>
      <c r="O192" s="845">
        <v>99999</v>
      </c>
      <c r="P192" s="907">
        <f t="shared" si="6"/>
        <v>0</v>
      </c>
      <c r="Q192" s="232">
        <f>Financeiros!D54</f>
        <v>0</v>
      </c>
    </row>
    <row r="193" spans="1:17" ht="15.75">
      <c r="A193" s="845" t="s">
        <v>697</v>
      </c>
      <c r="B193" s="845" t="s">
        <v>1290</v>
      </c>
      <c r="C193" s="845" t="str">
        <f>Financeiros!C55</f>
        <v>CVE RB - TUSDg ONS</v>
      </c>
      <c r="D193" s="845">
        <v>2</v>
      </c>
      <c r="E193" s="845">
        <v>2</v>
      </c>
      <c r="F193" s="845">
        <f>Financeiros!H55</f>
        <v>22</v>
      </c>
      <c r="G193" s="845">
        <f>Financeiros!I55</f>
        <v>60</v>
      </c>
      <c r="H193" s="845">
        <f>Financeiros!J55</f>
        <v>241</v>
      </c>
      <c r="I193" s="845">
        <f>Financeiros!K55</f>
        <v>1</v>
      </c>
      <c r="J193" s="845">
        <f>Financeiros!L55</f>
        <v>1</v>
      </c>
      <c r="K193" s="845">
        <f>Financeiros!M55</f>
        <v>9</v>
      </c>
      <c r="L193" s="845">
        <v>99</v>
      </c>
      <c r="M193" s="845">
        <v>9</v>
      </c>
      <c r="N193" s="845">
        <v>3</v>
      </c>
      <c r="O193" s="845">
        <v>99999</v>
      </c>
      <c r="P193" s="907">
        <f t="shared" si="6"/>
        <v>0</v>
      </c>
      <c r="Q193" s="232">
        <f>Financeiros!D55</f>
        <v>0</v>
      </c>
    </row>
    <row r="194" spans="1:17" ht="15.75">
      <c r="A194" s="845" t="s">
        <v>697</v>
      </c>
      <c r="B194" s="845" t="s">
        <v>1290</v>
      </c>
      <c r="C194" s="845" t="str">
        <f>Financeiros!C56</f>
        <v>CVE RB - EUST Itaipu</v>
      </c>
      <c r="D194" s="845">
        <v>2</v>
      </c>
      <c r="E194" s="845">
        <v>2</v>
      </c>
      <c r="F194" s="845">
        <f>Financeiros!H56</f>
        <v>22</v>
      </c>
      <c r="G194" s="845">
        <f>Financeiros!I56</f>
        <v>60</v>
      </c>
      <c r="H194" s="845">
        <f>Financeiros!J56</f>
        <v>241</v>
      </c>
      <c r="I194" s="845">
        <f>Financeiros!K56</f>
        <v>1</v>
      </c>
      <c r="J194" s="845">
        <f>Financeiros!L56</f>
        <v>1</v>
      </c>
      <c r="K194" s="845">
        <f>Financeiros!M56</f>
        <v>9</v>
      </c>
      <c r="L194" s="845">
        <v>99</v>
      </c>
      <c r="M194" s="845">
        <v>9</v>
      </c>
      <c r="N194" s="845">
        <v>3</v>
      </c>
      <c r="O194" s="845">
        <v>99999</v>
      </c>
      <c r="P194" s="907">
        <f t="shared" si="6"/>
        <v>0</v>
      </c>
      <c r="Q194" s="232">
        <f>Financeiros!D56</f>
        <v>0</v>
      </c>
    </row>
    <row r="195" spans="1:17" ht="15.75">
      <c r="A195" s="845" t="s">
        <v>697</v>
      </c>
      <c r="B195" s="845" t="s">
        <v>1290</v>
      </c>
      <c r="C195" s="845" t="str">
        <f>Financeiros!C57</f>
        <v>CVE- Transporte Itaipu</v>
      </c>
      <c r="D195" s="845">
        <v>2</v>
      </c>
      <c r="E195" s="845">
        <v>2</v>
      </c>
      <c r="F195" s="845">
        <f>Financeiros!H57</f>
        <v>22</v>
      </c>
      <c r="G195" s="845">
        <f>Financeiros!I57</f>
        <v>60</v>
      </c>
      <c r="H195" s="845">
        <f>Financeiros!J57</f>
        <v>241</v>
      </c>
      <c r="I195" s="845">
        <f>Financeiros!K57</f>
        <v>1</v>
      </c>
      <c r="J195" s="845">
        <f>Financeiros!L57</f>
        <v>21</v>
      </c>
      <c r="K195" s="845">
        <f>Financeiros!M57</f>
        <v>9</v>
      </c>
      <c r="L195" s="845">
        <v>99</v>
      </c>
      <c r="M195" s="845">
        <v>9</v>
      </c>
      <c r="N195" s="845">
        <v>3</v>
      </c>
      <c r="O195" s="845">
        <v>99999</v>
      </c>
      <c r="P195" s="907">
        <f t="shared" si="6"/>
        <v>0</v>
      </c>
      <c r="Q195" s="232">
        <f>Financeiros!D57</f>
        <v>0</v>
      </c>
    </row>
    <row r="196" spans="1:17" ht="15.75">
      <c r="A196" s="845" t="s">
        <v>697</v>
      </c>
      <c r="B196" s="845" t="s">
        <v>1290</v>
      </c>
      <c r="C196" s="845" t="str">
        <f>Financeiros!C58</f>
        <v>CVE - Energia - Energia de Revenda</v>
      </c>
      <c r="D196" s="845">
        <v>2</v>
      </c>
      <c r="E196" s="845">
        <v>2</v>
      </c>
      <c r="F196" s="845">
        <f>Financeiros!H58</f>
        <v>22</v>
      </c>
      <c r="G196" s="845">
        <f>Financeiros!I58</f>
        <v>60</v>
      </c>
      <c r="H196" s="845">
        <f>Financeiros!J58</f>
        <v>241</v>
      </c>
      <c r="I196" s="845">
        <f>Financeiros!K58</f>
        <v>2</v>
      </c>
      <c r="J196" s="845">
        <f>Financeiros!L58</f>
        <v>11</v>
      </c>
      <c r="K196" s="845">
        <f>Financeiros!M58</f>
        <v>9</v>
      </c>
      <c r="L196" s="845">
        <v>99</v>
      </c>
      <c r="M196" s="845">
        <v>9</v>
      </c>
      <c r="N196" s="845">
        <v>3</v>
      </c>
      <c r="O196" s="845">
        <v>99999</v>
      </c>
      <c r="P196" s="907">
        <f t="shared" ca="1" si="6"/>
        <v>0</v>
      </c>
      <c r="Q196" s="232">
        <f ca="1">Financeiros!D58</f>
        <v>0</v>
      </c>
    </row>
    <row r="197" spans="1:17" ht="15.75">
      <c r="A197" s="845" t="s">
        <v>697</v>
      </c>
      <c r="B197" s="845" t="s">
        <v>1290</v>
      </c>
      <c r="C197" s="845" t="str">
        <f>Financeiros!C59</f>
        <v>CVE - Energia - Perda Não Técnica</v>
      </c>
      <c r="D197" s="845">
        <v>2</v>
      </c>
      <c r="E197" s="845">
        <v>2</v>
      </c>
      <c r="F197" s="845">
        <f>Financeiros!H59</f>
        <v>22</v>
      </c>
      <c r="G197" s="845">
        <f>Financeiros!I59</f>
        <v>60</v>
      </c>
      <c r="H197" s="845">
        <f>Financeiros!J59</f>
        <v>241</v>
      </c>
      <c r="I197" s="845">
        <f>Financeiros!K59</f>
        <v>2</v>
      </c>
      <c r="J197" s="845">
        <f>Financeiros!L59</f>
        <v>9</v>
      </c>
      <c r="K197" s="845">
        <f>Financeiros!M59</f>
        <v>9</v>
      </c>
      <c r="L197" s="845">
        <v>99</v>
      </c>
      <c r="M197" s="845">
        <v>9</v>
      </c>
      <c r="N197" s="845">
        <v>3</v>
      </c>
      <c r="O197" s="845">
        <v>99999</v>
      </c>
      <c r="P197" s="907">
        <f t="shared" ca="1" si="6"/>
        <v>0</v>
      </c>
      <c r="Q197" s="232">
        <f ca="1">Financeiros!D59</f>
        <v>0</v>
      </c>
    </row>
    <row r="198" spans="1:17" ht="15.75">
      <c r="A198" s="845" t="s">
        <v>697</v>
      </c>
      <c r="B198" s="845" t="s">
        <v>1290</v>
      </c>
      <c r="C198" s="845" t="str">
        <f>Financeiros!C60</f>
        <v>CVE - Energia - Perda Técnica</v>
      </c>
      <c r="D198" s="845">
        <v>2</v>
      </c>
      <c r="E198" s="845">
        <v>2</v>
      </c>
      <c r="F198" s="845">
        <f>Financeiros!H60</f>
        <v>22</v>
      </c>
      <c r="G198" s="845">
        <f>Financeiros!I60</f>
        <v>60</v>
      </c>
      <c r="H198" s="845">
        <f>Financeiros!J60</f>
        <v>241</v>
      </c>
      <c r="I198" s="845">
        <f>Financeiros!K60</f>
        <v>2</v>
      </c>
      <c r="J198" s="845">
        <f>Financeiros!L60</f>
        <v>8</v>
      </c>
      <c r="K198" s="845">
        <f>Financeiros!M60</f>
        <v>9</v>
      </c>
      <c r="L198" s="845">
        <v>99</v>
      </c>
      <c r="M198" s="845">
        <v>9</v>
      </c>
      <c r="N198" s="845">
        <v>3</v>
      </c>
      <c r="O198" s="845">
        <v>99999</v>
      </c>
      <c r="P198" s="907">
        <f t="shared" ca="1" si="6"/>
        <v>0</v>
      </c>
      <c r="Q198" s="232">
        <f ca="1">Financeiros!D60</f>
        <v>0</v>
      </c>
    </row>
    <row r="199" spans="1:17" ht="15.75">
      <c r="A199" s="845" t="s">
        <v>697</v>
      </c>
      <c r="B199" s="845" t="s">
        <v>1290</v>
      </c>
      <c r="C199" s="845" t="str">
        <f>Financeiros!C61</f>
        <v>CVE - Energia -  Perda de RB sobre a distribuição</v>
      </c>
      <c r="D199" s="845">
        <v>2</v>
      </c>
      <c r="E199" s="845">
        <v>2</v>
      </c>
      <c r="F199" s="845">
        <f>Financeiros!H61</f>
        <v>22</v>
      </c>
      <c r="G199" s="845">
        <f>Financeiros!I61</f>
        <v>60</v>
      </c>
      <c r="H199" s="845">
        <f>Financeiros!J61</f>
        <v>241</v>
      </c>
      <c r="I199" s="845">
        <f>Financeiros!K61</f>
        <v>2</v>
      </c>
      <c r="J199" s="845">
        <f>Financeiros!L61</f>
        <v>10</v>
      </c>
      <c r="K199" s="845">
        <f>Financeiros!M61</f>
        <v>9</v>
      </c>
      <c r="L199" s="845">
        <v>99</v>
      </c>
      <c r="M199" s="845">
        <v>9</v>
      </c>
      <c r="N199" s="845">
        <v>3</v>
      </c>
      <c r="O199" s="845">
        <v>99999</v>
      </c>
      <c r="P199" s="907">
        <f t="shared" ca="1" si="6"/>
        <v>0</v>
      </c>
      <c r="Q199" s="232">
        <f ca="1">Financeiros!D61</f>
        <v>0</v>
      </c>
    </row>
    <row r="200" spans="1:17" ht="15.75">
      <c r="A200" s="845" t="s">
        <v>697</v>
      </c>
      <c r="B200" s="845" t="s">
        <v>1290</v>
      </c>
      <c r="C200" s="845" t="str">
        <f>Financeiros!C62</f>
        <v>CVE - Energia -  Perda de RB sobre o mercado cativo</v>
      </c>
      <c r="D200" s="845">
        <v>2</v>
      </c>
      <c r="E200" s="845">
        <v>2</v>
      </c>
      <c r="F200" s="845">
        <f>Financeiros!H62</f>
        <v>22</v>
      </c>
      <c r="G200" s="845">
        <f>Financeiros!I62</f>
        <v>60</v>
      </c>
      <c r="H200" s="845">
        <f>Financeiros!J62</f>
        <v>241</v>
      </c>
      <c r="I200" s="845">
        <f>Financeiros!K62</f>
        <v>2</v>
      </c>
      <c r="J200" s="845">
        <f>Financeiros!L62</f>
        <v>24</v>
      </c>
      <c r="K200" s="845">
        <f>Financeiros!M62</f>
        <v>9</v>
      </c>
      <c r="L200" s="845">
        <v>99</v>
      </c>
      <c r="M200" s="845">
        <v>9</v>
      </c>
      <c r="N200" s="845">
        <v>3</v>
      </c>
      <c r="O200" s="845">
        <v>99999</v>
      </c>
      <c r="P200" s="907">
        <f t="shared" ca="1" si="6"/>
        <v>0</v>
      </c>
      <c r="Q200" s="232">
        <f ca="1">Financeiros!D62</f>
        <v>0</v>
      </c>
    </row>
    <row r="201" spans="1:17" ht="15.75">
      <c r="A201" s="845" t="s">
        <v>697</v>
      </c>
      <c r="B201" s="845" t="s">
        <v>1290</v>
      </c>
      <c r="C201" s="845" t="str">
        <f>Financeiros!C63</f>
        <v>CVE - Encargos - PROINFA</v>
      </c>
      <c r="D201" s="845">
        <v>2</v>
      </c>
      <c r="E201" s="845">
        <v>2</v>
      </c>
      <c r="F201" s="845">
        <f>Financeiros!H63</f>
        <v>22</v>
      </c>
      <c r="G201" s="845">
        <f>Financeiros!I63</f>
        <v>60</v>
      </c>
      <c r="H201" s="845">
        <f>Financeiros!J63</f>
        <v>241</v>
      </c>
      <c r="I201" s="845">
        <f>Financeiros!K63</f>
        <v>3</v>
      </c>
      <c r="J201" s="845">
        <f>Financeiros!L63</f>
        <v>18</v>
      </c>
      <c r="K201" s="845">
        <f>Financeiros!M63</f>
        <v>9</v>
      </c>
      <c r="L201" s="845">
        <v>99</v>
      </c>
      <c r="M201" s="845">
        <v>9</v>
      </c>
      <c r="N201" s="845">
        <v>3</v>
      </c>
      <c r="O201" s="845">
        <v>99999</v>
      </c>
      <c r="P201" s="907">
        <f t="shared" si="6"/>
        <v>0</v>
      </c>
      <c r="Q201" s="232">
        <f>Financeiros!D63</f>
        <v>0</v>
      </c>
    </row>
    <row r="202" spans="1:17" ht="15.75">
      <c r="A202" s="845" t="s">
        <v>697</v>
      </c>
      <c r="B202" s="845" t="s">
        <v>1290</v>
      </c>
      <c r="C202" s="845" t="str">
        <f>Financeiros!C64</f>
        <v>CVE - Encargos - CFURH</v>
      </c>
      <c r="D202" s="845">
        <v>2</v>
      </c>
      <c r="E202" s="845">
        <v>2</v>
      </c>
      <c r="F202" s="845">
        <f>Financeiros!H64</f>
        <v>22</v>
      </c>
      <c r="G202" s="845">
        <f>Financeiros!I64</f>
        <v>60</v>
      </c>
      <c r="H202" s="845">
        <f>Financeiros!J64</f>
        <v>241</v>
      </c>
      <c r="I202" s="845">
        <f>Financeiros!K64</f>
        <v>3</v>
      </c>
      <c r="J202" s="845">
        <f>Financeiros!L64</f>
        <v>16</v>
      </c>
      <c r="K202" s="845">
        <f>Financeiros!M64</f>
        <v>9</v>
      </c>
      <c r="L202" s="845">
        <v>99</v>
      </c>
      <c r="M202" s="845">
        <v>9</v>
      </c>
      <c r="N202" s="845">
        <v>3</v>
      </c>
      <c r="O202" s="845">
        <v>99999</v>
      </c>
      <c r="P202" s="907">
        <f t="shared" si="6"/>
        <v>0</v>
      </c>
      <c r="Q202" s="232">
        <f>Financeiros!D64</f>
        <v>0</v>
      </c>
    </row>
    <row r="203" spans="1:17" ht="15.75">
      <c r="A203" s="845" t="s">
        <v>697</v>
      </c>
      <c r="B203" s="845" t="s">
        <v>1290</v>
      </c>
      <c r="C203" s="845" t="str">
        <f>Financeiros!C65</f>
        <v>CVE - Encargos - ESS/EER</v>
      </c>
      <c r="D203" s="845">
        <v>2</v>
      </c>
      <c r="E203" s="845">
        <v>2</v>
      </c>
      <c r="F203" s="845">
        <f>Financeiros!H65</f>
        <v>22</v>
      </c>
      <c r="G203" s="845">
        <f>Financeiros!I65</f>
        <v>60</v>
      </c>
      <c r="H203" s="845">
        <f>Financeiros!J65</f>
        <v>241</v>
      </c>
      <c r="I203" s="845">
        <f>Financeiros!K65</f>
        <v>3</v>
      </c>
      <c r="J203" s="845">
        <f>Financeiros!L65</f>
        <v>17</v>
      </c>
      <c r="K203" s="845">
        <f>Financeiros!M65</f>
        <v>9</v>
      </c>
      <c r="L203" s="845">
        <v>99</v>
      </c>
      <c r="M203" s="845">
        <v>9</v>
      </c>
      <c r="N203" s="845">
        <v>3</v>
      </c>
      <c r="O203" s="845">
        <v>99999</v>
      </c>
      <c r="P203" s="907">
        <f t="shared" si="6"/>
        <v>0</v>
      </c>
      <c r="Q203" s="232">
        <f>Financeiros!D65</f>
        <v>0</v>
      </c>
    </row>
    <row r="204" spans="1:17" ht="15.75">
      <c r="A204" s="845" t="s">
        <v>697</v>
      </c>
      <c r="B204" s="845" t="s">
        <v>1290</v>
      </c>
      <c r="C204" s="845" t="str">
        <f>Financeiros!C66</f>
        <v>Conta Escassez H. - Importação julho- agosto/2021 - RTA 2022 - Energia de Revenda</v>
      </c>
      <c r="D204" s="845">
        <v>2</v>
      </c>
      <c r="E204" s="845">
        <v>2</v>
      </c>
      <c r="F204" s="845">
        <f>Financeiros!H66</f>
        <v>22</v>
      </c>
      <c r="G204" s="845">
        <f>Financeiros!I66</f>
        <v>60</v>
      </c>
      <c r="H204" s="845">
        <f>Financeiros!J66</f>
        <v>240</v>
      </c>
      <c r="I204" s="845">
        <f>Financeiros!K66</f>
        <v>2</v>
      </c>
      <c r="J204" s="845">
        <f>Financeiros!L66</f>
        <v>11</v>
      </c>
      <c r="K204" s="845">
        <f>Financeiros!M66</f>
        <v>9</v>
      </c>
      <c r="L204" s="845">
        <v>99</v>
      </c>
      <c r="M204" s="845">
        <v>9</v>
      </c>
      <c r="N204" s="845">
        <v>3</v>
      </c>
      <c r="O204" s="845">
        <v>99999</v>
      </c>
      <c r="P204" s="907">
        <f t="shared" ca="1" si="6"/>
        <v>0</v>
      </c>
      <c r="Q204" s="232">
        <f ca="1">Financeiros!D66</f>
        <v>0</v>
      </c>
    </row>
    <row r="205" spans="1:17" ht="15.75">
      <c r="A205" s="845" t="s">
        <v>697</v>
      </c>
      <c r="B205" s="845" t="s">
        <v>1290</v>
      </c>
      <c r="C205" s="845" t="str">
        <f>Financeiros!C67</f>
        <v>Conta Escassez H. - Importação julho- agosto/2021 - RTA 2022 - Perda Não Técnica</v>
      </c>
      <c r="D205" s="845">
        <v>2</v>
      </c>
      <c r="E205" s="845">
        <v>2</v>
      </c>
      <c r="F205" s="845">
        <f>Financeiros!H67</f>
        <v>22</v>
      </c>
      <c r="G205" s="845">
        <f>Financeiros!I67</f>
        <v>60</v>
      </c>
      <c r="H205" s="845">
        <f>Financeiros!J67</f>
        <v>240</v>
      </c>
      <c r="I205" s="845">
        <f>Financeiros!K67</f>
        <v>2</v>
      </c>
      <c r="J205" s="845">
        <f>Financeiros!L67</f>
        <v>9</v>
      </c>
      <c r="K205" s="845">
        <f>Financeiros!M67</f>
        <v>9</v>
      </c>
      <c r="L205" s="845">
        <v>99</v>
      </c>
      <c r="M205" s="845">
        <v>9</v>
      </c>
      <c r="N205" s="845">
        <v>3</v>
      </c>
      <c r="O205" s="845">
        <v>99999</v>
      </c>
      <c r="P205" s="907">
        <f t="shared" ca="1" si="6"/>
        <v>0</v>
      </c>
      <c r="Q205" s="232">
        <f ca="1">Financeiros!D67</f>
        <v>0</v>
      </c>
    </row>
    <row r="206" spans="1:17" ht="15.75">
      <c r="A206" s="845" t="s">
        <v>697</v>
      </c>
      <c r="B206" s="845" t="s">
        <v>1290</v>
      </c>
      <c r="C206" s="845" t="str">
        <f>Financeiros!C68</f>
        <v>Conta Escassez H. - Importação julho- agosto/2021 - RTA 2022 - Perda Técnica</v>
      </c>
      <c r="D206" s="845">
        <v>2</v>
      </c>
      <c r="E206" s="845">
        <v>2</v>
      </c>
      <c r="F206" s="845">
        <f>Financeiros!H68</f>
        <v>22</v>
      </c>
      <c r="G206" s="845">
        <f>Financeiros!I68</f>
        <v>60</v>
      </c>
      <c r="H206" s="845">
        <f>Financeiros!J68</f>
        <v>240</v>
      </c>
      <c r="I206" s="845">
        <f>Financeiros!K68</f>
        <v>2</v>
      </c>
      <c r="J206" s="845">
        <f>Financeiros!L68</f>
        <v>8</v>
      </c>
      <c r="K206" s="845">
        <f>Financeiros!M68</f>
        <v>9</v>
      </c>
      <c r="L206" s="845">
        <v>99</v>
      </c>
      <c r="M206" s="845">
        <v>9</v>
      </c>
      <c r="N206" s="845">
        <v>3</v>
      </c>
      <c r="O206" s="845">
        <v>99999</v>
      </c>
      <c r="P206" s="907">
        <f t="shared" ca="1" si="6"/>
        <v>0</v>
      </c>
      <c r="Q206" s="232">
        <f ca="1">Financeiros!D68</f>
        <v>0</v>
      </c>
    </row>
    <row r="207" spans="1:17" ht="15.75">
      <c r="A207" s="845" t="s">
        <v>697</v>
      </c>
      <c r="B207" s="845" t="s">
        <v>1290</v>
      </c>
      <c r="C207" s="845" t="str">
        <f>Financeiros!C69</f>
        <v>Conta Escassez H. - Importação julho- agosto/2021 - RTA 2022 - Perda RB Perda RB sobre Dist.</v>
      </c>
      <c r="D207" s="845">
        <v>2</v>
      </c>
      <c r="E207" s="845">
        <v>2</v>
      </c>
      <c r="F207" s="845">
        <f>Financeiros!H69</f>
        <v>22</v>
      </c>
      <c r="G207" s="845">
        <f>Financeiros!I69</f>
        <v>60</v>
      </c>
      <c r="H207" s="845">
        <f>Financeiros!J69</f>
        <v>240</v>
      </c>
      <c r="I207" s="845">
        <f>Financeiros!K69</f>
        <v>2</v>
      </c>
      <c r="J207" s="845">
        <f>Financeiros!L69</f>
        <v>10</v>
      </c>
      <c r="K207" s="845">
        <f>Financeiros!M69</f>
        <v>9</v>
      </c>
      <c r="L207" s="845">
        <v>99</v>
      </c>
      <c r="M207" s="845">
        <v>9</v>
      </c>
      <c r="N207" s="845">
        <v>3</v>
      </c>
      <c r="O207" s="845">
        <v>99999</v>
      </c>
      <c r="P207" s="907">
        <f t="shared" ca="1" si="6"/>
        <v>0</v>
      </c>
      <c r="Q207" s="232">
        <f ca="1">Financeiros!D69</f>
        <v>0</v>
      </c>
    </row>
    <row r="208" spans="1:17" ht="15.75">
      <c r="A208" s="845" t="s">
        <v>697</v>
      </c>
      <c r="B208" s="845" t="s">
        <v>1290</v>
      </c>
      <c r="C208" s="845" t="str">
        <f>Financeiros!C70</f>
        <v>Conta Escassez H. - Importação julho- agosto/2021 - RTA 2022 - Perda RB sobre Merc. Cat.</v>
      </c>
      <c r="D208" s="845">
        <v>2</v>
      </c>
      <c r="E208" s="845">
        <v>2</v>
      </c>
      <c r="F208" s="845">
        <f>Financeiros!H70</f>
        <v>22</v>
      </c>
      <c r="G208" s="845">
        <f>Financeiros!I70</f>
        <v>60</v>
      </c>
      <c r="H208" s="845">
        <f>Financeiros!J70</f>
        <v>240</v>
      </c>
      <c r="I208" s="845">
        <f>Financeiros!K70</f>
        <v>2</v>
      </c>
      <c r="J208" s="845">
        <f>Financeiros!L70</f>
        <v>24</v>
      </c>
      <c r="K208" s="845">
        <f>Financeiros!M70</f>
        <v>9</v>
      </c>
      <c r="L208" s="845">
        <v>99</v>
      </c>
      <c r="M208" s="845">
        <v>9</v>
      </c>
      <c r="N208" s="845">
        <v>3</v>
      </c>
      <c r="O208" s="845">
        <v>99999</v>
      </c>
      <c r="P208" s="907">
        <f t="shared" ca="1" si="6"/>
        <v>0</v>
      </c>
      <c r="Q208" s="232">
        <f ca="1">Financeiros!D70</f>
        <v>0</v>
      </c>
    </row>
    <row r="209" spans="1:17" ht="15.75">
      <c r="A209" s="845" t="s">
        <v>697</v>
      </c>
      <c r="B209" s="845" t="s">
        <v>1290</v>
      </c>
      <c r="C209" s="845" t="str">
        <f>Financeiros!C71</f>
        <v>Conta Escassez H. - Bônus Redução Voluntária</v>
      </c>
      <c r="D209" s="845">
        <v>2</v>
      </c>
      <c r="E209" s="845">
        <v>2</v>
      </c>
      <c r="F209" s="845">
        <f>Financeiros!H71</f>
        <v>22</v>
      </c>
      <c r="G209" s="845">
        <f>Financeiros!I71</f>
        <v>60</v>
      </c>
      <c r="H209" s="845">
        <f>Financeiros!J71</f>
        <v>240</v>
      </c>
      <c r="I209" s="845">
        <f>Financeiros!K71</f>
        <v>3</v>
      </c>
      <c r="J209" s="845">
        <f>Financeiros!L71</f>
        <v>17</v>
      </c>
      <c r="K209" s="845">
        <f>Financeiros!M71</f>
        <v>9</v>
      </c>
      <c r="L209" s="845">
        <v>99</v>
      </c>
      <c r="M209" s="845">
        <v>9</v>
      </c>
      <c r="N209" s="845">
        <v>3</v>
      </c>
      <c r="O209" s="845">
        <v>99999</v>
      </c>
      <c r="P209" s="907">
        <f t="shared" si="6"/>
        <v>0</v>
      </c>
      <c r="Q209" s="232">
        <f>Financeiros!D71</f>
        <v>0</v>
      </c>
    </row>
    <row r="210" spans="1:17" ht="15.75">
      <c r="A210" s="845" t="s">
        <v>697</v>
      </c>
      <c r="B210" s="845" t="s">
        <v>1290</v>
      </c>
      <c r="C210" s="845" t="str">
        <f>Financeiros!C72</f>
        <v>Conta Escassez H. - Diferimento de energia - RTA 2022 - Energia de Revenda</v>
      </c>
      <c r="D210" s="845">
        <v>2</v>
      </c>
      <c r="E210" s="845">
        <v>2</v>
      </c>
      <c r="F210" s="845">
        <f>Financeiros!H72</f>
        <v>22</v>
      </c>
      <c r="G210" s="845">
        <f>Financeiros!I72</f>
        <v>60</v>
      </c>
      <c r="H210" s="845">
        <f>Financeiros!J72</f>
        <v>240</v>
      </c>
      <c r="I210" s="845">
        <f>Financeiros!K72</f>
        <v>2</v>
      </c>
      <c r="J210" s="845">
        <f>Financeiros!L72</f>
        <v>11</v>
      </c>
      <c r="K210" s="845">
        <f>Financeiros!M72</f>
        <v>9</v>
      </c>
      <c r="L210" s="845">
        <v>99</v>
      </c>
      <c r="M210" s="845">
        <v>9</v>
      </c>
      <c r="N210" s="845">
        <v>3</v>
      </c>
      <c r="O210" s="845">
        <v>99999</v>
      </c>
      <c r="P210" s="907">
        <f t="shared" ca="1" si="6"/>
        <v>0</v>
      </c>
      <c r="Q210" s="232">
        <f ca="1">Financeiros!D72</f>
        <v>0</v>
      </c>
    </row>
    <row r="211" spans="1:17" ht="15.75">
      <c r="A211" s="845" t="s">
        <v>697</v>
      </c>
      <c r="B211" s="845" t="s">
        <v>1290</v>
      </c>
      <c r="C211" s="845" t="str">
        <f>Financeiros!C73</f>
        <v>Conta Escassez H. - Diferimento de energia - RTA 2022 - Perda Não Técnica</v>
      </c>
      <c r="D211" s="845">
        <v>2</v>
      </c>
      <c r="E211" s="845">
        <v>2</v>
      </c>
      <c r="F211" s="845">
        <f>Financeiros!H73</f>
        <v>22</v>
      </c>
      <c r="G211" s="845">
        <f>Financeiros!I73</f>
        <v>60</v>
      </c>
      <c r="H211" s="845">
        <f>Financeiros!J73</f>
        <v>240</v>
      </c>
      <c r="I211" s="845">
        <f>Financeiros!K73</f>
        <v>2</v>
      </c>
      <c r="J211" s="845">
        <f>Financeiros!L73</f>
        <v>9</v>
      </c>
      <c r="K211" s="845">
        <f>Financeiros!M73</f>
        <v>9</v>
      </c>
      <c r="L211" s="845">
        <v>99</v>
      </c>
      <c r="M211" s="845">
        <v>9</v>
      </c>
      <c r="N211" s="845">
        <v>3</v>
      </c>
      <c r="O211" s="845">
        <v>99999</v>
      </c>
      <c r="P211" s="907">
        <f t="shared" ca="1" si="6"/>
        <v>0</v>
      </c>
      <c r="Q211" s="232">
        <f ca="1">Financeiros!D73</f>
        <v>0</v>
      </c>
    </row>
    <row r="212" spans="1:17" ht="15.75">
      <c r="A212" s="845" t="s">
        <v>697</v>
      </c>
      <c r="B212" s="845" t="s">
        <v>1290</v>
      </c>
      <c r="C212" s="845" t="str">
        <f>Financeiros!C74</f>
        <v>Conta Escassez H. - Diferimento de energia - RTA 2022 - Perda Técnica</v>
      </c>
      <c r="D212" s="845">
        <v>2</v>
      </c>
      <c r="E212" s="845">
        <v>2</v>
      </c>
      <c r="F212" s="845">
        <f>Financeiros!H74</f>
        <v>22</v>
      </c>
      <c r="G212" s="845">
        <f>Financeiros!I74</f>
        <v>60</v>
      </c>
      <c r="H212" s="845">
        <f>Financeiros!J74</f>
        <v>240</v>
      </c>
      <c r="I212" s="845">
        <f>Financeiros!K74</f>
        <v>2</v>
      </c>
      <c r="J212" s="845">
        <f>Financeiros!L74</f>
        <v>8</v>
      </c>
      <c r="K212" s="845">
        <f>Financeiros!M74</f>
        <v>9</v>
      </c>
      <c r="L212" s="845">
        <v>99</v>
      </c>
      <c r="M212" s="845">
        <v>9</v>
      </c>
      <c r="N212" s="845">
        <v>3</v>
      </c>
      <c r="O212" s="845">
        <v>99999</v>
      </c>
      <c r="P212" s="907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5" t="s">
        <v>697</v>
      </c>
      <c r="B213" s="845" t="s">
        <v>1290</v>
      </c>
      <c r="C213" s="845" t="str">
        <f>Financeiros!C75</f>
        <v>Conta Escassez H. - Diferimento de energia - RTA 2022 - Perda RB Perda RB sobre Dist.</v>
      </c>
      <c r="D213" s="845">
        <v>2</v>
      </c>
      <c r="E213" s="845">
        <v>2</v>
      </c>
      <c r="F213" s="845">
        <f>Financeiros!H75</f>
        <v>22</v>
      </c>
      <c r="G213" s="845">
        <f>Financeiros!I75</f>
        <v>60</v>
      </c>
      <c r="H213" s="845">
        <f>Financeiros!J75</f>
        <v>240</v>
      </c>
      <c r="I213" s="845">
        <f>Financeiros!K75</f>
        <v>2</v>
      </c>
      <c r="J213" s="845">
        <f>Financeiros!L75</f>
        <v>10</v>
      </c>
      <c r="K213" s="845">
        <f>Financeiros!M75</f>
        <v>9</v>
      </c>
      <c r="L213" s="845">
        <v>99</v>
      </c>
      <c r="M213" s="845">
        <v>9</v>
      </c>
      <c r="N213" s="845">
        <v>3</v>
      </c>
      <c r="O213" s="845">
        <v>99999</v>
      </c>
      <c r="P213" s="907">
        <f t="shared" ca="1" si="7"/>
        <v>0</v>
      </c>
      <c r="Q213" s="232">
        <f ca="1">Financeiros!D75</f>
        <v>0</v>
      </c>
    </row>
    <row r="214" spans="1:17" ht="15.75">
      <c r="A214" s="845" t="s">
        <v>697</v>
      </c>
      <c r="B214" s="845" t="s">
        <v>1290</v>
      </c>
      <c r="C214" s="845" t="str">
        <f>Financeiros!C76</f>
        <v>Conta Escassez H. - Diferimento de energia - RTA 2022 - Perda RB sobre Merc. Cat.</v>
      </c>
      <c r="D214" s="845">
        <v>2</v>
      </c>
      <c r="E214" s="845">
        <v>2</v>
      </c>
      <c r="F214" s="845">
        <f>Financeiros!H76</f>
        <v>22</v>
      </c>
      <c r="G214" s="845">
        <f>Financeiros!I76</f>
        <v>60</v>
      </c>
      <c r="H214" s="845">
        <f>Financeiros!J76</f>
        <v>240</v>
      </c>
      <c r="I214" s="845">
        <f>Financeiros!K76</f>
        <v>2</v>
      </c>
      <c r="J214" s="845">
        <f>Financeiros!L76</f>
        <v>24</v>
      </c>
      <c r="K214" s="845">
        <f>Financeiros!M76</f>
        <v>9</v>
      </c>
      <c r="L214" s="845">
        <v>99</v>
      </c>
      <c r="M214" s="845">
        <v>9</v>
      </c>
      <c r="N214" s="845">
        <v>3</v>
      </c>
      <c r="O214" s="845">
        <v>99999</v>
      </c>
      <c r="P214" s="907">
        <f t="shared" ca="1" si="7"/>
        <v>0</v>
      </c>
      <c r="Q214" s="232">
        <f ca="1">Financeiros!D76</f>
        <v>0</v>
      </c>
    </row>
    <row r="215" spans="1:17" ht="15.75">
      <c r="A215" s="845" t="s">
        <v>697</v>
      </c>
      <c r="B215" s="845" t="s">
        <v>1290</v>
      </c>
      <c r="C215" s="845" t="str">
        <f>Financeiros!C77</f>
        <v>Sobrecontratação/Exposição de Energia - Energia de Revenda</v>
      </c>
      <c r="D215" s="845">
        <v>2</v>
      </c>
      <c r="E215" s="845">
        <v>2</v>
      </c>
      <c r="F215" s="845">
        <f>Financeiros!H77</f>
        <v>22</v>
      </c>
      <c r="G215" s="845">
        <f>Financeiros!I77</f>
        <v>60</v>
      </c>
      <c r="H215" s="845">
        <f>Financeiros!J77</f>
        <v>106</v>
      </c>
      <c r="I215" s="845">
        <f>Financeiros!K77</f>
        <v>2</v>
      </c>
      <c r="J215" s="845">
        <f>Financeiros!L77</f>
        <v>11</v>
      </c>
      <c r="K215" s="845">
        <f>Financeiros!M77</f>
        <v>9</v>
      </c>
      <c r="L215" s="845">
        <v>99</v>
      </c>
      <c r="M215" s="845">
        <v>9</v>
      </c>
      <c r="N215" s="845">
        <v>3</v>
      </c>
      <c r="O215" s="845">
        <v>99999</v>
      </c>
      <c r="P215" s="907">
        <f t="shared" ca="1" si="7"/>
        <v>0</v>
      </c>
      <c r="Q215" s="232">
        <f ca="1">Financeiros!D77</f>
        <v>0</v>
      </c>
    </row>
    <row r="216" spans="1:17" ht="15.75">
      <c r="A216" s="845" t="s">
        <v>697</v>
      </c>
      <c r="B216" s="845" t="s">
        <v>1290</v>
      </c>
      <c r="C216" s="845" t="str">
        <f>Financeiros!C78</f>
        <v>Sobrecontratação/Exposição de Energia - Perda Não Técnica</v>
      </c>
      <c r="D216" s="845">
        <v>2</v>
      </c>
      <c r="E216" s="845">
        <v>2</v>
      </c>
      <c r="F216" s="845">
        <f>Financeiros!H78</f>
        <v>22</v>
      </c>
      <c r="G216" s="845">
        <f>Financeiros!I78</f>
        <v>60</v>
      </c>
      <c r="H216" s="845">
        <f>Financeiros!J78</f>
        <v>106</v>
      </c>
      <c r="I216" s="845">
        <f>Financeiros!K78</f>
        <v>2</v>
      </c>
      <c r="J216" s="845">
        <f>Financeiros!L78</f>
        <v>9</v>
      </c>
      <c r="K216" s="845">
        <f>Financeiros!M78</f>
        <v>9</v>
      </c>
      <c r="L216" s="845">
        <v>99</v>
      </c>
      <c r="M216" s="845">
        <v>9</v>
      </c>
      <c r="N216" s="845">
        <v>3</v>
      </c>
      <c r="O216" s="845">
        <v>99999</v>
      </c>
      <c r="P216" s="907">
        <f t="shared" ca="1" si="7"/>
        <v>0</v>
      </c>
      <c r="Q216" s="232">
        <f ca="1">Financeiros!D78</f>
        <v>0</v>
      </c>
    </row>
    <row r="217" spans="1:17" ht="15.75">
      <c r="A217" s="845" t="s">
        <v>697</v>
      </c>
      <c r="B217" s="845" t="s">
        <v>1290</v>
      </c>
      <c r="C217" s="845" t="str">
        <f>Financeiros!C79</f>
        <v>Sobrecontratação/Exposição de Energia - Perda Técnica</v>
      </c>
      <c r="D217" s="845">
        <v>2</v>
      </c>
      <c r="E217" s="845">
        <v>2</v>
      </c>
      <c r="F217" s="845">
        <f>Financeiros!H79</f>
        <v>22</v>
      </c>
      <c r="G217" s="845">
        <f>Financeiros!I79</f>
        <v>60</v>
      </c>
      <c r="H217" s="845">
        <f>Financeiros!J79</f>
        <v>106</v>
      </c>
      <c r="I217" s="845">
        <f>Financeiros!K79</f>
        <v>2</v>
      </c>
      <c r="J217" s="845">
        <f>Financeiros!L79</f>
        <v>8</v>
      </c>
      <c r="K217" s="845">
        <f>Financeiros!M79</f>
        <v>9</v>
      </c>
      <c r="L217" s="845">
        <v>99</v>
      </c>
      <c r="M217" s="845">
        <v>9</v>
      </c>
      <c r="N217" s="845">
        <v>3</v>
      </c>
      <c r="O217" s="845">
        <v>99999</v>
      </c>
      <c r="P217" s="907">
        <f t="shared" ca="1" si="7"/>
        <v>0</v>
      </c>
      <c r="Q217" s="232">
        <f ca="1">Financeiros!D79</f>
        <v>0</v>
      </c>
    </row>
    <row r="218" spans="1:17" ht="15.75">
      <c r="A218" s="845" t="s">
        <v>697</v>
      </c>
      <c r="B218" s="845" t="s">
        <v>1290</v>
      </c>
      <c r="C218" s="845" t="str">
        <f>Financeiros!C80</f>
        <v>Sobrecontratação/Exposição de Energia - Perda Rede Básica sobre Dist.</v>
      </c>
      <c r="D218" s="845">
        <v>2</v>
      </c>
      <c r="E218" s="845">
        <v>2</v>
      </c>
      <c r="F218" s="845">
        <f>Financeiros!H80</f>
        <v>22</v>
      </c>
      <c r="G218" s="845">
        <f>Financeiros!I80</f>
        <v>60</v>
      </c>
      <c r="H218" s="845">
        <f>Financeiros!J80</f>
        <v>106</v>
      </c>
      <c r="I218" s="845">
        <f>Financeiros!K80</f>
        <v>2</v>
      </c>
      <c r="J218" s="845">
        <f>Financeiros!L80</f>
        <v>10</v>
      </c>
      <c r="K218" s="845">
        <f>Financeiros!M80</f>
        <v>9</v>
      </c>
      <c r="L218" s="845">
        <v>99</v>
      </c>
      <c r="M218" s="845">
        <v>9</v>
      </c>
      <c r="N218" s="845">
        <v>3</v>
      </c>
      <c r="O218" s="845">
        <v>99999</v>
      </c>
      <c r="P218" s="907">
        <f t="shared" ca="1" si="7"/>
        <v>0</v>
      </c>
      <c r="Q218" s="232">
        <f ca="1">Financeiros!D80</f>
        <v>0</v>
      </c>
    </row>
    <row r="219" spans="1:17" ht="15.75">
      <c r="A219" s="845" t="s">
        <v>697</v>
      </c>
      <c r="B219" s="845" t="s">
        <v>1290</v>
      </c>
      <c r="C219" s="845" t="str">
        <f>Financeiros!C81</f>
        <v>Sobrecontratação/Exposição de Energia - Perda Rede Básica sobre mercado Cat.</v>
      </c>
      <c r="D219" s="845">
        <v>2</v>
      </c>
      <c r="E219" s="845">
        <v>2</v>
      </c>
      <c r="F219" s="845">
        <f>Financeiros!H81</f>
        <v>22</v>
      </c>
      <c r="G219" s="845">
        <f>Financeiros!I81</f>
        <v>60</v>
      </c>
      <c r="H219" s="845">
        <f>Financeiros!J81</f>
        <v>106</v>
      </c>
      <c r="I219" s="845">
        <f>Financeiros!K81</f>
        <v>2</v>
      </c>
      <c r="J219" s="845">
        <f>Financeiros!L81</f>
        <v>24</v>
      </c>
      <c r="K219" s="845">
        <f>Financeiros!M81</f>
        <v>9</v>
      </c>
      <c r="L219" s="845">
        <v>99</v>
      </c>
      <c r="M219" s="845">
        <v>9</v>
      </c>
      <c r="N219" s="845">
        <v>3</v>
      </c>
      <c r="O219" s="845">
        <v>99999</v>
      </c>
      <c r="P219" s="907">
        <f t="shared" ca="1" si="7"/>
        <v>0</v>
      </c>
      <c r="Q219" s="232">
        <f ca="1">Financeiros!D81</f>
        <v>0</v>
      </c>
    </row>
    <row r="220" spans="1:17" ht="15.75">
      <c r="A220" s="845" t="s">
        <v>697</v>
      </c>
      <c r="B220" s="845" t="s">
        <v>1290</v>
      </c>
      <c r="C220" s="845" t="str">
        <f>Financeiros!C82</f>
        <v>Reversão de Risco Hidrológico - Energia de Revenda</v>
      </c>
      <c r="D220" s="845">
        <v>2</v>
      </c>
      <c r="E220" s="845">
        <v>2</v>
      </c>
      <c r="F220" s="845">
        <f>Financeiros!H82</f>
        <v>22</v>
      </c>
      <c r="G220" s="845">
        <f>Financeiros!I82</f>
        <v>62</v>
      </c>
      <c r="H220" s="845">
        <f>Financeiros!J82</f>
        <v>220</v>
      </c>
      <c r="I220" s="845">
        <f>Financeiros!K82</f>
        <v>2</v>
      </c>
      <c r="J220" s="845">
        <f>Financeiros!L82</f>
        <v>11</v>
      </c>
      <c r="K220" s="845">
        <f>Financeiros!M82</f>
        <v>9</v>
      </c>
      <c r="L220" s="845">
        <v>99</v>
      </c>
      <c r="M220" s="845">
        <v>9</v>
      </c>
      <c r="N220" s="845">
        <v>3</v>
      </c>
      <c r="O220" s="845">
        <v>99999</v>
      </c>
      <c r="P220" s="907">
        <f t="shared" ca="1" si="7"/>
        <v>0</v>
      </c>
      <c r="Q220" s="232">
        <f ca="1">Financeiros!D82</f>
        <v>0</v>
      </c>
    </row>
    <row r="221" spans="1:17" ht="15.75">
      <c r="A221" s="845" t="s">
        <v>697</v>
      </c>
      <c r="B221" s="845" t="s">
        <v>1290</v>
      </c>
      <c r="C221" s="845" t="str">
        <f>Financeiros!C83</f>
        <v>Reversão de Risco Hidrológico - Perda Não Técnica</v>
      </c>
      <c r="D221" s="845">
        <v>2</v>
      </c>
      <c r="E221" s="845">
        <v>2</v>
      </c>
      <c r="F221" s="845">
        <f>Financeiros!H83</f>
        <v>22</v>
      </c>
      <c r="G221" s="845">
        <f>Financeiros!I83</f>
        <v>62</v>
      </c>
      <c r="H221" s="845">
        <f>Financeiros!J83</f>
        <v>220</v>
      </c>
      <c r="I221" s="845">
        <f>Financeiros!K83</f>
        <v>2</v>
      </c>
      <c r="J221" s="845">
        <f>Financeiros!L83</f>
        <v>9</v>
      </c>
      <c r="K221" s="845">
        <f>Financeiros!M83</f>
        <v>9</v>
      </c>
      <c r="L221" s="845">
        <v>99</v>
      </c>
      <c r="M221" s="845">
        <v>9</v>
      </c>
      <c r="N221" s="845">
        <v>3</v>
      </c>
      <c r="O221" s="845">
        <v>99999</v>
      </c>
      <c r="P221" s="907">
        <f t="shared" ca="1" si="7"/>
        <v>0</v>
      </c>
      <c r="Q221" s="232">
        <f ca="1">Financeiros!D83</f>
        <v>0</v>
      </c>
    </row>
    <row r="222" spans="1:17" ht="15.75">
      <c r="A222" s="845" t="s">
        <v>697</v>
      </c>
      <c r="B222" s="845" t="s">
        <v>1290</v>
      </c>
      <c r="C222" s="845" t="str">
        <f>Financeiros!C84</f>
        <v>Reversão de Risco Hidrológico - Perda Técnica</v>
      </c>
      <c r="D222" s="845">
        <v>2</v>
      </c>
      <c r="E222" s="845">
        <v>2</v>
      </c>
      <c r="F222" s="845">
        <f>Financeiros!H84</f>
        <v>22</v>
      </c>
      <c r="G222" s="845">
        <f>Financeiros!I84</f>
        <v>62</v>
      </c>
      <c r="H222" s="845">
        <f>Financeiros!J84</f>
        <v>220</v>
      </c>
      <c r="I222" s="845">
        <f>Financeiros!K84</f>
        <v>2</v>
      </c>
      <c r="J222" s="845">
        <f>Financeiros!L84</f>
        <v>8</v>
      </c>
      <c r="K222" s="845">
        <f>Financeiros!M84</f>
        <v>9</v>
      </c>
      <c r="L222" s="845">
        <v>99</v>
      </c>
      <c r="M222" s="845">
        <v>9</v>
      </c>
      <c r="N222" s="845">
        <v>3</v>
      </c>
      <c r="O222" s="845">
        <v>99999</v>
      </c>
      <c r="P222" s="907">
        <f t="shared" ca="1" si="7"/>
        <v>0</v>
      </c>
      <c r="Q222" s="232">
        <f ca="1">Financeiros!D84</f>
        <v>0</v>
      </c>
    </row>
    <row r="223" spans="1:17" ht="15.75">
      <c r="A223" s="845" t="s">
        <v>697</v>
      </c>
      <c r="B223" s="845" t="s">
        <v>1290</v>
      </c>
      <c r="C223" s="845" t="str">
        <f>Financeiros!C85</f>
        <v>Reversão de Risco Hidrológico - Perda Rede Básica sobre Dist.</v>
      </c>
      <c r="D223" s="845">
        <v>2</v>
      </c>
      <c r="E223" s="845">
        <v>2</v>
      </c>
      <c r="F223" s="845">
        <f>Financeiros!H85</f>
        <v>22</v>
      </c>
      <c r="G223" s="845">
        <f>Financeiros!I85</f>
        <v>62</v>
      </c>
      <c r="H223" s="845">
        <f>Financeiros!J85</f>
        <v>220</v>
      </c>
      <c r="I223" s="845">
        <f>Financeiros!K85</f>
        <v>2</v>
      </c>
      <c r="J223" s="845">
        <f>Financeiros!L85</f>
        <v>10</v>
      </c>
      <c r="K223" s="845">
        <f>Financeiros!M85</f>
        <v>9</v>
      </c>
      <c r="L223" s="845">
        <v>99</v>
      </c>
      <c r="M223" s="845">
        <v>9</v>
      </c>
      <c r="N223" s="845">
        <v>3</v>
      </c>
      <c r="O223" s="845">
        <v>99999</v>
      </c>
      <c r="P223" s="907">
        <f t="shared" ca="1" si="7"/>
        <v>0</v>
      </c>
      <c r="Q223" s="232">
        <f ca="1">Financeiros!D85</f>
        <v>0</v>
      </c>
    </row>
    <row r="224" spans="1:17" ht="15.75">
      <c r="A224" s="845" t="s">
        <v>697</v>
      </c>
      <c r="B224" s="845" t="s">
        <v>1290</v>
      </c>
      <c r="C224" s="845" t="str">
        <f>Financeiros!C86</f>
        <v>Reversão de Risco Hidrológico - Perda Rede Básica sobre mercado Cat.</v>
      </c>
      <c r="D224" s="845">
        <v>2</v>
      </c>
      <c r="E224" s="845">
        <v>2</v>
      </c>
      <c r="F224" s="845">
        <f>Financeiros!H86</f>
        <v>22</v>
      </c>
      <c r="G224" s="845">
        <f>Financeiros!I86</f>
        <v>62</v>
      </c>
      <c r="H224" s="845">
        <f>Financeiros!J86</f>
        <v>220</v>
      </c>
      <c r="I224" s="845">
        <f>Financeiros!K86</f>
        <v>2</v>
      </c>
      <c r="J224" s="845">
        <f>Financeiros!L86</f>
        <v>24</v>
      </c>
      <c r="K224" s="845">
        <f>Financeiros!M86</f>
        <v>9</v>
      </c>
      <c r="L224" s="845">
        <v>99</v>
      </c>
      <c r="M224" s="845">
        <v>9</v>
      </c>
      <c r="N224" s="845">
        <v>3</v>
      </c>
      <c r="O224" s="845">
        <v>99999</v>
      </c>
      <c r="P224" s="907">
        <f t="shared" ca="1" si="7"/>
        <v>0</v>
      </c>
      <c r="Q224" s="232">
        <f ca="1">Financeiros!D86</f>
        <v>0</v>
      </c>
    </row>
    <row r="225" spans="1:17" ht="15.75">
      <c r="A225" s="845" t="s">
        <v>697</v>
      </c>
      <c r="B225" s="845" t="s">
        <v>1290</v>
      </c>
      <c r="C225" s="845" t="str">
        <f>Financeiros!C87</f>
        <v>Previsão de Risco Hidrologico - Energia de Revenda</v>
      </c>
      <c r="D225" s="845">
        <v>2</v>
      </c>
      <c r="E225" s="845">
        <v>2</v>
      </c>
      <c r="F225" s="845">
        <f>Financeiros!H87</f>
        <v>22</v>
      </c>
      <c r="G225" s="845">
        <f>Financeiros!I87</f>
        <v>60</v>
      </c>
      <c r="H225" s="845">
        <f>Financeiros!J87</f>
        <v>220</v>
      </c>
      <c r="I225" s="845">
        <f>Financeiros!K87</f>
        <v>2</v>
      </c>
      <c r="J225" s="845">
        <f>Financeiros!L87</f>
        <v>11</v>
      </c>
      <c r="K225" s="845">
        <f>Financeiros!M87</f>
        <v>9</v>
      </c>
      <c r="L225" s="845">
        <v>99</v>
      </c>
      <c r="M225" s="845">
        <v>9</v>
      </c>
      <c r="N225" s="845">
        <v>3</v>
      </c>
      <c r="O225" s="845">
        <v>99999</v>
      </c>
      <c r="P225" s="907">
        <f t="shared" ca="1" si="7"/>
        <v>0</v>
      </c>
      <c r="Q225" s="232">
        <f ca="1">Financeiros!D87</f>
        <v>0</v>
      </c>
    </row>
    <row r="226" spans="1:17" ht="15.75">
      <c r="A226" s="845" t="s">
        <v>697</v>
      </c>
      <c r="B226" s="845" t="s">
        <v>1290</v>
      </c>
      <c r="C226" s="845" t="str">
        <f>Financeiros!C88</f>
        <v>Previsão de Risco Hidrologico - Perda Não Técnica</v>
      </c>
      <c r="D226" s="845">
        <v>2</v>
      </c>
      <c r="E226" s="845">
        <v>2</v>
      </c>
      <c r="F226" s="845">
        <f>Financeiros!H88</f>
        <v>22</v>
      </c>
      <c r="G226" s="845">
        <f>Financeiros!I88</f>
        <v>60</v>
      </c>
      <c r="H226" s="845">
        <f>Financeiros!J88</f>
        <v>220</v>
      </c>
      <c r="I226" s="845">
        <f>Financeiros!K88</f>
        <v>2</v>
      </c>
      <c r="J226" s="845">
        <f>Financeiros!L88</f>
        <v>9</v>
      </c>
      <c r="K226" s="845">
        <f>Financeiros!M88</f>
        <v>9</v>
      </c>
      <c r="L226" s="845">
        <v>99</v>
      </c>
      <c r="M226" s="845">
        <v>9</v>
      </c>
      <c r="N226" s="845">
        <v>3</v>
      </c>
      <c r="O226" s="845">
        <v>99999</v>
      </c>
      <c r="P226" s="907">
        <f t="shared" ca="1" si="7"/>
        <v>0</v>
      </c>
      <c r="Q226" s="232">
        <f ca="1">Financeiros!D88</f>
        <v>0</v>
      </c>
    </row>
    <row r="227" spans="1:17" ht="15.75">
      <c r="A227" s="845" t="s">
        <v>697</v>
      </c>
      <c r="B227" s="845" t="s">
        <v>1290</v>
      </c>
      <c r="C227" s="845" t="str">
        <f>Financeiros!C89</f>
        <v>Previsão de Risco Hidrologico - Perda Técnica</v>
      </c>
      <c r="D227" s="845">
        <v>2</v>
      </c>
      <c r="E227" s="845">
        <v>2</v>
      </c>
      <c r="F227" s="845">
        <f>Financeiros!H89</f>
        <v>22</v>
      </c>
      <c r="G227" s="845">
        <f>Financeiros!I89</f>
        <v>60</v>
      </c>
      <c r="H227" s="845">
        <f>Financeiros!J89</f>
        <v>220</v>
      </c>
      <c r="I227" s="845">
        <f>Financeiros!K89</f>
        <v>2</v>
      </c>
      <c r="J227" s="845">
        <f>Financeiros!L89</f>
        <v>8</v>
      </c>
      <c r="K227" s="845">
        <f>Financeiros!M89</f>
        <v>9</v>
      </c>
      <c r="L227" s="845">
        <v>99</v>
      </c>
      <c r="M227" s="845">
        <v>9</v>
      </c>
      <c r="N227" s="845">
        <v>3</v>
      </c>
      <c r="O227" s="845">
        <v>99999</v>
      </c>
      <c r="P227" s="907">
        <f t="shared" ca="1" si="7"/>
        <v>0</v>
      </c>
      <c r="Q227" s="232">
        <f ca="1">Financeiros!D89</f>
        <v>0</v>
      </c>
    </row>
    <row r="228" spans="1:17" ht="15.75">
      <c r="A228" s="845" t="s">
        <v>697</v>
      </c>
      <c r="B228" s="845" t="s">
        <v>1290</v>
      </c>
      <c r="C228" s="845" t="str">
        <f>Financeiros!C90</f>
        <v>Previsão de Risco Hidrologico - Perda Rede Básica sobre Dist.</v>
      </c>
      <c r="D228" s="845">
        <v>2</v>
      </c>
      <c r="E228" s="845">
        <v>2</v>
      </c>
      <c r="F228" s="845">
        <f>Financeiros!H90</f>
        <v>22</v>
      </c>
      <c r="G228" s="845">
        <f>Financeiros!I90</f>
        <v>60</v>
      </c>
      <c r="H228" s="845">
        <f>Financeiros!J90</f>
        <v>220</v>
      </c>
      <c r="I228" s="845">
        <f>Financeiros!K90</f>
        <v>2</v>
      </c>
      <c r="J228" s="845">
        <f>Financeiros!L90</f>
        <v>10</v>
      </c>
      <c r="K228" s="845">
        <f>Financeiros!M90</f>
        <v>9</v>
      </c>
      <c r="L228" s="845">
        <v>99</v>
      </c>
      <c r="M228" s="845">
        <v>9</v>
      </c>
      <c r="N228" s="845">
        <v>3</v>
      </c>
      <c r="O228" s="845">
        <v>99999</v>
      </c>
      <c r="P228" s="907">
        <f t="shared" ca="1" si="7"/>
        <v>0</v>
      </c>
      <c r="Q228" s="232">
        <f ca="1">Financeiros!D90</f>
        <v>0</v>
      </c>
    </row>
    <row r="229" spans="1:17" ht="15.75">
      <c r="A229" s="845" t="s">
        <v>697</v>
      </c>
      <c r="B229" s="845" t="s">
        <v>1290</v>
      </c>
      <c r="C229" s="845" t="str">
        <f>Financeiros!C91</f>
        <v>Previsão de Risco Hidrologico - Perda Rede Básica sobre mercado Cat.</v>
      </c>
      <c r="D229" s="845">
        <v>2</v>
      </c>
      <c r="E229" s="845">
        <v>2</v>
      </c>
      <c r="F229" s="845">
        <f>Financeiros!H91</f>
        <v>22</v>
      </c>
      <c r="G229" s="845">
        <f>Financeiros!I91</f>
        <v>60</v>
      </c>
      <c r="H229" s="845">
        <f>Financeiros!J91</f>
        <v>220</v>
      </c>
      <c r="I229" s="845">
        <f>Financeiros!K91</f>
        <v>2</v>
      </c>
      <c r="J229" s="845">
        <f>Financeiros!L91</f>
        <v>24</v>
      </c>
      <c r="K229" s="845">
        <f>Financeiros!M91</f>
        <v>9</v>
      </c>
      <c r="L229" s="845">
        <v>99</v>
      </c>
      <c r="M229" s="845">
        <v>9</v>
      </c>
      <c r="N229" s="845">
        <v>3</v>
      </c>
      <c r="O229" s="845">
        <v>99999</v>
      </c>
      <c r="P229" s="907">
        <f t="shared" ca="1" si="7"/>
        <v>0</v>
      </c>
      <c r="Q229" s="232">
        <f ca="1">Financeiros!D91</f>
        <v>0</v>
      </c>
    </row>
    <row r="230" spans="1:17" ht="15.75">
      <c r="A230" s="845" t="s">
        <v>697</v>
      </c>
      <c r="B230" s="845" t="s">
        <v>1290</v>
      </c>
      <c r="C230" s="845">
        <f>Financeiros!C92</f>
        <v>0</v>
      </c>
      <c r="D230" s="845">
        <v>2</v>
      </c>
      <c r="E230" s="845">
        <v>2</v>
      </c>
      <c r="F230" s="845">
        <v>999</v>
      </c>
      <c r="G230" s="845">
        <v>999999</v>
      </c>
      <c r="H230" s="845">
        <v>999</v>
      </c>
      <c r="I230" s="845">
        <v>99</v>
      </c>
      <c r="J230" s="845">
        <v>999</v>
      </c>
      <c r="K230" s="845">
        <v>9</v>
      </c>
      <c r="L230" s="845">
        <v>99</v>
      </c>
      <c r="M230" s="845">
        <v>9</v>
      </c>
      <c r="N230" s="845">
        <v>3</v>
      </c>
      <c r="O230" s="845">
        <v>99999</v>
      </c>
      <c r="P230" s="907">
        <f t="shared" si="7"/>
        <v>0</v>
      </c>
      <c r="Q230" s="232">
        <f>Financeiros!D92</f>
        <v>0</v>
      </c>
    </row>
    <row r="231" spans="1:17" ht="15.75">
      <c r="A231" s="845" t="s">
        <v>697</v>
      </c>
      <c r="B231" s="845" t="s">
        <v>1290</v>
      </c>
      <c r="C231" s="845">
        <f>Financeiros!C93</f>
        <v>0</v>
      </c>
      <c r="D231" s="845">
        <v>2</v>
      </c>
      <c r="E231" s="845">
        <v>2</v>
      </c>
      <c r="F231" s="845">
        <v>999</v>
      </c>
      <c r="G231" s="845">
        <v>999999</v>
      </c>
      <c r="H231" s="845">
        <v>999</v>
      </c>
      <c r="I231" s="845">
        <v>99</v>
      </c>
      <c r="J231" s="845">
        <v>999</v>
      </c>
      <c r="K231" s="845">
        <v>9</v>
      </c>
      <c r="L231" s="845">
        <v>99</v>
      </c>
      <c r="M231" s="845">
        <v>9</v>
      </c>
      <c r="N231" s="845">
        <v>3</v>
      </c>
      <c r="O231" s="845">
        <v>99999</v>
      </c>
      <c r="P231" s="907">
        <f t="shared" si="7"/>
        <v>0</v>
      </c>
      <c r="Q231" s="232">
        <f>Financeiros!D93</f>
        <v>0</v>
      </c>
    </row>
    <row r="232" spans="1:17" ht="15.75">
      <c r="A232" s="845" t="s">
        <v>697</v>
      </c>
      <c r="B232" s="845" t="s">
        <v>1290</v>
      </c>
      <c r="C232" s="845">
        <f>Financeiros!C94</f>
        <v>0</v>
      </c>
      <c r="D232" s="845">
        <v>2</v>
      </c>
      <c r="E232" s="845">
        <v>2</v>
      </c>
      <c r="F232" s="845">
        <v>999</v>
      </c>
      <c r="G232" s="845">
        <v>999999</v>
      </c>
      <c r="H232" s="845">
        <v>999</v>
      </c>
      <c r="I232" s="845">
        <v>99</v>
      </c>
      <c r="J232" s="845">
        <v>999</v>
      </c>
      <c r="K232" s="845">
        <v>9</v>
      </c>
      <c r="L232" s="845">
        <v>99</v>
      </c>
      <c r="M232" s="845">
        <v>9</v>
      </c>
      <c r="N232" s="845">
        <v>3</v>
      </c>
      <c r="O232" s="845">
        <v>99999</v>
      </c>
      <c r="P232" s="907">
        <f t="shared" si="7"/>
        <v>0</v>
      </c>
      <c r="Q232" s="232">
        <f>Financeiros!D94</f>
        <v>0</v>
      </c>
    </row>
    <row r="233" spans="1:17" ht="15.75">
      <c r="A233" s="845" t="s">
        <v>697</v>
      </c>
      <c r="B233" s="845" t="s">
        <v>1290</v>
      </c>
      <c r="C233" s="845">
        <f>Financeiros!C95</f>
        <v>0</v>
      </c>
      <c r="D233" s="845">
        <v>2</v>
      </c>
      <c r="E233" s="845">
        <v>2</v>
      </c>
      <c r="F233" s="845">
        <v>999</v>
      </c>
      <c r="G233" s="845">
        <v>999999</v>
      </c>
      <c r="H233" s="845">
        <v>999</v>
      </c>
      <c r="I233" s="845">
        <v>99</v>
      </c>
      <c r="J233" s="845">
        <v>999</v>
      </c>
      <c r="K233" s="845">
        <v>9</v>
      </c>
      <c r="L233" s="845">
        <v>99</v>
      </c>
      <c r="M233" s="845">
        <v>9</v>
      </c>
      <c r="N233" s="845">
        <v>3</v>
      </c>
      <c r="O233" s="845">
        <v>99999</v>
      </c>
      <c r="P233" s="907">
        <f t="shared" si="7"/>
        <v>0</v>
      </c>
      <c r="Q233" s="232">
        <f>Financeiros!D95</f>
        <v>0</v>
      </c>
    </row>
    <row r="234" spans="1:17" ht="15.75">
      <c r="A234" s="845" t="s">
        <v>697</v>
      </c>
      <c r="B234" s="845" t="s">
        <v>1290</v>
      </c>
      <c r="C234" s="845">
        <f>Financeiros!C96</f>
        <v>0</v>
      </c>
      <c r="D234" s="845">
        <v>2</v>
      </c>
      <c r="E234" s="845">
        <v>2</v>
      </c>
      <c r="F234" s="845">
        <v>999</v>
      </c>
      <c r="G234" s="845">
        <v>999999</v>
      </c>
      <c r="H234" s="845">
        <v>999</v>
      </c>
      <c r="I234" s="845">
        <v>99</v>
      </c>
      <c r="J234" s="845">
        <v>999</v>
      </c>
      <c r="K234" s="845">
        <v>9</v>
      </c>
      <c r="L234" s="845">
        <v>99</v>
      </c>
      <c r="M234" s="845">
        <v>9</v>
      </c>
      <c r="N234" s="845">
        <v>3</v>
      </c>
      <c r="O234" s="845">
        <v>99999</v>
      </c>
      <c r="P234" s="907">
        <f t="shared" si="7"/>
        <v>0</v>
      </c>
      <c r="Q234" s="232">
        <f>Financeiros!D96</f>
        <v>0</v>
      </c>
    </row>
    <row r="235" spans="1:17" ht="15.75">
      <c r="A235" s="845" t="s">
        <v>697</v>
      </c>
      <c r="B235" s="845" t="s">
        <v>1290</v>
      </c>
      <c r="C235" s="845">
        <f>Financeiros!C97</f>
        <v>0</v>
      </c>
      <c r="D235" s="845">
        <v>2</v>
      </c>
      <c r="E235" s="845">
        <v>2</v>
      </c>
      <c r="F235" s="845">
        <v>999</v>
      </c>
      <c r="G235" s="845">
        <v>999999</v>
      </c>
      <c r="H235" s="845">
        <v>999</v>
      </c>
      <c r="I235" s="845">
        <v>99</v>
      </c>
      <c r="J235" s="845">
        <v>999</v>
      </c>
      <c r="K235" s="845">
        <v>9</v>
      </c>
      <c r="L235" s="845">
        <v>99</v>
      </c>
      <c r="M235" s="845">
        <v>9</v>
      </c>
      <c r="N235" s="845">
        <v>3</v>
      </c>
      <c r="O235" s="845">
        <v>99999</v>
      </c>
      <c r="P235" s="907">
        <f t="shared" si="7"/>
        <v>0</v>
      </c>
      <c r="Q235" s="232">
        <f>Financeiros!D97</f>
        <v>0</v>
      </c>
    </row>
    <row r="236" spans="1:17" ht="15.75">
      <c r="A236" s="845" t="s">
        <v>697</v>
      </c>
      <c r="B236" s="845" t="s">
        <v>1290</v>
      </c>
      <c r="C236" s="845">
        <f>Financeiros!C98</f>
        <v>0</v>
      </c>
      <c r="D236" s="845">
        <v>2</v>
      </c>
      <c r="E236" s="845">
        <v>2</v>
      </c>
      <c r="F236" s="845">
        <v>999</v>
      </c>
      <c r="G236" s="845">
        <v>999999</v>
      </c>
      <c r="H236" s="845">
        <v>999</v>
      </c>
      <c r="I236" s="845">
        <v>99</v>
      </c>
      <c r="J236" s="845">
        <v>999</v>
      </c>
      <c r="K236" s="845">
        <v>9</v>
      </c>
      <c r="L236" s="845">
        <v>99</v>
      </c>
      <c r="M236" s="845">
        <v>9</v>
      </c>
      <c r="N236" s="845">
        <v>3</v>
      </c>
      <c r="O236" s="845">
        <v>99999</v>
      </c>
      <c r="P236" s="907">
        <f t="shared" si="7"/>
        <v>0</v>
      </c>
      <c r="Q236" s="232">
        <f>Financeiros!D98</f>
        <v>0</v>
      </c>
    </row>
    <row r="237" spans="1:17" ht="15.75">
      <c r="A237" s="845" t="s">
        <v>697</v>
      </c>
      <c r="B237" s="845" t="s">
        <v>1290</v>
      </c>
      <c r="C237" s="845">
        <f>Financeiros!C99</f>
        <v>0</v>
      </c>
      <c r="D237" s="845">
        <v>2</v>
      </c>
      <c r="E237" s="845">
        <v>2</v>
      </c>
      <c r="F237" s="845">
        <v>999</v>
      </c>
      <c r="G237" s="845">
        <v>999999</v>
      </c>
      <c r="H237" s="845">
        <v>999</v>
      </c>
      <c r="I237" s="845">
        <v>99</v>
      </c>
      <c r="J237" s="845">
        <v>999</v>
      </c>
      <c r="K237" s="845">
        <v>9</v>
      </c>
      <c r="L237" s="845">
        <v>99</v>
      </c>
      <c r="M237" s="845">
        <v>9</v>
      </c>
      <c r="N237" s="845">
        <v>3</v>
      </c>
      <c r="O237" s="845">
        <v>99999</v>
      </c>
      <c r="P237" s="907">
        <f t="shared" si="7"/>
        <v>0</v>
      </c>
      <c r="Q237" s="232">
        <f>Financeiros!D99</f>
        <v>0</v>
      </c>
    </row>
    <row r="238" spans="1:17" ht="15.75">
      <c r="A238" s="845" t="s">
        <v>697</v>
      </c>
      <c r="B238" s="845" t="s">
        <v>1290</v>
      </c>
      <c r="C238" s="845">
        <f>Financeiros!C100</f>
        <v>0</v>
      </c>
      <c r="D238" s="845">
        <v>2</v>
      </c>
      <c r="E238" s="845">
        <v>2</v>
      </c>
      <c r="F238" s="845">
        <v>999</v>
      </c>
      <c r="G238" s="845">
        <v>999999</v>
      </c>
      <c r="H238" s="845">
        <v>999</v>
      </c>
      <c r="I238" s="845">
        <v>99</v>
      </c>
      <c r="J238" s="845">
        <v>999</v>
      </c>
      <c r="K238" s="845">
        <v>9</v>
      </c>
      <c r="L238" s="845">
        <v>99</v>
      </c>
      <c r="M238" s="845">
        <v>9</v>
      </c>
      <c r="N238" s="845">
        <v>3</v>
      </c>
      <c r="O238" s="845">
        <v>99999</v>
      </c>
      <c r="P238" s="907">
        <f t="shared" ref="P238" si="8">IF(ISNUMBER(Q238),Q238,0)</f>
        <v>0</v>
      </c>
      <c r="Q238" s="232">
        <f>Financeiros!D100</f>
        <v>0</v>
      </c>
    </row>
    <row r="239" spans="1:17" ht="15.75">
      <c r="A239" s="1690" t="s">
        <v>1475</v>
      </c>
      <c r="B239" s="1691" t="s">
        <v>1475</v>
      </c>
      <c r="C239" s="1691" t="s">
        <v>1475</v>
      </c>
      <c r="D239" s="1691">
        <v>99</v>
      </c>
      <c r="E239" s="1691">
        <v>99</v>
      </c>
      <c r="F239" s="1691">
        <v>999</v>
      </c>
      <c r="G239" s="1691">
        <v>999999</v>
      </c>
      <c r="H239" s="1691">
        <v>999</v>
      </c>
      <c r="I239" s="1691">
        <v>99</v>
      </c>
      <c r="J239" s="1691">
        <v>999</v>
      </c>
      <c r="K239" s="1691">
        <v>9</v>
      </c>
      <c r="L239" s="1691">
        <v>99</v>
      </c>
      <c r="M239" s="1691">
        <v>9</v>
      </c>
      <c r="N239" s="1691">
        <v>99</v>
      </c>
      <c r="O239" s="1686">
        <v>99999</v>
      </c>
      <c r="P239" s="1692">
        <f>IF(ISNUMBER(Q239),Q239,0)</f>
        <v>0</v>
      </c>
      <c r="Q239" s="1693">
        <v>0</v>
      </c>
    </row>
    <row r="240" spans="1:17" ht="15.75">
      <c r="A240" s="1690" t="s">
        <v>1475</v>
      </c>
      <c r="B240" s="1691" t="s">
        <v>1475</v>
      </c>
      <c r="C240" s="1691" t="s">
        <v>1475</v>
      </c>
      <c r="D240" s="1691">
        <v>99</v>
      </c>
      <c r="E240" s="1691">
        <v>99</v>
      </c>
      <c r="F240" s="1691">
        <v>999</v>
      </c>
      <c r="G240" s="1691">
        <v>999999</v>
      </c>
      <c r="H240" s="1691">
        <v>999</v>
      </c>
      <c r="I240" s="1691">
        <v>99</v>
      </c>
      <c r="J240" s="1691">
        <v>999</v>
      </c>
      <c r="K240" s="1691">
        <v>9</v>
      </c>
      <c r="L240" s="1691">
        <v>99</v>
      </c>
      <c r="M240" s="1691">
        <v>9</v>
      </c>
      <c r="N240" s="1691">
        <v>99</v>
      </c>
      <c r="O240" s="1686">
        <v>99999</v>
      </c>
      <c r="P240" s="1692">
        <f>IF(ISNUMBER(Q240),Q240,0)</f>
        <v>0</v>
      </c>
      <c r="Q240" s="1693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697</v>
      </c>
      <c r="B1677" t="s">
        <v>718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697</v>
      </c>
      <c r="B1678" t="s">
        <v>718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697</v>
      </c>
      <c r="B1679" t="s">
        <v>718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697</v>
      </c>
      <c r="B1680" t="s">
        <v>718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697</v>
      </c>
      <c r="B1681" t="s">
        <v>718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697</v>
      </c>
      <c r="B1682" t="s">
        <v>718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2" t="s">
        <v>1515</v>
      </c>
      <c r="B1" s="493">
        <f>YEAR(SAS_RA0_DataInicio)*100+MONTH(SAS_RA0_DataInicio)</f>
        <v>202109</v>
      </c>
      <c r="D1" s="1392" t="s">
        <v>1516</v>
      </c>
      <c r="E1" s="1392" t="s">
        <v>1517</v>
      </c>
      <c r="F1" s="1392" t="s">
        <v>1518</v>
      </c>
    </row>
    <row r="2" spans="1:138" ht="15.75">
      <c r="A2" s="1392" t="s">
        <v>1519</v>
      </c>
      <c r="B2" s="493">
        <f>YEAR(SAS_RA0_DataFim)*100+MONTH(SAS_RA0_DataFim)</f>
        <v>202208</v>
      </c>
      <c r="D2" s="1393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4" t="s">
        <v>190</v>
      </c>
      <c r="B3" s="495">
        <f>YEAR(SAS_RA0_DataFim)*100+MONTH(SAS_RA0_DataFim)-MAX(C:C)+1</f>
        <v>202209</v>
      </c>
      <c r="D3" s="1393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1520</v>
      </c>
      <c r="B4" s="510" t="s">
        <v>1521</v>
      </c>
    </row>
    <row r="6" spans="1:138" ht="15.75">
      <c r="A6" s="765"/>
      <c r="B6" s="766"/>
      <c r="C6" s="766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5" t="s">
        <v>1522</v>
      </c>
      <c r="B1" s="1396">
        <v>0</v>
      </c>
    </row>
    <row r="2" spans="1:2">
      <c r="A2" s="1395" t="s">
        <v>1523</v>
      </c>
      <c r="B2" s="1396">
        <v>0</v>
      </c>
    </row>
    <row r="3" spans="1:2">
      <c r="A3" s="1395" t="s">
        <v>1524</v>
      </c>
      <c r="B3" s="1396">
        <v>0</v>
      </c>
    </row>
    <row r="4" spans="1:2">
      <c r="A4" s="1395" t="s">
        <v>1525</v>
      </c>
      <c r="B4" s="1396">
        <v>0</v>
      </c>
    </row>
    <row r="5" spans="1:2">
      <c r="A5" s="1395" t="s">
        <v>1526</v>
      </c>
      <c r="B5" s="1396">
        <v>0</v>
      </c>
    </row>
    <row r="6" spans="1:2">
      <c r="A6" s="1395" t="s">
        <v>1527</v>
      </c>
      <c r="B6" s="1396">
        <v>0</v>
      </c>
    </row>
    <row r="7" spans="1:2">
      <c r="A7" s="1395" t="s">
        <v>1528</v>
      </c>
      <c r="B7" s="1396">
        <v>0</v>
      </c>
    </row>
    <row r="8" spans="1:2">
      <c r="A8" s="1395" t="s">
        <v>1529</v>
      </c>
      <c r="B8" s="1396">
        <v>0</v>
      </c>
    </row>
    <row r="9" spans="1:2">
      <c r="A9" s="1395" t="s">
        <v>1530</v>
      </c>
      <c r="B9" s="1396">
        <v>0.45</v>
      </c>
    </row>
    <row r="10" spans="1:2">
      <c r="A10" s="1395" t="s">
        <v>1531</v>
      </c>
      <c r="B10" s="1396">
        <v>0.4</v>
      </c>
    </row>
    <row r="11" spans="1:2">
      <c r="A11" s="1395" t="s">
        <v>1532</v>
      </c>
      <c r="B11" s="1395">
        <v>0.65</v>
      </c>
    </row>
    <row r="12" spans="1:2">
      <c r="A12" s="1395" t="s">
        <v>1533</v>
      </c>
      <c r="B12" s="1395">
        <v>0.4</v>
      </c>
    </row>
    <row r="13" spans="1:2">
      <c r="A13" s="1395" t="s">
        <v>1534</v>
      </c>
      <c r="B13" s="1395">
        <v>0.1</v>
      </c>
    </row>
    <row r="14" spans="1:2">
      <c r="A14" s="1395" t="s">
        <v>1535</v>
      </c>
      <c r="B14" s="1395">
        <v>0</v>
      </c>
    </row>
    <row r="15" spans="1:2">
      <c r="A15" s="1395" t="s">
        <v>1536</v>
      </c>
      <c r="B15" s="1395">
        <v>0.3</v>
      </c>
    </row>
    <row r="16" spans="1:2">
      <c r="A16" s="1395" t="s">
        <v>1537</v>
      </c>
      <c r="B16" s="1395">
        <v>0.3</v>
      </c>
    </row>
    <row r="17" spans="1:13">
      <c r="A17" s="1395" t="s">
        <v>1538</v>
      </c>
      <c r="B17" s="1395">
        <v>0.4</v>
      </c>
    </row>
    <row r="20" spans="1:13" ht="15">
      <c r="D20" s="1397" t="s">
        <v>1377</v>
      </c>
      <c r="E20" s="1397" t="s">
        <v>961</v>
      </c>
      <c r="F20" s="1397" t="s">
        <v>1539</v>
      </c>
      <c r="G20" s="1397" t="s">
        <v>1540</v>
      </c>
      <c r="H20" s="1397" t="s">
        <v>1541</v>
      </c>
      <c r="I20" s="1397" t="s">
        <v>1542</v>
      </c>
      <c r="J20" s="1397" t="s">
        <v>1543</v>
      </c>
      <c r="K20" s="1397" t="s">
        <v>1544</v>
      </c>
      <c r="L20" s="1397" t="s">
        <v>1545</v>
      </c>
      <c r="M20" s="1397" t="s">
        <v>1045</v>
      </c>
    </row>
    <row r="21" spans="1:13" ht="30" hidden="1">
      <c r="D21" s="1398">
        <v>26</v>
      </c>
      <c r="E21" s="1399" t="s">
        <v>1546</v>
      </c>
      <c r="F21" s="1399" t="s">
        <v>113</v>
      </c>
      <c r="G21" s="1400">
        <v>41243</v>
      </c>
      <c r="H21" s="1401">
        <v>41243</v>
      </c>
      <c r="I21" s="1399" t="s">
        <v>964</v>
      </c>
      <c r="J21" s="1399" t="s">
        <v>114</v>
      </c>
      <c r="K21" s="1398">
        <v>1663</v>
      </c>
      <c r="L21" s="1399" t="s">
        <v>1547</v>
      </c>
      <c r="M21" s="1399" t="s">
        <v>1548</v>
      </c>
    </row>
    <row r="22" spans="1:13" ht="30" hidden="1">
      <c r="D22" s="1398">
        <v>28</v>
      </c>
      <c r="E22" s="1399" t="s">
        <v>1549</v>
      </c>
      <c r="F22" s="1399" t="s">
        <v>1550</v>
      </c>
      <c r="G22" s="1400">
        <v>41214</v>
      </c>
      <c r="H22" s="470"/>
      <c r="I22" s="1399" t="s">
        <v>964</v>
      </c>
      <c r="J22" s="1399" t="s">
        <v>114</v>
      </c>
      <c r="K22" s="1398">
        <v>1665</v>
      </c>
      <c r="L22" s="1399" t="s">
        <v>114</v>
      </c>
      <c r="M22" s="1399" t="s">
        <v>1548</v>
      </c>
    </row>
    <row r="23" spans="1:13" ht="30" hidden="1">
      <c r="D23" s="1398">
        <v>31</v>
      </c>
      <c r="E23" s="1399" t="s">
        <v>1551</v>
      </c>
      <c r="F23" s="1399" t="s">
        <v>115</v>
      </c>
      <c r="G23" s="1400">
        <v>41243</v>
      </c>
      <c r="H23" s="470"/>
      <c r="I23" s="1399" t="s">
        <v>964</v>
      </c>
      <c r="J23" s="1399" t="s">
        <v>114</v>
      </c>
      <c r="K23" s="1398">
        <v>1666</v>
      </c>
      <c r="L23" s="1399" t="s">
        <v>114</v>
      </c>
      <c r="M23" s="1399" t="s">
        <v>1548</v>
      </c>
    </row>
    <row r="24" spans="1:13" ht="30" hidden="1">
      <c r="D24" s="1398">
        <v>32</v>
      </c>
      <c r="E24" s="1399" t="s">
        <v>1552</v>
      </c>
      <c r="F24" s="1399" t="s">
        <v>116</v>
      </c>
      <c r="G24" s="1400">
        <v>41094</v>
      </c>
      <c r="H24" s="470"/>
      <c r="I24" s="1399" t="s">
        <v>964</v>
      </c>
      <c r="J24" s="1399" t="s">
        <v>114</v>
      </c>
      <c r="K24" s="1398">
        <v>1668</v>
      </c>
      <c r="L24" s="1399" t="s">
        <v>1553</v>
      </c>
      <c r="M24" s="1399" t="s">
        <v>1548</v>
      </c>
    </row>
    <row r="25" spans="1:13" ht="30" hidden="1">
      <c r="D25" s="1398">
        <v>37</v>
      </c>
      <c r="E25" s="1399" t="s">
        <v>1554</v>
      </c>
      <c r="F25" s="1399" t="s">
        <v>117</v>
      </c>
      <c r="G25" s="1400">
        <v>41149</v>
      </c>
      <c r="H25" s="470"/>
      <c r="I25" s="1399" t="s">
        <v>964</v>
      </c>
      <c r="J25" s="1399" t="s">
        <v>114</v>
      </c>
      <c r="K25" s="1398">
        <v>1669</v>
      </c>
      <c r="L25" s="1399" t="s">
        <v>1555</v>
      </c>
      <c r="M25" s="1399" t="s">
        <v>1548</v>
      </c>
    </row>
    <row r="26" spans="1:13" ht="30" hidden="1">
      <c r="D26" s="1398">
        <v>38</v>
      </c>
      <c r="E26" s="1399" t="s">
        <v>1556</v>
      </c>
      <c r="F26" s="1399" t="s">
        <v>118</v>
      </c>
      <c r="G26" s="1400">
        <v>41180</v>
      </c>
      <c r="H26" s="1401">
        <v>41149</v>
      </c>
      <c r="I26" s="1399" t="s">
        <v>964</v>
      </c>
      <c r="J26" s="1399" t="s">
        <v>114</v>
      </c>
      <c r="K26" s="1398">
        <v>1670</v>
      </c>
      <c r="L26" s="1399" t="s">
        <v>1557</v>
      </c>
      <c r="M26" s="1399" t="s">
        <v>1548</v>
      </c>
    </row>
    <row r="27" spans="1:13" ht="30" hidden="1">
      <c r="D27" s="1398">
        <v>39</v>
      </c>
      <c r="E27" s="1399" t="s">
        <v>1558</v>
      </c>
      <c r="F27" s="1399" t="s">
        <v>1559</v>
      </c>
      <c r="G27" s="1400">
        <v>41021</v>
      </c>
      <c r="H27" s="470"/>
      <c r="I27" s="1399" t="s">
        <v>964</v>
      </c>
      <c r="J27" s="1399" t="s">
        <v>114</v>
      </c>
      <c r="K27" s="1398">
        <v>1671</v>
      </c>
      <c r="L27" s="1399" t="s">
        <v>1560</v>
      </c>
      <c r="M27" s="1399" t="s">
        <v>1548</v>
      </c>
    </row>
    <row r="28" spans="1:13" ht="30" hidden="1">
      <c r="D28" s="1398">
        <v>40</v>
      </c>
      <c r="E28" s="1399" t="s">
        <v>1561</v>
      </c>
      <c r="F28" s="1399" t="s">
        <v>119</v>
      </c>
      <c r="G28" s="1400">
        <v>41021</v>
      </c>
      <c r="H28" s="470"/>
      <c r="I28" s="1399" t="s">
        <v>964</v>
      </c>
      <c r="J28" s="1399" t="s">
        <v>114</v>
      </c>
      <c r="K28" s="1398">
        <v>1672</v>
      </c>
      <c r="L28" s="1399" t="s">
        <v>1562</v>
      </c>
      <c r="M28" s="1399" t="s">
        <v>1548</v>
      </c>
    </row>
    <row r="29" spans="1:13" ht="30" hidden="1">
      <c r="D29" s="1398">
        <v>43</v>
      </c>
      <c r="E29" s="1399" t="s">
        <v>1563</v>
      </c>
      <c r="F29" s="1399" t="s">
        <v>120</v>
      </c>
      <c r="G29" s="1400">
        <v>41028</v>
      </c>
      <c r="H29" s="470"/>
      <c r="I29" s="1399" t="s">
        <v>964</v>
      </c>
      <c r="J29" s="1399" t="s">
        <v>114</v>
      </c>
      <c r="K29" s="1398">
        <v>1674</v>
      </c>
      <c r="L29" s="1399" t="s">
        <v>1564</v>
      </c>
      <c r="M29" s="1399" t="s">
        <v>1548</v>
      </c>
    </row>
    <row r="30" spans="1:13" ht="30" hidden="1">
      <c r="D30" s="1398">
        <v>44</v>
      </c>
      <c r="E30" s="1399" t="s">
        <v>1565</v>
      </c>
      <c r="F30" s="1399" t="s">
        <v>121</v>
      </c>
      <c r="G30" s="1400">
        <v>41180</v>
      </c>
      <c r="H30" s="470"/>
      <c r="I30" s="1399" t="s">
        <v>964</v>
      </c>
      <c r="J30" s="1399" t="s">
        <v>114</v>
      </c>
      <c r="K30" s="1398">
        <v>1675</v>
      </c>
      <c r="L30" s="1399" t="s">
        <v>1566</v>
      </c>
      <c r="M30" s="1399" t="s">
        <v>1548</v>
      </c>
    </row>
    <row r="31" spans="1:13" ht="30" hidden="1">
      <c r="D31" s="1398">
        <v>46</v>
      </c>
      <c r="E31" s="1399" t="s">
        <v>1567</v>
      </c>
      <c r="F31" s="1399" t="s">
        <v>122</v>
      </c>
      <c r="G31" s="1400">
        <v>41051</v>
      </c>
      <c r="H31" s="1401">
        <v>41257</v>
      </c>
      <c r="I31" s="1399" t="s">
        <v>964</v>
      </c>
      <c r="J31" s="1399" t="s">
        <v>1568</v>
      </c>
      <c r="K31" s="1398">
        <v>1676</v>
      </c>
      <c r="L31" s="1399" t="s">
        <v>1569</v>
      </c>
      <c r="M31" s="1399" t="s">
        <v>1548</v>
      </c>
    </row>
    <row r="32" spans="1:13" ht="30" hidden="1">
      <c r="D32" s="1398">
        <v>47</v>
      </c>
      <c r="E32" s="1399" t="s">
        <v>1570</v>
      </c>
      <c r="F32" s="1399" t="s">
        <v>123</v>
      </c>
      <c r="G32" s="1400">
        <v>41021</v>
      </c>
      <c r="H32" s="470"/>
      <c r="I32" s="1399" t="s">
        <v>964</v>
      </c>
      <c r="J32" s="1399" t="s">
        <v>114</v>
      </c>
      <c r="K32" s="1398">
        <v>1677</v>
      </c>
      <c r="L32" s="1399" t="s">
        <v>1571</v>
      </c>
      <c r="M32" s="1399" t="s">
        <v>1548</v>
      </c>
    </row>
    <row r="33" spans="4:13" ht="15" hidden="1">
      <c r="D33" s="1398">
        <v>51</v>
      </c>
      <c r="E33" s="1399" t="s">
        <v>1572</v>
      </c>
      <c r="F33" s="1399" t="s">
        <v>124</v>
      </c>
      <c r="G33" s="1400">
        <v>41235</v>
      </c>
      <c r="H33" s="1401">
        <v>41210</v>
      </c>
      <c r="I33" s="1399" t="s">
        <v>964</v>
      </c>
      <c r="J33" s="1399" t="s">
        <v>1568</v>
      </c>
      <c r="K33" s="1398">
        <v>1682</v>
      </c>
      <c r="L33" s="1399" t="s">
        <v>1573</v>
      </c>
      <c r="M33" s="1399" t="s">
        <v>1548</v>
      </c>
    </row>
    <row r="34" spans="4:13" ht="15" hidden="1">
      <c r="D34" s="1398">
        <v>56</v>
      </c>
      <c r="E34" s="1399" t="s">
        <v>1574</v>
      </c>
      <c r="F34" s="1399" t="s">
        <v>1575</v>
      </c>
      <c r="G34" s="470"/>
      <c r="H34" s="470"/>
      <c r="I34" s="1399" t="s">
        <v>964</v>
      </c>
      <c r="J34" s="1399" t="s">
        <v>114</v>
      </c>
      <c r="K34" s="1398">
        <v>1683</v>
      </c>
      <c r="L34" s="1399" t="s">
        <v>114</v>
      </c>
      <c r="M34" s="1399" t="s">
        <v>1548</v>
      </c>
    </row>
    <row r="35" spans="4:13" ht="30" hidden="1">
      <c r="D35" s="1398">
        <v>63</v>
      </c>
      <c r="E35" s="1399" t="s">
        <v>1576</v>
      </c>
      <c r="F35" s="1399" t="s">
        <v>125</v>
      </c>
      <c r="G35" s="1400">
        <v>41007</v>
      </c>
      <c r="H35" s="470"/>
      <c r="I35" s="1399" t="s">
        <v>964</v>
      </c>
      <c r="J35" s="1399" t="s">
        <v>114</v>
      </c>
      <c r="K35" s="1398">
        <v>1688</v>
      </c>
      <c r="L35" s="1399" t="s">
        <v>1577</v>
      </c>
      <c r="M35" s="1399" t="s">
        <v>1548</v>
      </c>
    </row>
    <row r="36" spans="4:13" ht="30" hidden="1">
      <c r="D36" s="1398">
        <v>69</v>
      </c>
      <c r="E36" s="1399" t="s">
        <v>1578</v>
      </c>
      <c r="F36" s="1399" t="s">
        <v>1579</v>
      </c>
      <c r="G36" s="1400">
        <v>40990</v>
      </c>
      <c r="H36" s="1401">
        <v>42038</v>
      </c>
      <c r="I36" s="1399" t="s">
        <v>964</v>
      </c>
      <c r="J36" s="1399" t="s">
        <v>114</v>
      </c>
      <c r="K36" s="1398">
        <v>1692</v>
      </c>
      <c r="L36" s="1399" t="s">
        <v>1580</v>
      </c>
      <c r="M36" s="1399" t="s">
        <v>1548</v>
      </c>
    </row>
    <row r="37" spans="4:13" ht="30" hidden="1">
      <c r="D37" s="1398">
        <v>70</v>
      </c>
      <c r="E37" s="1399" t="s">
        <v>1581</v>
      </c>
      <c r="F37" s="1399" t="s">
        <v>1582</v>
      </c>
      <c r="G37" s="1400">
        <v>40990</v>
      </c>
      <c r="H37" s="1401">
        <v>42038</v>
      </c>
      <c r="I37" s="1399" t="s">
        <v>964</v>
      </c>
      <c r="J37" s="1399" t="s">
        <v>114</v>
      </c>
      <c r="K37" s="1398">
        <v>1693</v>
      </c>
      <c r="L37" s="1399" t="s">
        <v>1583</v>
      </c>
      <c r="M37" s="1399" t="s">
        <v>1548</v>
      </c>
    </row>
    <row r="38" spans="4:13" ht="30" hidden="1">
      <c r="D38" s="1398">
        <v>71</v>
      </c>
      <c r="E38" s="1399" t="s">
        <v>1584</v>
      </c>
      <c r="F38" s="1399" t="s">
        <v>1585</v>
      </c>
      <c r="G38" s="1400">
        <v>40990</v>
      </c>
      <c r="H38" s="1401">
        <v>42038</v>
      </c>
      <c r="I38" s="1399" t="s">
        <v>964</v>
      </c>
      <c r="J38" s="1399" t="s">
        <v>114</v>
      </c>
      <c r="K38" s="1398">
        <v>1694</v>
      </c>
      <c r="L38" s="1399" t="s">
        <v>1586</v>
      </c>
      <c r="M38" s="1399" t="s">
        <v>1548</v>
      </c>
    </row>
    <row r="39" spans="4:13" ht="30" hidden="1">
      <c r="D39" s="1398">
        <v>72</v>
      </c>
      <c r="E39" s="1399" t="s">
        <v>1587</v>
      </c>
      <c r="F39" s="1399" t="s">
        <v>166</v>
      </c>
      <c r="G39" s="1400">
        <v>40990</v>
      </c>
      <c r="H39" s="1401">
        <v>42038</v>
      </c>
      <c r="I39" s="1399" t="s">
        <v>964</v>
      </c>
      <c r="J39" s="1399" t="s">
        <v>114</v>
      </c>
      <c r="K39" s="1398">
        <v>1695</v>
      </c>
      <c r="L39" s="1399" t="s">
        <v>1588</v>
      </c>
      <c r="M39" s="1399" t="s">
        <v>1548</v>
      </c>
    </row>
    <row r="40" spans="4:13" ht="30" hidden="1">
      <c r="D40" s="1398">
        <v>73</v>
      </c>
      <c r="E40" s="1399" t="s">
        <v>1589</v>
      </c>
      <c r="F40" s="1399" t="s">
        <v>1590</v>
      </c>
      <c r="G40" s="1400">
        <v>40990</v>
      </c>
      <c r="H40" s="1401">
        <v>42038</v>
      </c>
      <c r="I40" s="1399" t="s">
        <v>964</v>
      </c>
      <c r="J40" s="1399" t="s">
        <v>1568</v>
      </c>
      <c r="K40" s="1398">
        <v>1696</v>
      </c>
      <c r="L40" s="1399" t="s">
        <v>1591</v>
      </c>
      <c r="M40" s="1399" t="s">
        <v>1548</v>
      </c>
    </row>
    <row r="41" spans="4:13" ht="30" hidden="1">
      <c r="D41" s="1398">
        <v>75</v>
      </c>
      <c r="E41" s="1399" t="s">
        <v>1592</v>
      </c>
      <c r="F41" s="1399" t="s">
        <v>1593</v>
      </c>
      <c r="G41" s="1400">
        <v>41039</v>
      </c>
      <c r="H41" s="470"/>
      <c r="I41" s="1399" t="s">
        <v>964</v>
      </c>
      <c r="J41" s="1399" t="s">
        <v>114</v>
      </c>
      <c r="K41" s="1398">
        <v>1697</v>
      </c>
      <c r="L41" s="1399" t="s">
        <v>1594</v>
      </c>
      <c r="M41" s="1399" t="s">
        <v>1548</v>
      </c>
    </row>
    <row r="42" spans="4:13" ht="30" hidden="1">
      <c r="D42" s="1398">
        <v>82</v>
      </c>
      <c r="E42" s="1399" t="s">
        <v>1595</v>
      </c>
      <c r="F42" s="1399" t="s">
        <v>126</v>
      </c>
      <c r="G42" s="1400">
        <v>41089</v>
      </c>
      <c r="H42" s="1401">
        <v>41084</v>
      </c>
      <c r="I42" s="1399" t="s">
        <v>964</v>
      </c>
      <c r="J42" s="1399" t="s">
        <v>1568</v>
      </c>
      <c r="K42" s="1398">
        <v>1701</v>
      </c>
      <c r="L42" s="1399" t="s">
        <v>1596</v>
      </c>
      <c r="M42" s="1399" t="s">
        <v>1548</v>
      </c>
    </row>
    <row r="43" spans="4:13" ht="30" hidden="1">
      <c r="D43" s="1398">
        <v>83</v>
      </c>
      <c r="E43" s="1399" t="s">
        <v>1597</v>
      </c>
      <c r="F43" s="1399" t="s">
        <v>168</v>
      </c>
      <c r="G43" s="1400">
        <v>41147</v>
      </c>
      <c r="H43" s="470"/>
      <c r="I43" s="1399" t="s">
        <v>964</v>
      </c>
      <c r="J43" s="1399" t="s">
        <v>1568</v>
      </c>
      <c r="K43" s="1398">
        <v>1702</v>
      </c>
      <c r="L43" s="1399" t="s">
        <v>1598</v>
      </c>
      <c r="M43" s="1399" t="s">
        <v>1548</v>
      </c>
    </row>
    <row r="44" spans="4:13" ht="30" hidden="1">
      <c r="D44" s="1398">
        <v>84</v>
      </c>
      <c r="E44" s="1399" t="s">
        <v>1599</v>
      </c>
      <c r="F44" s="1399" t="s">
        <v>1600</v>
      </c>
      <c r="G44" s="1400">
        <v>41089</v>
      </c>
      <c r="H44" s="470"/>
      <c r="I44" s="1399" t="s">
        <v>964</v>
      </c>
      <c r="J44" s="1399" t="s">
        <v>1568</v>
      </c>
      <c r="K44" s="1398">
        <v>1703</v>
      </c>
      <c r="L44" s="1399" t="s">
        <v>1601</v>
      </c>
      <c r="M44" s="1399" t="s">
        <v>1548</v>
      </c>
    </row>
    <row r="45" spans="4:13" ht="30" hidden="1">
      <c r="D45" s="1398">
        <v>86</v>
      </c>
      <c r="E45" s="1399" t="s">
        <v>1602</v>
      </c>
      <c r="F45" s="1399" t="s">
        <v>127</v>
      </c>
      <c r="G45" s="1400">
        <v>41150</v>
      </c>
      <c r="H45" s="1401">
        <v>41865</v>
      </c>
      <c r="I45" s="1399" t="s">
        <v>964</v>
      </c>
      <c r="J45" s="1399" t="s">
        <v>1568</v>
      </c>
      <c r="K45" s="1398">
        <v>1704</v>
      </c>
      <c r="L45" s="1399" t="s">
        <v>1603</v>
      </c>
      <c r="M45" s="1399" t="s">
        <v>1548</v>
      </c>
    </row>
    <row r="46" spans="4:13" ht="30" hidden="1">
      <c r="D46" s="1398">
        <v>87</v>
      </c>
      <c r="E46" s="1399" t="s">
        <v>1604</v>
      </c>
      <c r="F46" s="1399" t="s">
        <v>128</v>
      </c>
      <c r="G46" s="1400">
        <v>41150</v>
      </c>
      <c r="H46" s="1401">
        <v>41128</v>
      </c>
      <c r="I46" s="1399" t="s">
        <v>964</v>
      </c>
      <c r="J46" s="1399" t="s">
        <v>1568</v>
      </c>
      <c r="K46" s="1398">
        <v>1705</v>
      </c>
      <c r="L46" s="1399" t="s">
        <v>1605</v>
      </c>
      <c r="M46" s="1399" t="s">
        <v>1548</v>
      </c>
    </row>
    <row r="47" spans="4:13" ht="30" hidden="1">
      <c r="D47" s="1398">
        <v>88</v>
      </c>
      <c r="E47" s="1399" t="s">
        <v>1606</v>
      </c>
      <c r="F47" s="1399" t="s">
        <v>1607</v>
      </c>
      <c r="G47" s="1400">
        <v>41150</v>
      </c>
      <c r="H47" s="1401">
        <v>41865</v>
      </c>
      <c r="I47" s="1399" t="s">
        <v>964</v>
      </c>
      <c r="J47" s="1399" t="s">
        <v>1568</v>
      </c>
      <c r="K47" s="1398">
        <v>1706</v>
      </c>
      <c r="L47" s="1399" t="s">
        <v>1608</v>
      </c>
      <c r="M47" s="1399" t="s">
        <v>1548</v>
      </c>
    </row>
    <row r="48" spans="4:13" ht="15" hidden="1">
      <c r="D48" s="1398">
        <v>95</v>
      </c>
      <c r="E48" s="1399" t="s">
        <v>1609</v>
      </c>
      <c r="F48" s="1399" t="s">
        <v>129</v>
      </c>
      <c r="G48" s="1400">
        <v>41112</v>
      </c>
      <c r="H48" s="1401">
        <v>41089</v>
      </c>
      <c r="I48" s="1399" t="s">
        <v>964</v>
      </c>
      <c r="J48" s="1399" t="s">
        <v>1568</v>
      </c>
      <c r="K48" s="1398">
        <v>1708</v>
      </c>
      <c r="L48" s="1399" t="s">
        <v>1610</v>
      </c>
      <c r="M48" s="1399" t="s">
        <v>1548</v>
      </c>
    </row>
    <row r="49" spans="4:13" ht="30" hidden="1">
      <c r="D49" s="1398">
        <v>103</v>
      </c>
      <c r="E49" s="1399" t="s">
        <v>1611</v>
      </c>
      <c r="F49" s="1399" t="s">
        <v>130</v>
      </c>
      <c r="G49" s="1400">
        <v>41235</v>
      </c>
      <c r="H49" s="1401">
        <v>41164</v>
      </c>
      <c r="I49" s="1399" t="s">
        <v>964</v>
      </c>
      <c r="J49" s="1399" t="s">
        <v>1568</v>
      </c>
      <c r="K49" s="1398">
        <v>1710</v>
      </c>
      <c r="L49" s="1399" t="s">
        <v>1612</v>
      </c>
      <c r="M49" s="1399" t="s">
        <v>1548</v>
      </c>
    </row>
    <row r="50" spans="4:13" ht="30">
      <c r="D50" s="1398">
        <v>213</v>
      </c>
      <c r="E50" s="1399" t="s">
        <v>1613</v>
      </c>
      <c r="F50" s="1399" t="s">
        <v>1614</v>
      </c>
      <c r="G50" s="470"/>
      <c r="H50" s="470"/>
      <c r="I50" s="1399" t="s">
        <v>964</v>
      </c>
      <c r="J50" s="1399" t="s">
        <v>114</v>
      </c>
      <c r="K50" s="1398">
        <v>1757</v>
      </c>
      <c r="L50" s="1399" t="s">
        <v>114</v>
      </c>
      <c r="M50" s="1399" t="s">
        <v>1175</v>
      </c>
    </row>
    <row r="51" spans="4:13" ht="30" hidden="1">
      <c r="D51" s="1398">
        <v>369</v>
      </c>
      <c r="E51" s="1399" t="s">
        <v>1615</v>
      </c>
      <c r="F51" s="1399" t="s">
        <v>131</v>
      </c>
      <c r="G51" s="1400">
        <v>41243</v>
      </c>
      <c r="H51" s="1401">
        <v>41243</v>
      </c>
      <c r="I51" s="1399" t="s">
        <v>964</v>
      </c>
      <c r="J51" s="1399" t="s">
        <v>114</v>
      </c>
      <c r="K51" s="1398">
        <v>1770</v>
      </c>
      <c r="L51" s="1399" t="s">
        <v>1616</v>
      </c>
      <c r="M51" s="1399" t="s">
        <v>1548</v>
      </c>
    </row>
    <row r="52" spans="4:13" ht="15" hidden="1">
      <c r="D52" s="1398">
        <v>370</v>
      </c>
      <c r="E52" s="1399" t="s">
        <v>1617</v>
      </c>
      <c r="F52" s="1399" t="s">
        <v>1618</v>
      </c>
      <c r="G52" s="1400">
        <v>41214</v>
      </c>
      <c r="H52" s="1401">
        <v>41214</v>
      </c>
      <c r="I52" s="1399" t="s">
        <v>964</v>
      </c>
      <c r="J52" s="1399" t="s">
        <v>114</v>
      </c>
      <c r="K52" s="1398">
        <v>1771</v>
      </c>
      <c r="L52" s="1399" t="s">
        <v>1619</v>
      </c>
      <c r="M52" s="1399" t="s">
        <v>1548</v>
      </c>
    </row>
    <row r="53" spans="4:13" ht="30" hidden="1">
      <c r="D53" s="1398">
        <v>371</v>
      </c>
      <c r="E53" s="1399" t="s">
        <v>1620</v>
      </c>
      <c r="F53" s="1399" t="s">
        <v>132</v>
      </c>
      <c r="G53" s="1400">
        <v>40762</v>
      </c>
      <c r="H53" s="470"/>
      <c r="I53" s="1399" t="s">
        <v>964</v>
      </c>
      <c r="J53" s="1399" t="s">
        <v>114</v>
      </c>
      <c r="K53" s="1398">
        <v>1772</v>
      </c>
      <c r="L53" s="1399" t="s">
        <v>1621</v>
      </c>
      <c r="M53" s="1399" t="s">
        <v>1548</v>
      </c>
    </row>
    <row r="54" spans="4:13" ht="30" hidden="1">
      <c r="D54" s="1398">
        <v>380</v>
      </c>
      <c r="E54" s="1399" t="s">
        <v>1622</v>
      </c>
      <c r="F54" s="1399" t="s">
        <v>1623</v>
      </c>
      <c r="G54" s="1400">
        <v>41128</v>
      </c>
      <c r="H54" s="470"/>
      <c r="I54" s="1399" t="s">
        <v>964</v>
      </c>
      <c r="J54" s="1399" t="s">
        <v>114</v>
      </c>
      <c r="K54" s="1398">
        <v>1777</v>
      </c>
      <c r="L54" s="1399" t="s">
        <v>1624</v>
      </c>
      <c r="M54" s="1399" t="s">
        <v>1548</v>
      </c>
    </row>
    <row r="55" spans="4:13" ht="30" hidden="1">
      <c r="D55" s="1398">
        <v>381</v>
      </c>
      <c r="E55" s="1399" t="s">
        <v>1625</v>
      </c>
      <c r="F55" s="1399" t="s">
        <v>133</v>
      </c>
      <c r="G55" s="1400">
        <v>41143</v>
      </c>
      <c r="H55" s="1401">
        <v>41136</v>
      </c>
      <c r="I55" s="1399" t="s">
        <v>964</v>
      </c>
      <c r="J55" s="1399" t="s">
        <v>114</v>
      </c>
      <c r="K55" s="1398">
        <v>1778</v>
      </c>
      <c r="L55" s="1399" t="s">
        <v>1626</v>
      </c>
      <c r="M55" s="1399" t="s">
        <v>1548</v>
      </c>
    </row>
    <row r="56" spans="4:13" ht="30" hidden="1">
      <c r="D56" s="1398">
        <v>382</v>
      </c>
      <c r="E56" s="1399" t="s">
        <v>1627</v>
      </c>
      <c r="F56" s="1399" t="s">
        <v>134</v>
      </c>
      <c r="G56" s="1400">
        <v>40983</v>
      </c>
      <c r="H56" s="1401">
        <v>41220</v>
      </c>
      <c r="I56" s="1399" t="s">
        <v>964</v>
      </c>
      <c r="J56" s="1399" t="s">
        <v>114</v>
      </c>
      <c r="K56" s="1398">
        <v>1779</v>
      </c>
      <c r="L56" s="1399" t="s">
        <v>1628</v>
      </c>
      <c r="M56" s="1399" t="s">
        <v>1548</v>
      </c>
    </row>
    <row r="57" spans="4:13" ht="30" hidden="1">
      <c r="D57" s="1398">
        <v>383</v>
      </c>
      <c r="E57" s="1399" t="s">
        <v>1629</v>
      </c>
      <c r="F57" s="1399" t="s">
        <v>430</v>
      </c>
      <c r="G57" s="1400">
        <v>40983</v>
      </c>
      <c r="H57" s="470"/>
      <c r="I57" s="1399" t="s">
        <v>964</v>
      </c>
      <c r="J57" s="1399" t="s">
        <v>114</v>
      </c>
      <c r="K57" s="1398">
        <v>1780</v>
      </c>
      <c r="L57" s="1399" t="s">
        <v>1630</v>
      </c>
      <c r="M57" s="1399" t="s">
        <v>1548</v>
      </c>
    </row>
    <row r="58" spans="4:13" ht="30" hidden="1">
      <c r="D58" s="1398">
        <v>385</v>
      </c>
      <c r="E58" s="1399" t="s">
        <v>1631</v>
      </c>
      <c r="F58" s="1399" t="s">
        <v>136</v>
      </c>
      <c r="G58" s="1400">
        <v>41148</v>
      </c>
      <c r="H58" s="470"/>
      <c r="I58" s="1399" t="s">
        <v>964</v>
      </c>
      <c r="J58" s="1399" t="s">
        <v>114</v>
      </c>
      <c r="K58" s="1398">
        <v>1782</v>
      </c>
      <c r="L58" s="1399" t="s">
        <v>1632</v>
      </c>
      <c r="M58" s="1399" t="s">
        <v>1548</v>
      </c>
    </row>
    <row r="59" spans="4:13" ht="30" hidden="1">
      <c r="D59" s="1398">
        <v>386</v>
      </c>
      <c r="E59" s="1399" t="s">
        <v>1633</v>
      </c>
      <c r="F59" s="1399" t="s">
        <v>1634</v>
      </c>
      <c r="G59" s="1400">
        <v>41039</v>
      </c>
      <c r="H59" s="470"/>
      <c r="I59" s="1399" t="s">
        <v>964</v>
      </c>
      <c r="J59" s="1399" t="s">
        <v>114</v>
      </c>
      <c r="K59" s="1398">
        <v>1783</v>
      </c>
      <c r="L59" s="1399" t="s">
        <v>1635</v>
      </c>
      <c r="M59" s="1399" t="s">
        <v>1548</v>
      </c>
    </row>
    <row r="60" spans="4:13" ht="45" hidden="1">
      <c r="D60" s="1398">
        <v>390</v>
      </c>
      <c r="E60" s="1399" t="s">
        <v>1636</v>
      </c>
      <c r="F60" s="1399" t="s">
        <v>251</v>
      </c>
      <c r="G60" s="1400">
        <v>41094</v>
      </c>
      <c r="H60" s="470"/>
      <c r="I60" s="1399" t="s">
        <v>964</v>
      </c>
      <c r="J60" s="1399" t="s">
        <v>114</v>
      </c>
      <c r="K60" s="1398">
        <v>1787</v>
      </c>
      <c r="L60" s="1399" t="s">
        <v>1637</v>
      </c>
      <c r="M60" s="1399" t="s">
        <v>1548</v>
      </c>
    </row>
    <row r="61" spans="4:13" ht="30" hidden="1">
      <c r="D61" s="1398">
        <v>391</v>
      </c>
      <c r="E61" s="1399" t="s">
        <v>1638</v>
      </c>
      <c r="F61" s="1399" t="s">
        <v>229</v>
      </c>
      <c r="G61" s="1400">
        <v>41205</v>
      </c>
      <c r="H61" s="470"/>
      <c r="I61" s="1399" t="s">
        <v>964</v>
      </c>
      <c r="J61" s="1399" t="s">
        <v>114</v>
      </c>
      <c r="K61" s="1398">
        <v>1788</v>
      </c>
      <c r="L61" s="1399" t="s">
        <v>1639</v>
      </c>
      <c r="M61" s="1399" t="s">
        <v>1548</v>
      </c>
    </row>
    <row r="62" spans="4:13" ht="30" hidden="1">
      <c r="D62" s="1398">
        <v>396</v>
      </c>
      <c r="E62" s="1399" t="s">
        <v>1640</v>
      </c>
      <c r="F62" s="1399" t="s">
        <v>1641</v>
      </c>
      <c r="G62" s="1400">
        <v>41018</v>
      </c>
      <c r="H62" s="470"/>
      <c r="I62" s="1399" t="s">
        <v>964</v>
      </c>
      <c r="J62" s="1399" t="s">
        <v>114</v>
      </c>
      <c r="K62" s="1398">
        <v>1792</v>
      </c>
      <c r="L62" s="1399" t="s">
        <v>1642</v>
      </c>
      <c r="M62" s="1399" t="s">
        <v>1548</v>
      </c>
    </row>
    <row r="63" spans="4:13" ht="15" hidden="1">
      <c r="D63" s="1398">
        <v>397</v>
      </c>
      <c r="E63" s="1399" t="s">
        <v>1643</v>
      </c>
      <c r="F63" s="1399" t="s">
        <v>167</v>
      </c>
      <c r="G63" s="1400">
        <v>41079</v>
      </c>
      <c r="H63" s="1401">
        <v>39922</v>
      </c>
      <c r="I63" s="1399" t="s">
        <v>964</v>
      </c>
      <c r="J63" s="1399" t="s">
        <v>114</v>
      </c>
      <c r="K63" s="1398">
        <v>1793</v>
      </c>
      <c r="L63" s="1399" t="s">
        <v>1644</v>
      </c>
      <c r="M63" s="1399" t="s">
        <v>1548</v>
      </c>
    </row>
    <row r="64" spans="4:13" ht="30" hidden="1">
      <c r="D64" s="1398">
        <v>398</v>
      </c>
      <c r="E64" s="1399" t="s">
        <v>1645</v>
      </c>
      <c r="F64" s="1399" t="s">
        <v>137</v>
      </c>
      <c r="G64" s="1400">
        <v>41112</v>
      </c>
      <c r="H64" s="1401">
        <v>41089</v>
      </c>
      <c r="I64" s="1399" t="s">
        <v>964</v>
      </c>
      <c r="J64" s="1399" t="s">
        <v>1568</v>
      </c>
      <c r="K64" s="1398">
        <v>1794</v>
      </c>
      <c r="L64" s="1399" t="s">
        <v>1646</v>
      </c>
      <c r="M64" s="1399" t="s">
        <v>1548</v>
      </c>
    </row>
    <row r="65" spans="4:13" ht="30" hidden="1">
      <c r="D65" s="1398">
        <v>399</v>
      </c>
      <c r="E65" s="1399" t="s">
        <v>1647</v>
      </c>
      <c r="F65" s="1399" t="s">
        <v>138</v>
      </c>
      <c r="G65" s="1400">
        <v>41112</v>
      </c>
      <c r="H65" s="1401">
        <v>41089</v>
      </c>
      <c r="I65" s="1399" t="s">
        <v>964</v>
      </c>
      <c r="J65" s="1399" t="s">
        <v>1568</v>
      </c>
      <c r="K65" s="1398">
        <v>1795</v>
      </c>
      <c r="L65" s="1399" t="s">
        <v>1648</v>
      </c>
      <c r="M65" s="1399" t="s">
        <v>1548</v>
      </c>
    </row>
    <row r="66" spans="4:13" ht="30" hidden="1">
      <c r="D66" s="1398">
        <v>400</v>
      </c>
      <c r="E66" s="1399" t="s">
        <v>1649</v>
      </c>
      <c r="F66" s="1399" t="s">
        <v>139</v>
      </c>
      <c r="G66" s="1400">
        <v>41051</v>
      </c>
      <c r="H66" s="1401">
        <v>41018</v>
      </c>
      <c r="I66" s="1399" t="s">
        <v>964</v>
      </c>
      <c r="J66" s="1399" t="s">
        <v>1568</v>
      </c>
      <c r="K66" s="1398">
        <v>1796</v>
      </c>
      <c r="L66" s="1399" t="s">
        <v>1650</v>
      </c>
      <c r="M66" s="1399" t="s">
        <v>1548</v>
      </c>
    </row>
    <row r="67" spans="4:13" ht="30" hidden="1">
      <c r="D67" s="1398">
        <v>401</v>
      </c>
      <c r="E67" s="1399" t="s">
        <v>1651</v>
      </c>
      <c r="F67" s="1399" t="s">
        <v>140</v>
      </c>
      <c r="G67" s="1400">
        <v>41112</v>
      </c>
      <c r="H67" s="1401">
        <v>41089</v>
      </c>
      <c r="I67" s="1399" t="s">
        <v>964</v>
      </c>
      <c r="J67" s="1399" t="s">
        <v>1568</v>
      </c>
      <c r="K67" s="1398">
        <v>1797</v>
      </c>
      <c r="L67" s="1399" t="s">
        <v>1652</v>
      </c>
      <c r="M67" s="1399" t="s">
        <v>1548</v>
      </c>
    </row>
    <row r="68" spans="4:13" ht="30" hidden="1">
      <c r="D68" s="1398">
        <v>404</v>
      </c>
      <c r="E68" s="1399" t="s">
        <v>1653</v>
      </c>
      <c r="F68" s="1399" t="s">
        <v>141</v>
      </c>
      <c r="G68" s="1400">
        <v>41007</v>
      </c>
      <c r="H68" s="470"/>
      <c r="I68" s="1399" t="s">
        <v>964</v>
      </c>
      <c r="J68" s="1399" t="s">
        <v>114</v>
      </c>
      <c r="K68" s="1398">
        <v>1800</v>
      </c>
      <c r="L68" s="1399" t="s">
        <v>1654</v>
      </c>
      <c r="M68" s="1399" t="s">
        <v>1548</v>
      </c>
    </row>
    <row r="69" spans="4:13" ht="30" hidden="1">
      <c r="D69" s="1398">
        <v>405</v>
      </c>
      <c r="E69" s="1399" t="s">
        <v>1655</v>
      </c>
      <c r="F69" s="1399" t="s">
        <v>142</v>
      </c>
      <c r="G69" s="1400">
        <v>41007</v>
      </c>
      <c r="H69" s="470"/>
      <c r="I69" s="1399" t="s">
        <v>964</v>
      </c>
      <c r="J69" s="1399" t="s">
        <v>114</v>
      </c>
      <c r="K69" s="1398">
        <v>1802</v>
      </c>
      <c r="L69" s="1399" t="s">
        <v>1656</v>
      </c>
      <c r="M69" s="1399" t="s">
        <v>1548</v>
      </c>
    </row>
    <row r="70" spans="4:13" ht="30">
      <c r="D70" s="1398">
        <v>598</v>
      </c>
      <c r="E70" s="1399" t="s">
        <v>1657</v>
      </c>
      <c r="F70" s="1399" t="s">
        <v>1658</v>
      </c>
      <c r="G70" s="1400">
        <v>41485</v>
      </c>
      <c r="H70" s="470"/>
      <c r="I70" s="1399" t="s">
        <v>964</v>
      </c>
      <c r="J70" s="1399" t="s">
        <v>1568</v>
      </c>
      <c r="K70" s="1398">
        <v>1855</v>
      </c>
      <c r="L70" s="1399" t="s">
        <v>1659</v>
      </c>
      <c r="M70" s="1399" t="s">
        <v>1175</v>
      </c>
    </row>
    <row r="71" spans="4:13" ht="30">
      <c r="D71" s="1398">
        <v>2351</v>
      </c>
      <c r="E71" s="1399" t="s">
        <v>1660</v>
      </c>
      <c r="F71" s="1399" t="s">
        <v>404</v>
      </c>
      <c r="G71" s="1400">
        <v>41485</v>
      </c>
      <c r="H71" s="470"/>
      <c r="I71" s="1399" t="s">
        <v>964</v>
      </c>
      <c r="J71" s="1399" t="s">
        <v>1568</v>
      </c>
      <c r="K71" s="1398">
        <v>2062</v>
      </c>
      <c r="L71" s="1399" t="s">
        <v>1661</v>
      </c>
      <c r="M71" s="1399" t="s">
        <v>1175</v>
      </c>
    </row>
    <row r="72" spans="4:13" ht="45">
      <c r="D72" s="1398">
        <v>2381</v>
      </c>
      <c r="E72" s="1399" t="s">
        <v>1662</v>
      </c>
      <c r="F72" s="1399" t="s">
        <v>376</v>
      </c>
      <c r="G72" s="1400">
        <v>41485</v>
      </c>
      <c r="H72" s="470"/>
      <c r="I72" s="1399" t="s">
        <v>964</v>
      </c>
      <c r="J72" s="1399" t="s">
        <v>1568</v>
      </c>
      <c r="K72" s="1398">
        <v>2066</v>
      </c>
      <c r="L72" s="1399" t="s">
        <v>1663</v>
      </c>
      <c r="M72" s="1399" t="s">
        <v>1175</v>
      </c>
    </row>
    <row r="73" spans="4:13" ht="30" hidden="1">
      <c r="D73" s="1398">
        <v>2513</v>
      </c>
      <c r="E73" s="1399" t="s">
        <v>1664</v>
      </c>
      <c r="F73" s="1399" t="s">
        <v>1665</v>
      </c>
      <c r="G73" s="1400">
        <v>40909</v>
      </c>
      <c r="H73" s="470"/>
      <c r="I73" s="1399" t="s">
        <v>964</v>
      </c>
      <c r="J73" s="1399" t="s">
        <v>114</v>
      </c>
      <c r="K73" s="1398">
        <v>2076</v>
      </c>
      <c r="L73" s="1399" t="s">
        <v>114</v>
      </c>
      <c r="M73" s="1399" t="s">
        <v>114</v>
      </c>
    </row>
    <row r="74" spans="4:13" ht="45">
      <c r="D74" s="1398">
        <v>2763</v>
      </c>
      <c r="E74" s="1399" t="s">
        <v>1666</v>
      </c>
      <c r="F74" s="1399" t="s">
        <v>144</v>
      </c>
      <c r="G74" s="1400">
        <v>41485</v>
      </c>
      <c r="H74" s="470"/>
      <c r="I74" s="1399" t="s">
        <v>964</v>
      </c>
      <c r="J74" s="1399" t="s">
        <v>1568</v>
      </c>
      <c r="K74" s="1398">
        <v>2111</v>
      </c>
      <c r="L74" s="1399" t="s">
        <v>1667</v>
      </c>
      <c r="M74" s="1399" t="s">
        <v>1175</v>
      </c>
    </row>
    <row r="75" spans="4:13" ht="45">
      <c r="D75" s="1398">
        <v>2783</v>
      </c>
      <c r="E75" s="1399" t="s">
        <v>1668</v>
      </c>
      <c r="F75" s="1399" t="s">
        <v>415</v>
      </c>
      <c r="G75" s="1400">
        <v>41485</v>
      </c>
      <c r="H75" s="470"/>
      <c r="I75" s="1399" t="s">
        <v>964</v>
      </c>
      <c r="J75" s="1399" t="s">
        <v>1568</v>
      </c>
      <c r="K75" s="1398">
        <v>2114</v>
      </c>
      <c r="L75" s="1399" t="s">
        <v>1669</v>
      </c>
      <c r="M75" s="1399" t="s">
        <v>1175</v>
      </c>
    </row>
    <row r="76" spans="4:13" ht="15" hidden="1">
      <c r="D76" s="1398">
        <v>2866</v>
      </c>
      <c r="E76" s="1399" t="s">
        <v>1670</v>
      </c>
      <c r="F76" s="1399" t="s">
        <v>145</v>
      </c>
      <c r="G76" s="1400">
        <v>41084</v>
      </c>
      <c r="H76" s="470"/>
      <c r="I76" s="1399" t="s">
        <v>964</v>
      </c>
      <c r="J76" s="1399" t="s">
        <v>114</v>
      </c>
      <c r="K76" s="1398">
        <v>2126</v>
      </c>
      <c r="L76" s="1399" t="s">
        <v>1671</v>
      </c>
      <c r="M76" s="1399" t="s">
        <v>1548</v>
      </c>
    </row>
    <row r="77" spans="4:13" ht="30" hidden="1">
      <c r="D77" s="1398">
        <v>2904</v>
      </c>
      <c r="E77" s="1399" t="s">
        <v>1672</v>
      </c>
      <c r="F77" s="1399" t="s">
        <v>1673</v>
      </c>
      <c r="G77" s="1400">
        <v>41150</v>
      </c>
      <c r="H77" s="1401">
        <v>41135</v>
      </c>
      <c r="I77" s="1399" t="s">
        <v>964</v>
      </c>
      <c r="J77" s="1399" t="s">
        <v>1568</v>
      </c>
      <c r="K77" s="1398">
        <v>2134</v>
      </c>
      <c r="L77" s="1399" t="s">
        <v>1674</v>
      </c>
      <c r="M77" s="1399" t="s">
        <v>1548</v>
      </c>
    </row>
    <row r="78" spans="4:13" ht="30" hidden="1">
      <c r="D78" s="1398">
        <v>2937</v>
      </c>
      <c r="E78" s="1399" t="s">
        <v>1675</v>
      </c>
      <c r="F78" s="1399" t="s">
        <v>146</v>
      </c>
      <c r="G78" s="1400">
        <v>41205</v>
      </c>
      <c r="H78" s="470"/>
      <c r="I78" s="1399" t="s">
        <v>964</v>
      </c>
      <c r="J78" s="1399" t="s">
        <v>114</v>
      </c>
      <c r="K78" s="1398">
        <v>2141</v>
      </c>
      <c r="L78" s="1399" t="s">
        <v>1676</v>
      </c>
      <c r="M78" s="1399" t="s">
        <v>1548</v>
      </c>
    </row>
    <row r="79" spans="4:13" ht="30">
      <c r="D79" s="1398">
        <v>3223</v>
      </c>
      <c r="E79" s="1399" t="s">
        <v>1677</v>
      </c>
      <c r="F79" s="1399" t="s">
        <v>388</v>
      </c>
      <c r="G79" s="1400">
        <v>41423</v>
      </c>
      <c r="H79" s="470"/>
      <c r="I79" s="1399" t="s">
        <v>964</v>
      </c>
      <c r="J79" s="1399" t="s">
        <v>1568</v>
      </c>
      <c r="K79" s="1398">
        <v>2193</v>
      </c>
      <c r="L79" s="1399" t="s">
        <v>1678</v>
      </c>
      <c r="M79" s="1399" t="s">
        <v>1175</v>
      </c>
    </row>
    <row r="80" spans="4:13" ht="45">
      <c r="D80" s="1398">
        <v>3627</v>
      </c>
      <c r="E80" s="1399" t="s">
        <v>1679</v>
      </c>
      <c r="F80" s="1399" t="s">
        <v>399</v>
      </c>
      <c r="G80" s="1400">
        <v>41485</v>
      </c>
      <c r="H80" s="470"/>
      <c r="I80" s="1399" t="s">
        <v>964</v>
      </c>
      <c r="J80" s="1399" t="s">
        <v>1568</v>
      </c>
      <c r="K80" s="1398">
        <v>2215</v>
      </c>
      <c r="L80" s="1399" t="s">
        <v>1680</v>
      </c>
      <c r="M80" s="1399" t="s">
        <v>1175</v>
      </c>
    </row>
    <row r="81" spans="4:13" ht="45">
      <c r="D81" s="1398">
        <v>4248</v>
      </c>
      <c r="E81" s="1399" t="s">
        <v>1681</v>
      </c>
      <c r="F81" s="1399" t="s">
        <v>1682</v>
      </c>
      <c r="G81" s="1400">
        <v>41485</v>
      </c>
      <c r="H81" s="470"/>
      <c r="I81" s="1399" t="s">
        <v>964</v>
      </c>
      <c r="J81" s="1399" t="s">
        <v>1568</v>
      </c>
      <c r="K81" s="1398">
        <v>2245</v>
      </c>
      <c r="L81" s="1399" t="s">
        <v>1683</v>
      </c>
      <c r="M81" s="1399" t="s">
        <v>1175</v>
      </c>
    </row>
    <row r="82" spans="4:13" ht="105" hidden="1">
      <c r="D82" s="1398">
        <v>4950</v>
      </c>
      <c r="E82" s="1399" t="s">
        <v>1684</v>
      </c>
      <c r="F82" s="1399" t="s">
        <v>147</v>
      </c>
      <c r="G82" s="1400">
        <v>41057</v>
      </c>
      <c r="H82" s="1401">
        <v>41007</v>
      </c>
      <c r="I82" s="1399" t="s">
        <v>964</v>
      </c>
      <c r="J82" s="1399" t="s">
        <v>114</v>
      </c>
      <c r="K82" s="1398">
        <v>2285</v>
      </c>
      <c r="L82" s="1399" t="s">
        <v>1685</v>
      </c>
      <c r="M82" s="1399" t="s">
        <v>1548</v>
      </c>
    </row>
    <row r="83" spans="4:13" ht="15" hidden="1">
      <c r="D83" s="1398">
        <v>5160</v>
      </c>
      <c r="E83" s="1399" t="s">
        <v>1686</v>
      </c>
      <c r="F83" s="1399" t="s">
        <v>148</v>
      </c>
      <c r="G83" s="1400">
        <v>41204</v>
      </c>
      <c r="H83" s="1401">
        <v>41147</v>
      </c>
      <c r="I83" s="1399" t="s">
        <v>964</v>
      </c>
      <c r="J83" s="1399" t="s">
        <v>114</v>
      </c>
      <c r="K83" s="1398">
        <v>2313</v>
      </c>
      <c r="L83" s="1399" t="s">
        <v>1687</v>
      </c>
      <c r="M83" s="1399" t="s">
        <v>1548</v>
      </c>
    </row>
    <row r="84" spans="4:13" ht="30" hidden="1">
      <c r="D84" s="1398">
        <v>5216</v>
      </c>
      <c r="E84" s="1399" t="s">
        <v>1688</v>
      </c>
      <c r="F84" s="1399" t="s">
        <v>1689</v>
      </c>
      <c r="G84" s="1400">
        <v>41039</v>
      </c>
      <c r="H84" s="470"/>
      <c r="I84" s="1399" t="s">
        <v>964</v>
      </c>
      <c r="J84" s="1399" t="s">
        <v>114</v>
      </c>
      <c r="K84" s="1398">
        <v>2330</v>
      </c>
      <c r="L84" s="1399" t="s">
        <v>1690</v>
      </c>
      <c r="M84" s="1399" t="s">
        <v>1548</v>
      </c>
    </row>
    <row r="85" spans="4:13" ht="30" hidden="1">
      <c r="D85" s="1398">
        <v>5217</v>
      </c>
      <c r="E85" s="1399" t="s">
        <v>1691</v>
      </c>
      <c r="F85" s="1399" t="s">
        <v>1692</v>
      </c>
      <c r="G85" s="1400">
        <v>41039</v>
      </c>
      <c r="H85" s="470"/>
      <c r="I85" s="1399" t="s">
        <v>964</v>
      </c>
      <c r="J85" s="1399" t="s">
        <v>114</v>
      </c>
      <c r="K85" s="1398">
        <v>2331</v>
      </c>
      <c r="L85" s="1399" t="s">
        <v>1693</v>
      </c>
      <c r="M85" s="1399" t="s">
        <v>1548</v>
      </c>
    </row>
    <row r="86" spans="4:13" ht="45">
      <c r="D86" s="1398">
        <v>5274</v>
      </c>
      <c r="E86" s="1399" t="s">
        <v>1694</v>
      </c>
      <c r="F86" s="1399" t="s">
        <v>149</v>
      </c>
      <c r="G86" s="1400">
        <v>41393</v>
      </c>
      <c r="H86" s="470"/>
      <c r="I86" s="1399" t="s">
        <v>964</v>
      </c>
      <c r="J86" s="1399" t="s">
        <v>1568</v>
      </c>
      <c r="K86" s="1398">
        <v>2339</v>
      </c>
      <c r="L86" s="1399" t="s">
        <v>1695</v>
      </c>
      <c r="M86" s="1399" t="s">
        <v>1175</v>
      </c>
    </row>
    <row r="87" spans="4:13" ht="45">
      <c r="D87" s="1398">
        <v>5351</v>
      </c>
      <c r="E87" s="1399" t="s">
        <v>1696</v>
      </c>
      <c r="F87" s="1399" t="s">
        <v>150</v>
      </c>
      <c r="G87" s="1400">
        <v>41212</v>
      </c>
      <c r="H87" s="470"/>
      <c r="I87" s="1399" t="s">
        <v>964</v>
      </c>
      <c r="J87" s="1399" t="s">
        <v>1568</v>
      </c>
      <c r="K87" s="1398">
        <v>2340</v>
      </c>
      <c r="L87" s="1399" t="s">
        <v>1697</v>
      </c>
      <c r="M87" s="1399" t="s">
        <v>1175</v>
      </c>
    </row>
    <row r="88" spans="4:13" ht="60">
      <c r="D88" s="1398">
        <v>5352</v>
      </c>
      <c r="E88" s="1399" t="s">
        <v>1698</v>
      </c>
      <c r="F88" s="1399" t="s">
        <v>311</v>
      </c>
      <c r="G88" s="1400">
        <v>41182</v>
      </c>
      <c r="H88" s="470"/>
      <c r="I88" s="1399" t="s">
        <v>964</v>
      </c>
      <c r="J88" s="1399" t="s">
        <v>1568</v>
      </c>
      <c r="K88" s="1398">
        <v>2341</v>
      </c>
      <c r="L88" s="1399" t="s">
        <v>1699</v>
      </c>
      <c r="M88" s="1399" t="s">
        <v>1175</v>
      </c>
    </row>
    <row r="89" spans="4:13" ht="45">
      <c r="D89" s="1398">
        <v>5353</v>
      </c>
      <c r="E89" s="1399" t="s">
        <v>1700</v>
      </c>
      <c r="F89" s="1399" t="s">
        <v>151</v>
      </c>
      <c r="G89" s="1400">
        <v>41182</v>
      </c>
      <c r="H89" s="470"/>
      <c r="I89" s="1399" t="s">
        <v>964</v>
      </c>
      <c r="J89" s="1399" t="s">
        <v>1568</v>
      </c>
      <c r="K89" s="1398">
        <v>2342</v>
      </c>
      <c r="L89" s="1399" t="s">
        <v>1701</v>
      </c>
      <c r="M89" s="1399" t="s">
        <v>1175</v>
      </c>
    </row>
    <row r="90" spans="4:13" ht="30">
      <c r="D90" s="1398">
        <v>5355</v>
      </c>
      <c r="E90" s="1399" t="s">
        <v>1702</v>
      </c>
      <c r="F90" s="1399" t="s">
        <v>322</v>
      </c>
      <c r="G90" s="1400">
        <v>41182</v>
      </c>
      <c r="H90" s="470"/>
      <c r="I90" s="1399" t="s">
        <v>964</v>
      </c>
      <c r="J90" s="1399" t="s">
        <v>1568</v>
      </c>
      <c r="K90" s="1398">
        <v>2343</v>
      </c>
      <c r="L90" s="1399" t="s">
        <v>1703</v>
      </c>
      <c r="M90" s="1399" t="s">
        <v>1175</v>
      </c>
    </row>
    <row r="91" spans="4:13" ht="30">
      <c r="D91" s="1398">
        <v>5363</v>
      </c>
      <c r="E91" s="1399" t="s">
        <v>1704</v>
      </c>
      <c r="F91" s="1399" t="s">
        <v>329</v>
      </c>
      <c r="G91" s="1400">
        <v>41182</v>
      </c>
      <c r="H91" s="470"/>
      <c r="I91" s="1399" t="s">
        <v>964</v>
      </c>
      <c r="J91" s="1399" t="s">
        <v>1568</v>
      </c>
      <c r="K91" s="1398">
        <v>2344</v>
      </c>
      <c r="L91" s="1399" t="s">
        <v>1705</v>
      </c>
      <c r="M91" s="1399" t="s">
        <v>1175</v>
      </c>
    </row>
    <row r="92" spans="4:13" ht="30">
      <c r="D92" s="1398">
        <v>5364</v>
      </c>
      <c r="E92" s="1399" t="s">
        <v>1706</v>
      </c>
      <c r="F92" s="1399" t="s">
        <v>334</v>
      </c>
      <c r="G92" s="1400">
        <v>41182</v>
      </c>
      <c r="H92" s="470"/>
      <c r="I92" s="1399" t="s">
        <v>964</v>
      </c>
      <c r="J92" s="1399" t="s">
        <v>1568</v>
      </c>
      <c r="K92" s="1398">
        <v>2345</v>
      </c>
      <c r="L92" s="1399" t="s">
        <v>1707</v>
      </c>
      <c r="M92" s="1399" t="s">
        <v>1175</v>
      </c>
    </row>
    <row r="93" spans="4:13" ht="30">
      <c r="D93" s="1398">
        <v>5365</v>
      </c>
      <c r="E93" s="1399" t="s">
        <v>1708</v>
      </c>
      <c r="F93" s="1399" t="s">
        <v>340</v>
      </c>
      <c r="G93" s="1400">
        <v>41182</v>
      </c>
      <c r="H93" s="470"/>
      <c r="I93" s="1399" t="s">
        <v>964</v>
      </c>
      <c r="J93" s="1399" t="s">
        <v>1568</v>
      </c>
      <c r="K93" s="1398">
        <v>2346</v>
      </c>
      <c r="L93" s="1399" t="s">
        <v>1709</v>
      </c>
      <c r="M93" s="1399" t="s">
        <v>1175</v>
      </c>
    </row>
    <row r="94" spans="4:13" ht="45">
      <c r="D94" s="1398">
        <v>5366</v>
      </c>
      <c r="E94" s="1399" t="s">
        <v>1710</v>
      </c>
      <c r="F94" s="1399" t="s">
        <v>153</v>
      </c>
      <c r="G94" s="1400">
        <v>41182</v>
      </c>
      <c r="H94" s="470"/>
      <c r="I94" s="1399" t="s">
        <v>964</v>
      </c>
      <c r="J94" s="1399" t="s">
        <v>1568</v>
      </c>
      <c r="K94" s="1398">
        <v>2347</v>
      </c>
      <c r="L94" s="1399" t="s">
        <v>1711</v>
      </c>
      <c r="M94" s="1399" t="s">
        <v>1175</v>
      </c>
    </row>
    <row r="95" spans="4:13" ht="30">
      <c r="D95" s="1398">
        <v>5367</v>
      </c>
      <c r="E95" s="1399" t="s">
        <v>1712</v>
      </c>
      <c r="F95" s="1399" t="s">
        <v>9</v>
      </c>
      <c r="G95" s="1400">
        <v>40899</v>
      </c>
      <c r="H95" s="470"/>
      <c r="I95" s="1399" t="s">
        <v>964</v>
      </c>
      <c r="J95" s="1399" t="s">
        <v>1568</v>
      </c>
      <c r="K95" s="1398">
        <v>2348</v>
      </c>
      <c r="L95" s="1399" t="s">
        <v>1713</v>
      </c>
      <c r="M95" s="1399" t="s">
        <v>1175</v>
      </c>
    </row>
    <row r="96" spans="4:13" ht="30">
      <c r="D96" s="1398">
        <v>5368</v>
      </c>
      <c r="E96" s="1399" t="s">
        <v>1714</v>
      </c>
      <c r="F96" s="1399" t="s">
        <v>345</v>
      </c>
      <c r="G96" s="1400">
        <v>41182</v>
      </c>
      <c r="H96" s="470"/>
      <c r="I96" s="1399" t="s">
        <v>964</v>
      </c>
      <c r="J96" s="1399" t="s">
        <v>1568</v>
      </c>
      <c r="K96" s="1398">
        <v>2349</v>
      </c>
      <c r="L96" s="1399" t="s">
        <v>1715</v>
      </c>
      <c r="M96" s="1399" t="s">
        <v>1175</v>
      </c>
    </row>
    <row r="97" spans="4:13" ht="30">
      <c r="D97" s="1398">
        <v>5369</v>
      </c>
      <c r="E97" s="1399" t="s">
        <v>1716</v>
      </c>
      <c r="F97" s="1399" t="s">
        <v>350</v>
      </c>
      <c r="G97" s="1400">
        <v>41182</v>
      </c>
      <c r="H97" s="470"/>
      <c r="I97" s="1399" t="s">
        <v>964</v>
      </c>
      <c r="J97" s="1399" t="s">
        <v>1568</v>
      </c>
      <c r="K97" s="1398">
        <v>2350</v>
      </c>
      <c r="L97" s="1399" t="s">
        <v>1717</v>
      </c>
      <c r="M97" s="1399" t="s">
        <v>1175</v>
      </c>
    </row>
    <row r="98" spans="4:13" ht="30">
      <c r="D98" s="1398">
        <v>5370</v>
      </c>
      <c r="E98" s="1399" t="s">
        <v>1718</v>
      </c>
      <c r="F98" s="1399" t="s">
        <v>154</v>
      </c>
      <c r="G98" s="1400">
        <v>41182</v>
      </c>
      <c r="H98" s="470"/>
      <c r="I98" s="1399" t="s">
        <v>964</v>
      </c>
      <c r="J98" s="1399" t="s">
        <v>1568</v>
      </c>
      <c r="K98" s="1398">
        <v>2351</v>
      </c>
      <c r="L98" s="1399" t="s">
        <v>1719</v>
      </c>
      <c r="M98" s="1399" t="s">
        <v>1175</v>
      </c>
    </row>
    <row r="99" spans="4:13" ht="30">
      <c r="D99" s="1398">
        <v>5371</v>
      </c>
      <c r="E99" s="1399" t="s">
        <v>1720</v>
      </c>
      <c r="F99" s="1399" t="s">
        <v>359</v>
      </c>
      <c r="G99" s="1400">
        <v>41182</v>
      </c>
      <c r="H99" s="470"/>
      <c r="I99" s="1399" t="s">
        <v>964</v>
      </c>
      <c r="J99" s="1399" t="s">
        <v>1568</v>
      </c>
      <c r="K99" s="1398">
        <v>2352</v>
      </c>
      <c r="L99" s="1399" t="s">
        <v>1721</v>
      </c>
      <c r="M99" s="1399" t="s">
        <v>1175</v>
      </c>
    </row>
    <row r="100" spans="4:13" ht="30">
      <c r="D100" s="1398">
        <v>5373</v>
      </c>
      <c r="E100" s="1399" t="s">
        <v>1722</v>
      </c>
      <c r="F100" s="1399" t="s">
        <v>366</v>
      </c>
      <c r="G100" s="1400">
        <v>41182</v>
      </c>
      <c r="H100" s="470"/>
      <c r="I100" s="1399" t="s">
        <v>964</v>
      </c>
      <c r="J100" s="1399" t="s">
        <v>1568</v>
      </c>
      <c r="K100" s="1398">
        <v>2353</v>
      </c>
      <c r="L100" s="1399" t="s">
        <v>1723</v>
      </c>
      <c r="M100" s="1399" t="s">
        <v>1175</v>
      </c>
    </row>
    <row r="101" spans="4:13" ht="45">
      <c r="D101" s="1398">
        <v>5377</v>
      </c>
      <c r="E101" s="1399" t="s">
        <v>1724</v>
      </c>
      <c r="F101" s="1399" t="s">
        <v>310</v>
      </c>
      <c r="G101" s="1400">
        <v>41393</v>
      </c>
      <c r="H101" s="470"/>
      <c r="I101" s="1399" t="s">
        <v>964</v>
      </c>
      <c r="J101" s="1399" t="s">
        <v>1568</v>
      </c>
      <c r="K101" s="1398">
        <v>2355</v>
      </c>
      <c r="L101" s="1399" t="s">
        <v>1725</v>
      </c>
      <c r="M101" s="1399" t="s">
        <v>1175</v>
      </c>
    </row>
    <row r="102" spans="4:13" ht="45">
      <c r="D102" s="1398">
        <v>5378</v>
      </c>
      <c r="E102" s="1399" t="s">
        <v>1726</v>
      </c>
      <c r="F102" s="1399" t="s">
        <v>242</v>
      </c>
      <c r="G102" s="1400">
        <v>41393</v>
      </c>
      <c r="H102" s="470"/>
      <c r="I102" s="1399" t="s">
        <v>964</v>
      </c>
      <c r="J102" s="1399" t="s">
        <v>1568</v>
      </c>
      <c r="K102" s="1398">
        <v>2356</v>
      </c>
      <c r="L102" s="1399" t="s">
        <v>1727</v>
      </c>
      <c r="M102" s="1399" t="s">
        <v>1175</v>
      </c>
    </row>
    <row r="103" spans="4:13" ht="45">
      <c r="D103" s="1398">
        <v>5379</v>
      </c>
      <c r="E103" s="1399" t="s">
        <v>1728</v>
      </c>
      <c r="F103" s="1399" t="s">
        <v>278</v>
      </c>
      <c r="G103" s="1400">
        <v>41212</v>
      </c>
      <c r="H103" s="470"/>
      <c r="I103" s="1399" t="s">
        <v>964</v>
      </c>
      <c r="J103" s="1399" t="s">
        <v>1568</v>
      </c>
      <c r="K103" s="1398">
        <v>2357</v>
      </c>
      <c r="L103" s="1399" t="s">
        <v>1729</v>
      </c>
      <c r="M103" s="1399" t="s">
        <v>1175</v>
      </c>
    </row>
    <row r="104" spans="4:13" ht="45">
      <c r="D104" s="1398">
        <v>5381</v>
      </c>
      <c r="E104" s="1399" t="s">
        <v>1730</v>
      </c>
      <c r="F104" s="1399" t="s">
        <v>221</v>
      </c>
      <c r="G104" s="1400">
        <v>41152</v>
      </c>
      <c r="H104" s="470"/>
      <c r="I104" s="1399" t="s">
        <v>964</v>
      </c>
      <c r="J104" s="1399" t="s">
        <v>1568</v>
      </c>
      <c r="K104" s="1398">
        <v>2358</v>
      </c>
      <c r="L104" s="1399" t="s">
        <v>1731</v>
      </c>
      <c r="M104" s="1399" t="s">
        <v>1175</v>
      </c>
    </row>
    <row r="105" spans="4:13" ht="45">
      <c r="D105" s="1398">
        <v>5382</v>
      </c>
      <c r="E105" s="1399" t="s">
        <v>1732</v>
      </c>
      <c r="F105" s="1399" t="s">
        <v>247</v>
      </c>
      <c r="G105" s="1400">
        <v>41101</v>
      </c>
      <c r="H105" s="470"/>
      <c r="I105" s="1399" t="s">
        <v>964</v>
      </c>
      <c r="J105" s="1399" t="s">
        <v>1568</v>
      </c>
      <c r="K105" s="1398">
        <v>2359</v>
      </c>
      <c r="L105" s="1399" t="s">
        <v>1733</v>
      </c>
      <c r="M105" s="1399" t="s">
        <v>1175</v>
      </c>
    </row>
    <row r="106" spans="4:13" ht="45">
      <c r="D106" s="1398">
        <v>5384</v>
      </c>
      <c r="E106" s="1399" t="s">
        <v>1734</v>
      </c>
      <c r="F106" s="1399" t="s">
        <v>267</v>
      </c>
      <c r="G106" s="1400">
        <v>41423</v>
      </c>
      <c r="H106" s="470"/>
      <c r="I106" s="1399" t="s">
        <v>964</v>
      </c>
      <c r="J106" s="1399" t="s">
        <v>1568</v>
      </c>
      <c r="K106" s="1398">
        <v>2360</v>
      </c>
      <c r="L106" s="1399" t="s">
        <v>1735</v>
      </c>
      <c r="M106" s="1399" t="s">
        <v>1175</v>
      </c>
    </row>
    <row r="107" spans="4:13" ht="45">
      <c r="D107" s="1398">
        <v>5385</v>
      </c>
      <c r="E107" s="1399" t="s">
        <v>1736</v>
      </c>
      <c r="F107" s="1399" t="s">
        <v>272</v>
      </c>
      <c r="G107" s="1400">
        <v>41379</v>
      </c>
      <c r="H107" s="470"/>
      <c r="I107" s="1399" t="s">
        <v>964</v>
      </c>
      <c r="J107" s="1399" t="s">
        <v>1568</v>
      </c>
      <c r="K107" s="1398">
        <v>2361</v>
      </c>
      <c r="L107" s="1399" t="s">
        <v>1737</v>
      </c>
      <c r="M107" s="1399" t="s">
        <v>1175</v>
      </c>
    </row>
    <row r="108" spans="4:13" ht="45">
      <c r="D108" s="1398">
        <v>5386</v>
      </c>
      <c r="E108" s="1399" t="s">
        <v>1738</v>
      </c>
      <c r="F108" s="1399" t="s">
        <v>237</v>
      </c>
      <c r="G108" s="1400">
        <v>41212</v>
      </c>
      <c r="H108" s="470"/>
      <c r="I108" s="1399" t="s">
        <v>964</v>
      </c>
      <c r="J108" s="1399" t="s">
        <v>1568</v>
      </c>
      <c r="K108" s="1398">
        <v>2362</v>
      </c>
      <c r="L108" s="1399" t="s">
        <v>1739</v>
      </c>
      <c r="M108" s="1399" t="s">
        <v>1175</v>
      </c>
    </row>
    <row r="109" spans="4:13" ht="15" hidden="1">
      <c r="D109" s="1398">
        <v>5697</v>
      </c>
      <c r="E109" s="1399" t="s">
        <v>1740</v>
      </c>
      <c r="F109" s="1399" t="s">
        <v>156</v>
      </c>
      <c r="G109" s="1400">
        <v>41143</v>
      </c>
      <c r="H109" s="1401">
        <v>41128</v>
      </c>
      <c r="I109" s="1399" t="s">
        <v>964</v>
      </c>
      <c r="J109" s="1399" t="s">
        <v>114</v>
      </c>
      <c r="K109" s="1398">
        <v>2382</v>
      </c>
      <c r="L109" s="1399" t="s">
        <v>1741</v>
      </c>
      <c r="M109" s="1399" t="s">
        <v>1548</v>
      </c>
    </row>
    <row r="110" spans="4:13" ht="30" hidden="1">
      <c r="D110" s="1398">
        <v>5707</v>
      </c>
      <c r="E110" s="1399" t="s">
        <v>1742</v>
      </c>
      <c r="F110" s="1399" t="s">
        <v>157</v>
      </c>
      <c r="G110" s="1400">
        <v>41235</v>
      </c>
      <c r="H110" s="1401">
        <v>41207</v>
      </c>
      <c r="I110" s="1399" t="s">
        <v>964</v>
      </c>
      <c r="J110" s="1399" t="s">
        <v>114</v>
      </c>
      <c r="K110" s="1398">
        <v>2386</v>
      </c>
      <c r="L110" s="1399" t="s">
        <v>1743</v>
      </c>
      <c r="M110" s="1399" t="s">
        <v>1548</v>
      </c>
    </row>
    <row r="111" spans="4:13" ht="15" hidden="1">
      <c r="D111" s="1398">
        <v>6072</v>
      </c>
      <c r="E111" s="1399" t="s">
        <v>1744</v>
      </c>
      <c r="F111" s="1399" t="s">
        <v>1745</v>
      </c>
      <c r="G111" s="1400">
        <v>41204</v>
      </c>
      <c r="H111" s="1401">
        <v>41164</v>
      </c>
      <c r="I111" s="1399" t="s">
        <v>964</v>
      </c>
      <c r="J111" s="1399" t="s">
        <v>114</v>
      </c>
      <c r="K111" s="1398">
        <v>2407</v>
      </c>
      <c r="L111" s="1399" t="s">
        <v>1746</v>
      </c>
      <c r="M111" s="1399" t="s">
        <v>1548</v>
      </c>
    </row>
    <row r="112" spans="4:13" ht="30" hidden="1">
      <c r="D112" s="1398">
        <v>6585</v>
      </c>
      <c r="E112" s="1399" t="s">
        <v>1747</v>
      </c>
      <c r="F112" s="1399" t="s">
        <v>158</v>
      </c>
      <c r="G112" s="1400">
        <v>41082</v>
      </c>
      <c r="H112" s="1401">
        <v>41078</v>
      </c>
      <c r="I112" s="1399" t="s">
        <v>964</v>
      </c>
      <c r="J112" s="1399" t="s">
        <v>114</v>
      </c>
      <c r="K112" s="1398">
        <v>2444</v>
      </c>
      <c r="L112" s="1399" t="s">
        <v>1748</v>
      </c>
      <c r="M112" s="1399" t="s">
        <v>1548</v>
      </c>
    </row>
    <row r="113" spans="4:13" ht="30" hidden="1">
      <c r="D113" s="1398">
        <v>6587</v>
      </c>
      <c r="E113" s="1399" t="s">
        <v>1749</v>
      </c>
      <c r="F113" s="1399" t="s">
        <v>159</v>
      </c>
      <c r="G113" s="1400">
        <v>41021</v>
      </c>
      <c r="H113" s="470"/>
      <c r="I113" s="1399" t="s">
        <v>964</v>
      </c>
      <c r="J113" s="1399" t="s">
        <v>114</v>
      </c>
      <c r="K113" s="1398">
        <v>2445</v>
      </c>
      <c r="L113" s="1399" t="s">
        <v>1750</v>
      </c>
      <c r="M113" s="1399" t="s">
        <v>1548</v>
      </c>
    </row>
    <row r="114" spans="4:13" ht="30" hidden="1">
      <c r="D114" s="1398">
        <v>6600</v>
      </c>
      <c r="E114" s="1399" t="s">
        <v>1751</v>
      </c>
      <c r="F114" s="1399" t="s">
        <v>160</v>
      </c>
      <c r="G114" s="1400">
        <v>41149</v>
      </c>
      <c r="H114" s="470"/>
      <c r="I114" s="1399" t="s">
        <v>964</v>
      </c>
      <c r="J114" s="1399" t="s">
        <v>114</v>
      </c>
      <c r="K114" s="1398">
        <v>2452</v>
      </c>
      <c r="L114" s="1399" t="s">
        <v>1752</v>
      </c>
      <c r="M114" s="1399" t="s">
        <v>1548</v>
      </c>
    </row>
    <row r="115" spans="4:13" ht="60">
      <c r="D115" s="1398">
        <v>6609</v>
      </c>
      <c r="E115" s="1399" t="s">
        <v>1753</v>
      </c>
      <c r="F115" s="1399" t="s">
        <v>260</v>
      </c>
      <c r="G115" s="1400">
        <v>41411</v>
      </c>
      <c r="H115" s="470"/>
      <c r="I115" s="1399" t="s">
        <v>964</v>
      </c>
      <c r="J115" s="1399" t="s">
        <v>1568</v>
      </c>
      <c r="K115" s="1398">
        <v>2455</v>
      </c>
      <c r="L115" s="1399" t="s">
        <v>1754</v>
      </c>
      <c r="M115" s="1399" t="s">
        <v>1175</v>
      </c>
    </row>
    <row r="116" spans="4:13" ht="45">
      <c r="D116" s="1398">
        <v>6610</v>
      </c>
      <c r="E116" s="1399" t="s">
        <v>1755</v>
      </c>
      <c r="F116" s="1399" t="s">
        <v>254</v>
      </c>
      <c r="G116" s="1400">
        <v>41243</v>
      </c>
      <c r="H116" s="470"/>
      <c r="I116" s="1399" t="s">
        <v>964</v>
      </c>
      <c r="J116" s="1399" t="s">
        <v>1568</v>
      </c>
      <c r="K116" s="1398">
        <v>2456</v>
      </c>
      <c r="L116" s="1399" t="s">
        <v>1756</v>
      </c>
      <c r="M116" s="1399" t="s">
        <v>1175</v>
      </c>
    </row>
    <row r="117" spans="4:13" ht="30" hidden="1">
      <c r="D117" s="1398">
        <v>6611</v>
      </c>
      <c r="E117" s="1399" t="s">
        <v>1757</v>
      </c>
      <c r="F117" s="1399" t="s">
        <v>162</v>
      </c>
      <c r="G117" s="1400">
        <v>40943</v>
      </c>
      <c r="H117" s="470"/>
      <c r="I117" s="1399" t="s">
        <v>964</v>
      </c>
      <c r="J117" s="1399" t="s">
        <v>114</v>
      </c>
      <c r="K117" s="1398">
        <v>2457</v>
      </c>
      <c r="L117" s="1399" t="s">
        <v>1758</v>
      </c>
      <c r="M117" s="1399" t="s">
        <v>1548</v>
      </c>
    </row>
    <row r="118" spans="4:13" ht="30" hidden="1">
      <c r="D118" s="1398">
        <v>6612</v>
      </c>
      <c r="E118" s="1399" t="s">
        <v>1759</v>
      </c>
      <c r="F118" s="1399" t="s">
        <v>163</v>
      </c>
      <c r="G118" s="1400">
        <v>41082</v>
      </c>
      <c r="H118" s="1401">
        <v>41078</v>
      </c>
      <c r="I118" s="1399" t="s">
        <v>964</v>
      </c>
      <c r="J118" s="1399" t="s">
        <v>1568</v>
      </c>
      <c r="K118" s="1398">
        <v>2458</v>
      </c>
      <c r="L118" s="1399" t="s">
        <v>1760</v>
      </c>
      <c r="M118" s="1399" t="s">
        <v>1548</v>
      </c>
    </row>
    <row r="119" spans="4:13" ht="30">
      <c r="D119" s="1398">
        <v>6896</v>
      </c>
      <c r="E119" s="1399" t="s">
        <v>1761</v>
      </c>
      <c r="F119" s="1399" t="s">
        <v>253</v>
      </c>
      <c r="G119" s="1400">
        <v>41182</v>
      </c>
      <c r="H119" s="470"/>
      <c r="I119" s="1399" t="s">
        <v>964</v>
      </c>
      <c r="J119" s="1399" t="s">
        <v>1568</v>
      </c>
      <c r="K119" s="1398">
        <v>2479</v>
      </c>
      <c r="L119" s="1399" t="s">
        <v>1762</v>
      </c>
      <c r="M119" s="1399" t="s">
        <v>1175</v>
      </c>
    </row>
    <row r="120" spans="4:13" ht="45">
      <c r="D120" s="1398">
        <v>6897</v>
      </c>
      <c r="E120" s="1399" t="s">
        <v>1763</v>
      </c>
      <c r="F120" s="1399" t="s">
        <v>1764</v>
      </c>
      <c r="G120" s="1400">
        <v>41182</v>
      </c>
      <c r="H120" s="470"/>
      <c r="I120" s="1399" t="s">
        <v>964</v>
      </c>
      <c r="J120" s="1399" t="s">
        <v>1568</v>
      </c>
      <c r="K120" s="1398">
        <v>2480</v>
      </c>
      <c r="L120" s="1399" t="s">
        <v>1765</v>
      </c>
      <c r="M120" s="1399" t="s">
        <v>1175</v>
      </c>
    </row>
    <row r="121" spans="4:13" ht="30">
      <c r="D121" s="1398">
        <v>6898</v>
      </c>
      <c r="E121" s="1399" t="s">
        <v>1766</v>
      </c>
      <c r="F121" s="1399" t="s">
        <v>300</v>
      </c>
      <c r="G121" s="1400">
        <v>41182</v>
      </c>
      <c r="H121" s="470"/>
      <c r="I121" s="1399" t="s">
        <v>964</v>
      </c>
      <c r="J121" s="1399" t="s">
        <v>1568</v>
      </c>
      <c r="K121" s="1398">
        <v>2481</v>
      </c>
      <c r="L121" s="1399" t="s">
        <v>1767</v>
      </c>
      <c r="M121" s="1399" t="s">
        <v>1175</v>
      </c>
    </row>
    <row r="122" spans="4:13" ht="30">
      <c r="D122" s="1398">
        <v>7016</v>
      </c>
      <c r="E122" s="1399" t="s">
        <v>1768</v>
      </c>
      <c r="F122" s="1399" t="s">
        <v>371</v>
      </c>
      <c r="G122" s="1400">
        <v>41182</v>
      </c>
      <c r="H122" s="470"/>
      <c r="I122" s="1399" t="s">
        <v>964</v>
      </c>
      <c r="J122" s="1399" t="s">
        <v>1568</v>
      </c>
      <c r="K122" s="1398">
        <v>2496</v>
      </c>
      <c r="L122" s="1399" t="s">
        <v>1769</v>
      </c>
      <c r="M122" s="1399" t="s">
        <v>1175</v>
      </c>
    </row>
    <row r="123" spans="4:13" ht="30" hidden="1">
      <c r="D123" s="1398">
        <v>7019</v>
      </c>
      <c r="E123" s="1399" t="s">
        <v>1770</v>
      </c>
      <c r="F123" s="1399" t="s">
        <v>164</v>
      </c>
      <c r="G123" s="1400">
        <v>41214</v>
      </c>
      <c r="H123" s="1401">
        <v>41214</v>
      </c>
      <c r="I123" s="1399" t="s">
        <v>964</v>
      </c>
      <c r="J123" s="1399" t="s">
        <v>114</v>
      </c>
      <c r="K123" s="1398">
        <v>2497</v>
      </c>
      <c r="L123" s="1399" t="s">
        <v>1771</v>
      </c>
      <c r="M123" s="1399" t="s">
        <v>1548</v>
      </c>
    </row>
    <row r="124" spans="4:13" ht="30">
      <c r="D124" s="1398">
        <v>7371</v>
      </c>
      <c r="E124" s="1399" t="s">
        <v>1772</v>
      </c>
      <c r="F124" s="1399" t="s">
        <v>165</v>
      </c>
      <c r="G124" s="1400">
        <v>41485</v>
      </c>
      <c r="H124" s="470"/>
      <c r="I124" s="1399" t="s">
        <v>964</v>
      </c>
      <c r="J124" s="1399" t="s">
        <v>1568</v>
      </c>
      <c r="K124" s="1398">
        <v>2527</v>
      </c>
      <c r="L124" s="1399" t="s">
        <v>1773</v>
      </c>
      <c r="M124" s="1399" t="s">
        <v>1175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857</v>
      </c>
      <c r="E4" s="424"/>
      <c r="F4" s="1402" t="s">
        <v>1778</v>
      </c>
      <c r="G4" s="1403" t="e">
        <f>(C10*G7)/G5</f>
        <v>#REF!</v>
      </c>
    </row>
    <row r="5" spans="2:7">
      <c r="B5" s="1404" t="s">
        <v>1779</v>
      </c>
      <c r="C5" s="1405"/>
      <c r="D5" s="1406"/>
      <c r="F5" s="1402" t="s">
        <v>1780</v>
      </c>
      <c r="G5" s="1407" t="e">
        <f>(((1+C7)^G6)*C7)/(((1+C7)^G6)-1)</f>
        <v>#REF!</v>
      </c>
    </row>
    <row r="6" spans="2:7">
      <c r="B6" s="1404" t="s">
        <v>1781</v>
      </c>
      <c r="C6" s="1405"/>
      <c r="D6" s="1406"/>
      <c r="F6" s="1402" t="s">
        <v>1782</v>
      </c>
      <c r="G6" s="1408" t="e">
        <f>G7/(C8*C9)</f>
        <v>#REF!</v>
      </c>
    </row>
    <row r="7" spans="2:7">
      <c r="B7" s="1404" t="s">
        <v>1783</v>
      </c>
      <c r="C7" s="1409">
        <f>'BD-NET'!Q114</f>
        <v>8.1942000000000001E-2</v>
      </c>
      <c r="D7" s="1406"/>
      <c r="F7" s="1402" t="s">
        <v>1784</v>
      </c>
      <c r="G7" s="1410">
        <f>12*(20000*C6+10000*C5)</f>
        <v>0</v>
      </c>
    </row>
    <row r="8" spans="2:7">
      <c r="B8" s="1404" t="s">
        <v>1785</v>
      </c>
      <c r="C8" s="1411" t="e">
        <f>C24</f>
        <v>#REF!</v>
      </c>
      <c r="D8" s="1412" t="s">
        <v>1786</v>
      </c>
    </row>
    <row r="9" spans="2:7">
      <c r="B9" s="1404" t="s">
        <v>1787</v>
      </c>
      <c r="C9" s="1413"/>
      <c r="D9" s="1406"/>
    </row>
    <row r="10" spans="2:7">
      <c r="B10" s="1404" t="s">
        <v>1788</v>
      </c>
      <c r="C10" s="1414" t="e">
        <f>F14</f>
        <v>#REF!</v>
      </c>
      <c r="D10" s="1406"/>
    </row>
    <row r="12" spans="2:7">
      <c r="B12" s="435" t="s">
        <v>1789</v>
      </c>
      <c r="C12" s="435" t="s">
        <v>726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4" t="s">
        <v>1793</v>
      </c>
      <c r="C13" s="1415" t="e">
        <f>C38</f>
        <v>#REF!</v>
      </c>
      <c r="D13" s="1404"/>
      <c r="E13" s="1404"/>
      <c r="F13" s="1416"/>
    </row>
    <row r="14" spans="2:7" ht="13.5" thickBot="1">
      <c r="B14" s="1404" t="s">
        <v>1794</v>
      </c>
      <c r="C14" s="1415" t="e">
        <f>(C32+E55)*($C$38/$C$35)</f>
        <v>#REF!</v>
      </c>
      <c r="D14" s="1417" t="e">
        <f>$C$17*(C14/($C$14+$C$15+$C$16))</f>
        <v>#REF!</v>
      </c>
      <c r="E14" s="1418" t="e">
        <f>C14-D14</f>
        <v>#REF!</v>
      </c>
      <c r="F14" s="458" t="e">
        <f>E14/$C$13</f>
        <v>#REF!</v>
      </c>
      <c r="G14" s="459" t="s">
        <v>1795</v>
      </c>
    </row>
    <row r="15" spans="2:7">
      <c r="B15" s="1404" t="s">
        <v>1796</v>
      </c>
      <c r="C15" s="1415" t="e">
        <f>C27*($C$38/$C$35)</f>
        <v>#REF!</v>
      </c>
      <c r="D15" s="1417" t="e">
        <f>$C$17*(C15/($C$14+$C$15+$C$16))</f>
        <v>#REF!</v>
      </c>
      <c r="E15" s="1417" t="e">
        <f>C15-D15</f>
        <v>#REF!</v>
      </c>
      <c r="F15" s="1419" t="e">
        <f>E15/$C$13</f>
        <v>#REF!</v>
      </c>
    </row>
    <row r="16" spans="2:7">
      <c r="B16" s="1404" t="s">
        <v>1797</v>
      </c>
      <c r="C16" s="1415" t="e">
        <f>(C33+D54)*($C$38/$C$35)</f>
        <v>#REF!</v>
      </c>
      <c r="D16" s="1417" t="e">
        <f>$C$17*(C16/($C$14+$C$15+$C$16))</f>
        <v>#REF!</v>
      </c>
      <c r="E16" s="1417" t="e">
        <f>C16-D16</f>
        <v>#REF!</v>
      </c>
      <c r="F16" s="1420" t="e">
        <f>E16/$C$13</f>
        <v>#REF!</v>
      </c>
    </row>
    <row r="17" spans="2:6">
      <c r="B17" s="1404" t="s">
        <v>1798</v>
      </c>
      <c r="C17" s="1415" t="e">
        <f>C39</f>
        <v>#REF!</v>
      </c>
      <c r="D17" s="1404"/>
      <c r="E17" s="1404"/>
      <c r="F17" s="1421" t="e">
        <f>C17/C13</f>
        <v>#REF!</v>
      </c>
    </row>
    <row r="18" spans="2:6">
      <c r="D18" s="440" t="e">
        <f>SUM(D14:D17)</f>
        <v>#REF!</v>
      </c>
      <c r="F18" s="1422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3" t="s">
        <v>1800</v>
      </c>
      <c r="C21" s="1424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3" t="s">
        <v>1803</v>
      </c>
      <c r="C24" s="1424" t="e">
        <f>#REF!+#REF!</f>
        <v>#REF!</v>
      </c>
    </row>
    <row r="27" spans="2:6">
      <c r="B27" s="1423" t="s">
        <v>1804</v>
      </c>
      <c r="C27" s="1424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3" t="s">
        <v>1808</v>
      </c>
      <c r="C31" s="1424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3" t="s">
        <v>1800</v>
      </c>
      <c r="C35" s="1424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3" t="s">
        <v>1803</v>
      </c>
      <c r="C38" s="1424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5" t="s">
        <v>1813</v>
      </c>
      <c r="C40" s="1426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7" t="s">
        <v>1776</v>
      </c>
      <c r="C3" s="1427" t="s">
        <v>1777</v>
      </c>
      <c r="D3" s="1428" t="s">
        <v>857</v>
      </c>
      <c r="E3" s="1428" t="s">
        <v>1816</v>
      </c>
      <c r="F3" s="1428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29" t="s">
        <v>1820</v>
      </c>
      <c r="C4" s="1430" t="e">
        <f>12*C5*(1-$E$13)*1/$E$16</f>
        <v>#DIV/0!</v>
      </c>
      <c r="D4" s="1406" t="s">
        <v>1821</v>
      </c>
      <c r="E4" s="1406"/>
      <c r="F4" s="1406"/>
      <c r="H4" s="1427" t="s">
        <v>1822</v>
      </c>
      <c r="I4" s="1427" t="s">
        <v>1823</v>
      </c>
      <c r="J4" s="1427" t="s">
        <v>1824</v>
      </c>
      <c r="K4" s="1427" t="s">
        <v>1825</v>
      </c>
      <c r="L4" s="1427" t="s">
        <v>1826</v>
      </c>
      <c r="M4" s="1427" t="s">
        <v>898</v>
      </c>
      <c r="N4" s="1427" t="s">
        <v>534</v>
      </c>
      <c r="O4" s="1427" t="s">
        <v>538</v>
      </c>
      <c r="P4" s="1427" t="s">
        <v>536</v>
      </c>
      <c r="Q4" s="1427" t="s">
        <v>539</v>
      </c>
    </row>
    <row r="5" spans="2:17">
      <c r="B5" s="1429" t="s">
        <v>1781</v>
      </c>
      <c r="C5" s="1431"/>
      <c r="D5" s="1406"/>
      <c r="E5" s="1406"/>
      <c r="F5" s="1406" t="s">
        <v>1827</v>
      </c>
      <c r="H5" s="1429" t="s">
        <v>1820</v>
      </c>
      <c r="I5" s="1430" t="e">
        <f t="shared" ref="I5:Q5" si="0">12*I6*(1-$E$13)*1/$E$16</f>
        <v>#DIV/0!</v>
      </c>
      <c r="J5" s="1430" t="e">
        <f t="shared" si="0"/>
        <v>#DIV/0!</v>
      </c>
      <c r="K5" s="1430" t="e">
        <f t="shared" si="0"/>
        <v>#DIV/0!</v>
      </c>
      <c r="L5" s="1430" t="e">
        <f t="shared" si="0"/>
        <v>#DIV/0!</v>
      </c>
      <c r="M5" s="1430" t="e">
        <f t="shared" si="0"/>
        <v>#DIV/0!</v>
      </c>
      <c r="N5" s="1430" t="e">
        <f t="shared" si="0"/>
        <v>#DIV/0!</v>
      </c>
      <c r="O5" s="1430" t="e">
        <f t="shared" si="0"/>
        <v>#DIV/0!</v>
      </c>
      <c r="P5" s="1430" t="e">
        <f t="shared" si="0"/>
        <v>#DIV/0!</v>
      </c>
      <c r="Q5" s="1430" t="e">
        <f t="shared" si="0"/>
        <v>#DIV/0!</v>
      </c>
    </row>
    <row r="6" spans="2:17">
      <c r="B6" s="1429" t="s">
        <v>1828</v>
      </c>
      <c r="C6" s="1432"/>
      <c r="D6" s="1406" t="s">
        <v>1829</v>
      </c>
      <c r="E6" s="1406"/>
      <c r="F6" s="1433"/>
      <c r="H6" s="1429" t="s">
        <v>1781</v>
      </c>
      <c r="I6" s="1434"/>
      <c r="J6" s="1434"/>
      <c r="K6" s="1434"/>
      <c r="L6" s="1434"/>
      <c r="M6" s="1405"/>
      <c r="N6" s="1435"/>
      <c r="O6" s="1405"/>
      <c r="P6" s="1405"/>
      <c r="Q6" s="1405"/>
    </row>
    <row r="7" spans="2:17">
      <c r="B7" s="1429" t="s">
        <v>1830</v>
      </c>
      <c r="C7" s="1432"/>
      <c r="D7" s="1406" t="s">
        <v>1831</v>
      </c>
      <c r="E7" s="1406"/>
      <c r="F7" s="1433"/>
      <c r="H7" s="1429" t="s">
        <v>1828</v>
      </c>
      <c r="I7" s="1871">
        <f>C6</f>
        <v>0</v>
      </c>
      <c r="J7" s="1872"/>
      <c r="K7" s="1872"/>
      <c r="L7" s="1872"/>
      <c r="M7" s="1872"/>
      <c r="N7" s="1872"/>
      <c r="O7" s="1872"/>
      <c r="P7" s="1872"/>
      <c r="Q7" s="1873"/>
    </row>
    <row r="8" spans="2:17">
      <c r="B8" s="1429" t="s">
        <v>1832</v>
      </c>
      <c r="C8" s="1436"/>
      <c r="D8" s="1406" t="s">
        <v>1833</v>
      </c>
      <c r="E8" s="1406" t="s">
        <v>1834</v>
      </c>
      <c r="F8" s="1437"/>
      <c r="G8" s="429"/>
      <c r="H8" s="1429" t="s">
        <v>1832</v>
      </c>
      <c r="I8" s="1874">
        <f>C8</f>
        <v>0</v>
      </c>
      <c r="J8" s="1875"/>
      <c r="K8" s="1875"/>
      <c r="L8" s="1875"/>
      <c r="M8" s="1875"/>
      <c r="N8" s="1875"/>
      <c r="O8" s="1875"/>
      <c r="P8" s="1875"/>
      <c r="Q8" s="1876"/>
    </row>
    <row r="9" spans="2:17">
      <c r="B9" s="1429" t="s">
        <v>1835</v>
      </c>
      <c r="C9" s="1432"/>
      <c r="D9" s="1406" t="s">
        <v>1836</v>
      </c>
      <c r="E9" s="1406"/>
      <c r="F9" s="1437"/>
      <c r="H9" s="1429" t="s">
        <v>1835</v>
      </c>
      <c r="I9" s="1871">
        <f>C9</f>
        <v>0</v>
      </c>
      <c r="J9" s="1872"/>
      <c r="K9" s="1872"/>
      <c r="L9" s="1872"/>
      <c r="M9" s="1872"/>
      <c r="N9" s="1872"/>
      <c r="O9" s="1872"/>
      <c r="P9" s="1872"/>
      <c r="Q9" s="1873"/>
    </row>
    <row r="10" spans="2:17">
      <c r="B10" s="1429" t="s">
        <v>1837</v>
      </c>
      <c r="C10" s="1436"/>
      <c r="D10" s="1406" t="s">
        <v>1838</v>
      </c>
      <c r="E10" s="1406" t="s">
        <v>1839</v>
      </c>
      <c r="F10" s="1437"/>
      <c r="G10" s="429"/>
      <c r="H10" s="1429" t="s">
        <v>1837</v>
      </c>
      <c r="I10" s="1877">
        <f>C10</f>
        <v>0</v>
      </c>
      <c r="J10" s="1878"/>
      <c r="K10" s="1878"/>
      <c r="L10" s="1878"/>
      <c r="M10" s="1878"/>
      <c r="N10" s="1878"/>
      <c r="O10" s="1878"/>
      <c r="P10" s="1878"/>
      <c r="Q10" s="1879"/>
    </row>
    <row r="12" spans="2:17">
      <c r="D12" s="426" t="s">
        <v>1840</v>
      </c>
    </row>
    <row r="13" spans="2:17">
      <c r="D13" s="1402" t="s">
        <v>1841</v>
      </c>
      <c r="E13" s="1438" t="e">
        <f>C10/C8</f>
        <v>#DIV/0!</v>
      </c>
      <c r="H13" s="428" t="s">
        <v>1842</v>
      </c>
      <c r="M13" s="430">
        <v>4.2321999999999997</v>
      </c>
    </row>
    <row r="14" spans="2:17">
      <c r="D14" s="1402" t="s">
        <v>1843</v>
      </c>
      <c r="E14" s="1439" t="e">
        <f>1/C9</f>
        <v>#DIV/0!</v>
      </c>
      <c r="H14" s="428" t="s">
        <v>1844</v>
      </c>
      <c r="M14" s="423">
        <v>1.01916916988504</v>
      </c>
    </row>
    <row r="15" spans="2:17">
      <c r="D15" s="1402" t="s">
        <v>1845</v>
      </c>
      <c r="E15" s="1440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2" t="s">
        <v>1780</v>
      </c>
      <c r="E16" s="1441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3" t="s">
        <v>1800</v>
      </c>
      <c r="C20" s="1424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779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3" t="s">
        <v>1803</v>
      </c>
      <c r="C23" s="1424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3" t="s">
        <v>1804</v>
      </c>
      <c r="C25" s="1442"/>
      <c r="E25" s="436" t="s">
        <v>1854</v>
      </c>
      <c r="F25" s="437"/>
    </row>
    <row r="26" spans="2:13">
      <c r="B26" s="432" t="s">
        <v>1805</v>
      </c>
      <c r="C26" s="460"/>
      <c r="E26" s="1443" t="s">
        <v>1855</v>
      </c>
      <c r="F26" s="1444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5" t="s">
        <v>1807</v>
      </c>
      <c r="C28" s="1445"/>
      <c r="E28" s="1443" t="s">
        <v>1857</v>
      </c>
      <c r="F28" s="1444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144897.01799999998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54512.429999999993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5364</v>
      </c>
    </row>
    <row r="22" spans="2:3">
      <c r="B22" s="63" t="s">
        <v>1067</v>
      </c>
      <c r="C22">
        <f t="shared" ca="1" si="0"/>
        <v>225</v>
      </c>
    </row>
    <row r="23" spans="2:3">
      <c r="B23" s="63" t="s">
        <v>1878</v>
      </c>
      <c r="C23">
        <f t="shared" ca="1" si="0"/>
        <v>6.4896281507161493E-2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15639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0.23742889854268232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0.1000147813445591</v>
      </c>
    </row>
    <row r="42" spans="2:3">
      <c r="B42" s="63" t="s">
        <v>1897</v>
      </c>
      <c r="C42">
        <f t="shared" ca="1" si="0"/>
        <v>8.1930122491024271E-2</v>
      </c>
    </row>
    <row r="43" spans="2:3">
      <c r="B43" s="63" t="s">
        <v>1898</v>
      </c>
      <c r="C43">
        <f t="shared" ca="1" si="0"/>
        <v>0.11849277988093276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0.1000147813445591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153598.07499999998</v>
      </c>
    </row>
    <row r="50" spans="2:3">
      <c r="B50" s="63" t="s">
        <v>1905</v>
      </c>
      <c r="C50">
        <f t="shared" ca="1" si="0"/>
        <v>2.3E-2</v>
      </c>
    </row>
    <row r="51" spans="2:3">
      <c r="B51" s="63" t="s">
        <v>1906</v>
      </c>
      <c r="C51">
        <f t="shared" ca="1" si="0"/>
        <v>144897.01799999998</v>
      </c>
    </row>
    <row r="52" spans="2:3">
      <c r="B52" s="63" t="s">
        <v>1907</v>
      </c>
      <c r="C52">
        <f t="shared" ca="1" si="0"/>
        <v>144897.01799999998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0.31135312902487638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0.23544812054850259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3.2805936519108795E-3</v>
      </c>
    </row>
    <row r="62" spans="2:3">
      <c r="B62" s="63" t="s">
        <v>1917</v>
      </c>
      <c r="C62">
        <f t="shared" ca="1" si="0"/>
        <v>0.1195</v>
      </c>
    </row>
    <row r="63" spans="2:3">
      <c r="B63" s="63" t="s">
        <v>1918</v>
      </c>
      <c r="C63">
        <f t="shared" ca="1" si="0"/>
        <v>6.1712641267203668E-2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7.9406937959388857E-2</v>
      </c>
    </row>
    <row r="66" spans="2:3">
      <c r="B66" s="63" t="s">
        <v>1921</v>
      </c>
      <c r="C66">
        <f t="shared" ca="1" si="0"/>
        <v>4.0084970265376309E-2</v>
      </c>
    </row>
    <row r="67" spans="2:3">
      <c r="B67" s="63" t="s">
        <v>1922</v>
      </c>
      <c r="C67">
        <f t="shared" ref="C67:C130" ca="1" si="1">INDIRECT(B67)</f>
        <v>1.4413703040274378E-2</v>
      </c>
    </row>
    <row r="68" spans="2:3">
      <c r="B68" s="63" t="s">
        <v>1923</v>
      </c>
      <c r="C68">
        <f t="shared" ca="1" si="1"/>
        <v>7.6999999999999999E-2</v>
      </c>
    </row>
    <row r="69" spans="2:3">
      <c r="B69" s="63" t="s">
        <v>1924</v>
      </c>
      <c r="C69">
        <f t="shared" ca="1" si="1"/>
        <v>-415064.38209668017</v>
      </c>
    </row>
    <row r="70" spans="2:3">
      <c r="B70" s="63" t="s">
        <v>1925</v>
      </c>
      <c r="C70" t="str">
        <f t="shared" ca="1" si="1"/>
        <v>Cooperativa Fumacense de Eletricidade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40/2010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0.61110619010033151</v>
      </c>
    </row>
    <row r="75" spans="2:3">
      <c r="B75" s="63" t="s">
        <v>1930</v>
      </c>
      <c r="C75">
        <f t="shared" ca="1" si="1"/>
        <v>0.3888938098996686</v>
      </c>
    </row>
    <row r="76" spans="2:3">
      <c r="B76" s="63" t="s">
        <v>1931</v>
      </c>
      <c r="C76">
        <f t="shared" ca="1" si="1"/>
        <v>5.664821645713991E-2</v>
      </c>
    </row>
    <row r="77" spans="2:3">
      <c r="B77" s="63" t="s">
        <v>1932</v>
      </c>
      <c r="C77">
        <f t="shared" ca="1" si="1"/>
        <v>1.9807779941797311E-3</v>
      </c>
    </row>
    <row r="78" spans="2:3">
      <c r="B78" s="63" t="s">
        <v>1933</v>
      </c>
      <c r="C78">
        <f t="shared" ca="1" si="1"/>
        <v>8701.0570000000098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1120695.8526822417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2416.7616097665855</v>
      </c>
    </row>
    <row r="83" spans="2:3">
      <c r="B83" s="63" t="s">
        <v>1938</v>
      </c>
      <c r="C83">
        <f t="shared" ca="1" si="1"/>
        <v>69453986.271459967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Cermoful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11589713.29614</v>
      </c>
    </row>
    <row r="92" spans="2:3">
      <c r="B92" s="64" t="s">
        <v>1947</v>
      </c>
      <c r="C92">
        <f t="shared" ca="1" si="1"/>
        <v>1.04E-2</v>
      </c>
    </row>
    <row r="93" spans="2:3">
      <c r="B93" s="64" t="s">
        <v>1948</v>
      </c>
      <c r="C93">
        <f t="shared" ca="1" si="1"/>
        <v>0.45540000000000003</v>
      </c>
    </row>
    <row r="94" spans="2:3">
      <c r="B94" s="64" t="s">
        <v>1949</v>
      </c>
      <c r="C94">
        <f t="shared" ca="1" si="1"/>
        <v>9.4500000000000001E-2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7951526.9955657516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1339454.750719063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120927.60719306121</v>
      </c>
    </row>
    <row r="129" spans="2:3">
      <c r="B129" s="63" t="s">
        <v>1984</v>
      </c>
      <c r="C129">
        <f t="shared" ca="1" si="1"/>
        <v>144897.01799999998</v>
      </c>
    </row>
    <row r="130" spans="2:3">
      <c r="B130" s="63" t="s">
        <v>1985</v>
      </c>
      <c r="C130">
        <f t="shared" ca="1" si="1"/>
        <v>69453986.271459967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2022-09-27T18:22:58Z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