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\\PROMOTORADEAGRE\Users\Public\Documents\AÑO 2015\INFORME\INFORMES 2016\JUNIO 2016\"/>
    </mc:Choice>
  </mc:AlternateContent>
  <bookViews>
    <workbookView xWindow="480" yWindow="7680" windowWidth="10395" windowHeight="1215" tabRatio="835" firstSheet="1" activeTab="2"/>
  </bookViews>
  <sheets>
    <sheet name="INFORME MAYO" sheetId="7" state="hidden" r:id="rId1"/>
    <sheet name="JUNIO 2016" sheetId="17" r:id="rId2"/>
    <sheet name="VENTAS" sheetId="19" r:id="rId3"/>
    <sheet name="MAQUINARIA" sheetId="20" r:id="rId4"/>
    <sheet name="DIFERIDOS" sheetId="21" r:id="rId5"/>
    <sheet name="TERRAJE" sheetId="43" r:id="rId6"/>
    <sheet name="C M" sheetId="24" r:id="rId7"/>
    <sheet name="comision gerente" sheetId="26" r:id="rId8"/>
    <sheet name="NOMINA" sheetId="23" r:id="rId9"/>
    <sheet name="LIBRO DE BANCO cta cte" sheetId="42" r:id="rId10"/>
    <sheet name="CUADRE DE GAST CANTERA Y OFIC" sheetId="35" r:id="rId11"/>
    <sheet name="CUADRE DE GAST CAJA OFICINA" sheetId="44" r:id="rId12"/>
    <sheet name="LIBRO DE BANCO cta Ahorro" sheetId="31" r:id="rId13"/>
    <sheet name="Acumulados" sheetId="3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6" hidden="1">'C M'!$B$32:$F$32</definedName>
    <definedName name="_xlnm._FilterDatabase" localSheetId="10" hidden="1">'CUADRE DE GAST CANTERA Y OFIC'!#REF!</definedName>
    <definedName name="_xlnm._FilterDatabase" localSheetId="9" hidden="1">'LIBRO DE BANCO cta cte'!$B$9:$H$116</definedName>
    <definedName name="_xlnm.Print_Area" localSheetId="6">'C M'!$A$2:$G$127</definedName>
    <definedName name="_xlnm.Print_Area" localSheetId="7">'comision gerente'!$A$1:$F$10</definedName>
    <definedName name="_xlnm.Print_Area" localSheetId="10">'CUADRE DE GAST CANTERA Y OFIC'!#REF!</definedName>
    <definedName name="_xlnm.Print_Area" localSheetId="4">DIFERIDOS!#REF!</definedName>
    <definedName name="_xlnm.Print_Area" localSheetId="1">'JUNIO 2016'!$A$1:$D$62</definedName>
    <definedName name="_xlnm.Print_Area" localSheetId="12">'LIBRO DE BANCO cta Ahorro'!$A$1:$I$28</definedName>
    <definedName name="_xlnm.Print_Area" localSheetId="9">'LIBRO DE BANCO cta cte'!#REF!</definedName>
    <definedName name="_xlnm.Print_Area" localSheetId="3">MAQUINARIA!$A$1:$G$19</definedName>
    <definedName name="_xlnm.Print_Area" localSheetId="8">NOMINA!$A$2:$H$24</definedName>
    <definedName name="_xlnm.Print_Area" localSheetId="2">VENTAS!$B$2:$G$42</definedName>
  </definedNames>
  <calcPr calcId="152511"/>
</workbook>
</file>

<file path=xl/calcChain.xml><?xml version="1.0" encoding="utf-8"?>
<calcChain xmlns="http://schemas.openxmlformats.org/spreadsheetml/2006/main">
  <c r="D5" i="43" l="1"/>
  <c r="D7" i="43"/>
  <c r="F63" i="33" l="1"/>
  <c r="F59" i="33"/>
  <c r="F56" i="33"/>
  <c r="F31" i="33"/>
  <c r="F30" i="33"/>
  <c r="C58" i="17"/>
  <c r="B57" i="17" l="1"/>
  <c r="B43" i="17"/>
  <c r="B41" i="17"/>
  <c r="B29" i="17"/>
  <c r="B27" i="17"/>
  <c r="B22" i="17"/>
  <c r="B21" i="17"/>
  <c r="B23" i="17"/>
  <c r="B25" i="17"/>
  <c r="B35" i="17"/>
  <c r="G15" i="23"/>
  <c r="H20" i="23" l="1"/>
  <c r="F11" i="21" l="1"/>
  <c r="F10" i="21"/>
  <c r="F9" i="21"/>
  <c r="F7" i="21"/>
  <c r="F8" i="21"/>
  <c r="F6" i="21"/>
  <c r="D69" i="33" l="1"/>
  <c r="D67" i="33"/>
  <c r="D65" i="33"/>
  <c r="D63" i="33"/>
  <c r="D61" i="33"/>
  <c r="D59" i="33"/>
  <c r="D56" i="33"/>
  <c r="D51" i="33"/>
  <c r="D48" i="33" s="1"/>
  <c r="D39" i="33"/>
  <c r="D33" i="33"/>
  <c r="D31" i="33"/>
  <c r="D30" i="33"/>
  <c r="D28" i="33" s="1"/>
  <c r="E69" i="33" l="1"/>
  <c r="E63" i="33"/>
  <c r="E61" i="33"/>
  <c r="E59" i="33"/>
  <c r="E56" i="33"/>
  <c r="E41" i="33"/>
  <c r="E39" i="33" s="1"/>
  <c r="E35" i="33"/>
  <c r="E33" i="33" s="1"/>
  <c r="E30" i="33"/>
  <c r="E51" i="33" l="1"/>
  <c r="E48" i="33" s="1"/>
  <c r="E31" i="33"/>
  <c r="E28" i="33" s="1"/>
  <c r="E65" i="33" l="1"/>
  <c r="E67" i="33"/>
  <c r="G32" i="19" l="1"/>
  <c r="G35" i="44" l="1"/>
  <c r="C13" i="17" s="1"/>
  <c r="E35" i="44"/>
  <c r="K23" i="44"/>
  <c r="H7" i="44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33" i="44" s="1"/>
  <c r="C4" i="44"/>
  <c r="G146" i="35"/>
  <c r="G145" i="35"/>
  <c r="G148" i="35" s="1"/>
  <c r="G141" i="35"/>
  <c r="I6" i="35"/>
  <c r="F141" i="35" s="1"/>
  <c r="D4" i="35"/>
  <c r="I7" i="35" l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I84" i="35" s="1"/>
  <c r="I85" i="35" s="1"/>
  <c r="I86" i="35" s="1"/>
  <c r="I87" i="35" s="1"/>
  <c r="I88" i="35" s="1"/>
  <c r="I89" i="35" s="1"/>
  <c r="I90" i="35" s="1"/>
  <c r="I91" i="35" s="1"/>
  <c r="I92" i="35" s="1"/>
  <c r="I93" i="35" s="1"/>
  <c r="I94" i="35" s="1"/>
  <c r="I95" i="35" s="1"/>
  <c r="I96" i="35" s="1"/>
  <c r="I97" i="35" s="1"/>
  <c r="I98" i="35" s="1"/>
  <c r="I99" i="35" s="1"/>
  <c r="I100" i="35" s="1"/>
  <c r="I101" i="35" s="1"/>
  <c r="I102" i="35" s="1"/>
  <c r="I103" i="35" s="1"/>
  <c r="I104" i="35" s="1"/>
  <c r="I105" i="35" s="1"/>
  <c r="I106" i="35" s="1"/>
  <c r="I107" i="35" s="1"/>
  <c r="I108" i="35" s="1"/>
  <c r="I109" i="35" s="1"/>
  <c r="I110" i="35" s="1"/>
  <c r="I111" i="35" s="1"/>
  <c r="I112" i="35" s="1"/>
  <c r="I113" i="35" s="1"/>
  <c r="I114" i="35" s="1"/>
  <c r="I115" i="35" s="1"/>
  <c r="I116" i="35" s="1"/>
  <c r="I117" i="35" s="1"/>
  <c r="I118" i="35" s="1"/>
  <c r="I119" i="35" s="1"/>
  <c r="I120" i="35" s="1"/>
  <c r="I121" i="35" s="1"/>
  <c r="I122" i="35" s="1"/>
  <c r="I123" i="35" s="1"/>
  <c r="I124" i="35" s="1"/>
  <c r="I125" i="35" s="1"/>
  <c r="I126" i="35" s="1"/>
  <c r="I127" i="35" s="1"/>
  <c r="I128" i="35" s="1"/>
  <c r="I129" i="35" s="1"/>
  <c r="I130" i="35" s="1"/>
  <c r="I131" i="35" s="1"/>
  <c r="I132" i="35" s="1"/>
  <c r="I133" i="35" s="1"/>
  <c r="I134" i="35" s="1"/>
  <c r="I135" i="35" s="1"/>
  <c r="I136" i="35" s="1"/>
  <c r="I137" i="35" s="1"/>
  <c r="I138" i="35" s="1"/>
  <c r="I139" i="35" s="1"/>
  <c r="G150" i="35" s="1"/>
  <c r="G116" i="42" l="1"/>
  <c r="F116" i="42"/>
  <c r="J12" i="42"/>
  <c r="H10" i="42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37" i="42" s="1"/>
  <c r="H38" i="42" s="1"/>
  <c r="H39" i="42" s="1"/>
  <c r="H40" i="42" s="1"/>
  <c r="H41" i="42" s="1"/>
  <c r="H42" i="42" s="1"/>
  <c r="H43" i="42" s="1"/>
  <c r="H44" i="42" s="1"/>
  <c r="H45" i="42" s="1"/>
  <c r="H46" i="42" s="1"/>
  <c r="H47" i="42" s="1"/>
  <c r="H48" i="42" s="1"/>
  <c r="H49" i="42" s="1"/>
  <c r="H50" i="42" s="1"/>
  <c r="H51" i="42" s="1"/>
  <c r="H52" i="42" s="1"/>
  <c r="H53" i="42" s="1"/>
  <c r="H54" i="42" s="1"/>
  <c r="H55" i="42" s="1"/>
  <c r="H56" i="42" s="1"/>
  <c r="H57" i="42" s="1"/>
  <c r="H58" i="42" s="1"/>
  <c r="H59" i="42" s="1"/>
  <c r="H60" i="42" s="1"/>
  <c r="H61" i="42" s="1"/>
  <c r="H62" i="42" s="1"/>
  <c r="H63" i="42" s="1"/>
  <c r="H64" i="42" s="1"/>
  <c r="H65" i="42" s="1"/>
  <c r="H66" i="42" s="1"/>
  <c r="H67" i="42" s="1"/>
  <c r="H68" i="42" s="1"/>
  <c r="H69" i="42" s="1"/>
  <c r="H70" i="42" s="1"/>
  <c r="H71" i="42" s="1"/>
  <c r="H72" i="42" s="1"/>
  <c r="H73" i="42" s="1"/>
  <c r="H74" i="42" s="1"/>
  <c r="H75" i="42" s="1"/>
  <c r="H76" i="42" s="1"/>
  <c r="H77" i="42" s="1"/>
  <c r="H78" i="42" s="1"/>
  <c r="H79" i="42" s="1"/>
  <c r="H80" i="42" s="1"/>
  <c r="H81" i="42" s="1"/>
  <c r="H82" i="42" s="1"/>
  <c r="H83" i="42" s="1"/>
  <c r="H84" i="42" s="1"/>
  <c r="H85" i="42" s="1"/>
  <c r="H86" i="42" s="1"/>
  <c r="H87" i="42" s="1"/>
  <c r="H88" i="42" s="1"/>
  <c r="H89" i="42" s="1"/>
  <c r="H90" i="42" s="1"/>
  <c r="H91" i="42" s="1"/>
  <c r="H92" i="42" s="1"/>
  <c r="H93" i="42" s="1"/>
  <c r="H94" i="42" s="1"/>
  <c r="H95" i="42" s="1"/>
  <c r="H96" i="42" s="1"/>
  <c r="H97" i="42" s="1"/>
  <c r="H98" i="42" s="1"/>
  <c r="H99" i="42" s="1"/>
  <c r="H100" i="42" s="1"/>
  <c r="H101" i="42" s="1"/>
  <c r="H102" i="42" s="1"/>
  <c r="H103" i="42" s="1"/>
  <c r="H104" i="42" s="1"/>
  <c r="H105" i="42" s="1"/>
  <c r="H106" i="42" s="1"/>
  <c r="H107" i="42" s="1"/>
  <c r="H108" i="42" s="1"/>
  <c r="H109" i="42" s="1"/>
  <c r="H110" i="42" s="1"/>
  <c r="H111" i="42" s="1"/>
  <c r="H112" i="42" s="1"/>
  <c r="H113" i="42" s="1"/>
  <c r="H114" i="42" s="1"/>
  <c r="H115" i="42" s="1"/>
  <c r="H12" i="23" l="1"/>
  <c r="H11" i="23"/>
  <c r="H13" i="23"/>
  <c r="H14" i="23"/>
  <c r="F28" i="24"/>
  <c r="F11" i="20" l="1"/>
  <c r="G31" i="19" l="1"/>
  <c r="F23" i="19"/>
  <c r="G28" i="19"/>
  <c r="G24" i="19"/>
  <c r="G25" i="19"/>
  <c r="G26" i="19"/>
  <c r="G27" i="19"/>
  <c r="G30" i="19"/>
  <c r="G29" i="19"/>
  <c r="G33" i="19" l="1"/>
  <c r="F48" i="33"/>
  <c r="G48" i="33"/>
  <c r="H48" i="33"/>
  <c r="I48" i="33"/>
  <c r="J48" i="33"/>
  <c r="K48" i="33"/>
  <c r="L48" i="33"/>
  <c r="M48" i="33"/>
  <c r="F39" i="33"/>
  <c r="G39" i="33"/>
  <c r="H39" i="33"/>
  <c r="I39" i="33"/>
  <c r="J39" i="33"/>
  <c r="K39" i="33"/>
  <c r="L39" i="33"/>
  <c r="M39" i="33"/>
  <c r="F33" i="33"/>
  <c r="G33" i="33"/>
  <c r="H33" i="33"/>
  <c r="I33" i="33"/>
  <c r="J33" i="33"/>
  <c r="K33" i="33"/>
  <c r="L33" i="33"/>
  <c r="M33" i="33"/>
  <c r="F28" i="33"/>
  <c r="G28" i="33"/>
  <c r="H28" i="33"/>
  <c r="I28" i="33"/>
  <c r="J28" i="33"/>
  <c r="K28" i="33"/>
  <c r="L28" i="33"/>
  <c r="M28" i="33"/>
  <c r="C69" i="33" l="1"/>
  <c r="C67" i="33"/>
  <c r="C65" i="33"/>
  <c r="C63" i="33"/>
  <c r="C61" i="33"/>
  <c r="C59" i="33"/>
  <c r="C56" i="33"/>
  <c r="C51" i="33"/>
  <c r="C41" i="33"/>
  <c r="C39" i="33" s="1"/>
  <c r="C37" i="33"/>
  <c r="C33" i="33" s="1"/>
  <c r="C31" i="33"/>
  <c r="C30" i="33"/>
  <c r="C28" i="33" l="1"/>
  <c r="C48" i="33"/>
  <c r="B69" i="33"/>
  <c r="B67" i="33"/>
  <c r="B65" i="33"/>
  <c r="B57" i="33"/>
  <c r="B56" i="33"/>
  <c r="B53" i="33"/>
  <c r="B52" i="33"/>
  <c r="B51" i="33"/>
  <c r="B39" i="33"/>
  <c r="B33" i="33"/>
  <c r="B31" i="33"/>
  <c r="B30" i="33"/>
  <c r="B28" i="33" s="1"/>
  <c r="B48" i="33" l="1"/>
  <c r="F150" i="24" l="1"/>
  <c r="B14" i="17" s="1"/>
  <c r="C11" i="20" l="1"/>
  <c r="D18" i="19" l="1"/>
  <c r="N33" i="33" l="1"/>
  <c r="N39" i="33"/>
  <c r="N48" i="33" l="1"/>
  <c r="H6" i="23" l="1"/>
  <c r="C14" i="20" l="1"/>
  <c r="F14" i="20"/>
  <c r="E6" i="33" l="1"/>
  <c r="E4" i="33" s="1"/>
  <c r="E10" i="33"/>
  <c r="E18" i="33"/>
  <c r="F15" i="23" l="1"/>
  <c r="D11" i="21" l="1"/>
  <c r="F10" i="20"/>
  <c r="C10" i="20"/>
  <c r="G11" i="21" l="1"/>
  <c r="D9" i="43" l="1"/>
  <c r="G9" i="21"/>
  <c r="G8" i="21"/>
  <c r="G6" i="21"/>
  <c r="C10" i="21"/>
  <c r="D10" i="21" s="1"/>
  <c r="G7" i="21"/>
  <c r="C44" i="17" l="1"/>
  <c r="F61" i="33"/>
  <c r="C12" i="21"/>
  <c r="G10" i="21"/>
  <c r="G12" i="21" s="1"/>
  <c r="D12" i="21"/>
  <c r="C17" i="17" s="1"/>
  <c r="N63" i="33" s="1"/>
  <c r="N61" i="33" l="1"/>
  <c r="F12" i="21"/>
  <c r="C18" i="19" l="1"/>
  <c r="E17" i="19"/>
  <c r="F17" i="19" s="1"/>
  <c r="G17" i="19" s="1"/>
  <c r="E33" i="19" l="1"/>
  <c r="C37" i="19" l="1"/>
  <c r="C15" i="20"/>
  <c r="F9" i="31" l="1"/>
  <c r="H10" i="31"/>
  <c r="G15" i="31" l="1"/>
  <c r="F15" i="31"/>
  <c r="H11" i="31"/>
  <c r="H12" i="31" s="1"/>
  <c r="H13" i="31" s="1"/>
  <c r="H14" i="31" s="1"/>
  <c r="H10" i="23" l="1"/>
  <c r="E15" i="19" l="1"/>
  <c r="F15" i="19" s="1"/>
  <c r="E8" i="19"/>
  <c r="F8" i="19" s="1"/>
  <c r="G8" i="19" s="1"/>
  <c r="E10" i="19"/>
  <c r="F10" i="19" s="1"/>
  <c r="G15" i="19" l="1"/>
  <c r="G10" i="19"/>
  <c r="B5" i="24" l="1"/>
  <c r="D5" i="24" l="1"/>
  <c r="E5" i="24" s="1"/>
  <c r="E6" i="24" l="1"/>
  <c r="C42" i="19" l="1"/>
  <c r="D42" i="19"/>
  <c r="E42" i="19"/>
  <c r="I6" i="33" l="1"/>
  <c r="I4" i="33" s="1"/>
  <c r="I8" i="33"/>
  <c r="I10" i="33"/>
  <c r="I18" i="33"/>
  <c r="H9" i="23" l="1"/>
  <c r="H18" i="33" l="1"/>
  <c r="H10" i="33"/>
  <c r="H8" i="33"/>
  <c r="H6" i="33"/>
  <c r="H4" i="33" s="1"/>
  <c r="E22" i="23" l="1"/>
  <c r="C40" i="17" l="1"/>
  <c r="G22" i="23"/>
  <c r="F22" i="23"/>
  <c r="E15" i="23"/>
  <c r="H22" i="23" l="1"/>
  <c r="C9" i="17" l="1"/>
  <c r="E11" i="19"/>
  <c r="F11" i="19" s="1"/>
  <c r="G11" i="19" s="1"/>
  <c r="F15" i="20" l="1"/>
  <c r="C6" i="26"/>
  <c r="C50" i="17"/>
  <c r="E6" i="19"/>
  <c r="F6" i="19" s="1"/>
  <c r="G6" i="19" s="1"/>
  <c r="E7" i="19"/>
  <c r="F7" i="19" s="1"/>
  <c r="G7" i="19" s="1"/>
  <c r="E9" i="19"/>
  <c r="F9" i="19" s="1"/>
  <c r="G9" i="19" s="1"/>
  <c r="E12" i="19"/>
  <c r="F12" i="19" s="1"/>
  <c r="G12" i="19" s="1"/>
  <c r="E14" i="19"/>
  <c r="F14" i="19" s="1"/>
  <c r="G14" i="19" s="1"/>
  <c r="E16" i="19"/>
  <c r="G18" i="33"/>
  <c r="G10" i="33"/>
  <c r="G8" i="33"/>
  <c r="G6" i="33"/>
  <c r="G4" i="33" s="1"/>
  <c r="F6" i="33"/>
  <c r="F4" i="33" s="1"/>
  <c r="F8" i="33"/>
  <c r="F10" i="33"/>
  <c r="F18" i="33"/>
  <c r="C7" i="26"/>
  <c r="C13" i="33"/>
  <c r="B18" i="33"/>
  <c r="C18" i="33"/>
  <c r="B10" i="33"/>
  <c r="C10" i="33"/>
  <c r="C4" i="33"/>
  <c r="B4" i="33"/>
  <c r="C6" i="24"/>
  <c r="B6" i="24"/>
  <c r="H7" i="23"/>
  <c r="H5" i="23"/>
  <c r="F16" i="19" l="1"/>
  <c r="N18" i="33"/>
  <c r="C17" i="20"/>
  <c r="B48" i="17" s="1"/>
  <c r="C47" i="17" s="1"/>
  <c r="N59" i="33" s="1"/>
  <c r="N10" i="33"/>
  <c r="D6" i="24"/>
  <c r="E7" i="26"/>
  <c r="H8" i="23"/>
  <c r="H15" i="23" s="1"/>
  <c r="E6" i="26"/>
  <c r="N4" i="33"/>
  <c r="E13" i="19"/>
  <c r="F13" i="19" s="1"/>
  <c r="G13" i="19" s="1"/>
  <c r="C36" i="19"/>
  <c r="C38" i="19" s="1"/>
  <c r="C20" i="17"/>
  <c r="E18" i="19" l="1"/>
  <c r="G16" i="19"/>
  <c r="G18" i="19" s="1"/>
  <c r="F18" i="19"/>
  <c r="E8" i="26"/>
  <c r="B34" i="17"/>
  <c r="N28" i="33" s="1"/>
  <c r="C8" i="26"/>
  <c r="F69" i="33" l="1"/>
  <c r="N69" i="33" s="1"/>
  <c r="B36" i="17"/>
  <c r="D36" i="19"/>
  <c r="C7" i="17" s="1"/>
  <c r="C33" i="17" l="1"/>
  <c r="D11" i="17" s="1"/>
  <c r="G36" i="19" l="1"/>
  <c r="F33" i="19"/>
  <c r="C8" i="17"/>
  <c r="D37" i="19"/>
  <c r="D38" i="19" s="1"/>
  <c r="E8" i="33" l="1"/>
  <c r="D5" i="17"/>
  <c r="D60" i="17" s="1"/>
  <c r="F65" i="33" s="1"/>
  <c r="D62" i="17" l="1"/>
  <c r="N65" i="33"/>
  <c r="F67" i="33" l="1"/>
  <c r="N67" i="33" s="1"/>
  <c r="N71" i="33" s="1"/>
</calcChain>
</file>

<file path=xl/comments1.xml><?xml version="1.0" encoding="utf-8"?>
<comments xmlns="http://schemas.openxmlformats.org/spreadsheetml/2006/main">
  <authors>
    <author>CONTABILIDAD PALESAS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CONTABILIDAD PALESAS:</t>
        </r>
        <r>
          <rPr>
            <sz val="9"/>
            <color indexed="81"/>
            <rFont val="Tahoma"/>
            <family val="2"/>
          </rPr>
          <t xml:space="preserve">
CAPITAL $ 416.667
INT CORRINTE $ 92.648
CUOTA FEB/16 # 05</t>
        </r>
      </text>
    </comment>
  </commentList>
</comments>
</file>

<file path=xl/sharedStrings.xml><?xml version="1.0" encoding="utf-8"?>
<sst xmlns="http://schemas.openxmlformats.org/spreadsheetml/2006/main" count="1500" uniqueCount="638">
  <si>
    <t>CONCEPTO</t>
  </si>
  <si>
    <t>TOTAL</t>
  </si>
  <si>
    <t>TERCERO</t>
  </si>
  <si>
    <t>VALOR</t>
  </si>
  <si>
    <t>JORGE GOMEZ</t>
  </si>
  <si>
    <t>PARTICULAR</t>
  </si>
  <si>
    <t>NIT 900.510.045-4</t>
  </si>
  <si>
    <t xml:space="preserve">CLIENTE </t>
  </si>
  <si>
    <t>GASTOS VARIOS</t>
  </si>
  <si>
    <t>DESCRIPCION</t>
  </si>
  <si>
    <t>PAGOS SERVIDUMBRE TERRAJE</t>
  </si>
  <si>
    <t xml:space="preserve">TIPO DE VENTA </t>
  </si>
  <si>
    <t>TOTAL COMISION</t>
  </si>
  <si>
    <t>VENTAS A CREDITO</t>
  </si>
  <si>
    <t>VENTAS EN EFECTIVO</t>
  </si>
  <si>
    <t>TOTAL COMISIONES POR VENTAS</t>
  </si>
  <si>
    <t>NOMBRE</t>
  </si>
  <si>
    <t>CARGO</t>
  </si>
  <si>
    <t>GERENTE OPERATIVO</t>
  </si>
  <si>
    <t>OPERARIO</t>
  </si>
  <si>
    <t>TOTALES</t>
  </si>
  <si>
    <t>JUAN JOSE GARCIA</t>
  </si>
  <si>
    <t>PALE S.A.S.</t>
  </si>
  <si>
    <t>VENTA NETA</t>
  </si>
  <si>
    <t>TCI ESTRELLAS</t>
  </si>
  <si>
    <t>SALARIO</t>
  </si>
  <si>
    <t>TOTAL TERRAJE</t>
  </si>
  <si>
    <t>CUOTA MENSUAL LEASING</t>
  </si>
  <si>
    <t>COMBUSTIBLE</t>
  </si>
  <si>
    <t>GALONES ACPM</t>
  </si>
  <si>
    <t>HORAS TRABAJADAS MAQUINA III/MES</t>
  </si>
  <si>
    <t>SALDO</t>
  </si>
  <si>
    <t>EGRESOS</t>
  </si>
  <si>
    <t>MAQUINARIA PALE S.A.S</t>
  </si>
  <si>
    <t>CUOTAS RESTANTES</t>
  </si>
  <si>
    <t xml:space="preserve">DIFERIDOS </t>
  </si>
  <si>
    <t>INFORMACIÓN BASICA</t>
  </si>
  <si>
    <t>Mts ³ CARGADOS</t>
  </si>
  <si>
    <t>MAQUINA ($ / Mts ³)</t>
  </si>
  <si>
    <t>SUELDO POR Mts ³  VENDIDOS / CARLOS CARAZO</t>
  </si>
  <si>
    <t>TOTAL Mts ³ VENDIDOS</t>
  </si>
  <si>
    <t>VALOR COMISION POR Mts ³</t>
  </si>
  <si>
    <t xml:space="preserve"> DIAS TRABAJADOS / MES</t>
  </si>
  <si>
    <t>MONTO CUOTA</t>
  </si>
  <si>
    <t>ADMINISTRADOR</t>
  </si>
  <si>
    <t>DESCUENTOS</t>
  </si>
  <si>
    <t>DESCAPOTE RETRO</t>
  </si>
  <si>
    <t xml:space="preserve">ACUMULADO </t>
  </si>
  <si>
    <t>INGRESOS</t>
  </si>
  <si>
    <t>Ventas Creditos</t>
  </si>
  <si>
    <t>Utilidad Operacional</t>
  </si>
  <si>
    <t>Comision  Gerente por Utilidad</t>
  </si>
  <si>
    <t>KOMATSU 2</t>
  </si>
  <si>
    <t>VR. 
UNITARIO</t>
  </si>
  <si>
    <t>SUB
TOTAL</t>
  </si>
  <si>
    <t>Venta en efectivo</t>
  </si>
  <si>
    <t xml:space="preserve"> Mts ³</t>
  </si>
  <si>
    <t>PRECIO  PROMEDIO</t>
  </si>
  <si>
    <t>CREDITOS</t>
  </si>
  <si>
    <t>EFECTIVO</t>
  </si>
  <si>
    <t xml:space="preserve"> KOMATSU 1</t>
  </si>
  <si>
    <t xml:space="preserve">IVA 
</t>
  </si>
  <si>
    <t xml:space="preserve"> FACTURADO MAQUINA I ($ / Mts ³)</t>
  </si>
  <si>
    <t xml:space="preserve"> FACTURADO MAQUINA II ($ / Mts ³)</t>
  </si>
  <si>
    <t>CARLOS CARAZO  ZUCCARDI</t>
  </si>
  <si>
    <t>ITEM</t>
  </si>
  <si>
    <t xml:space="preserve">                PROMOTORA DE AGREGADOS LA EUROPA S.A.S </t>
  </si>
  <si>
    <t>FECHA</t>
  </si>
  <si>
    <t>CREDITO</t>
  </si>
  <si>
    <t>Alquiler de Maquina</t>
  </si>
  <si>
    <t>CESANTIAS</t>
  </si>
  <si>
    <t xml:space="preserve">          Agua</t>
  </si>
  <si>
    <t xml:space="preserve">          Internet</t>
  </si>
  <si>
    <t xml:space="preserve">          Telefonia Celular</t>
  </si>
  <si>
    <t xml:space="preserve">          Credito 30. M</t>
  </si>
  <si>
    <t xml:space="preserve">          Leasig Vehiculo</t>
  </si>
  <si>
    <t xml:space="preserve">          Poliza Komatsu II</t>
  </si>
  <si>
    <t xml:space="preserve">          Servicios Contador</t>
  </si>
  <si>
    <t xml:space="preserve">          4 X 1000</t>
  </si>
  <si>
    <t xml:space="preserve">          Arriendo</t>
  </si>
  <si>
    <t xml:space="preserve">          Pension Operador II</t>
  </si>
  <si>
    <t xml:space="preserve">          Energia</t>
  </si>
  <si>
    <t xml:space="preserve">          Nomina Directa</t>
  </si>
  <si>
    <t xml:space="preserve">         Gastos Bancarios</t>
  </si>
  <si>
    <t xml:space="preserve">          Seguridad Social</t>
  </si>
  <si>
    <t>Ventas Efectivo</t>
  </si>
  <si>
    <t>Caja Menor</t>
  </si>
  <si>
    <t>Poliza Komatsu II</t>
  </si>
  <si>
    <t>Otros Gastos</t>
  </si>
  <si>
    <t>GASTOS FINANCIEROS</t>
  </si>
  <si>
    <t>4 x 1000</t>
  </si>
  <si>
    <t>Credito 30M</t>
  </si>
  <si>
    <t xml:space="preserve">I V A </t>
  </si>
  <si>
    <t>Leasing Vehiculo</t>
  </si>
  <si>
    <t>Gastos Bancarios</t>
  </si>
  <si>
    <t>Tarjeta de Credito</t>
  </si>
  <si>
    <t>Nomina</t>
  </si>
  <si>
    <t>Seguridad Social</t>
  </si>
  <si>
    <t>MANO DE OBRA DIRECTA</t>
  </si>
  <si>
    <t>SUPERVISOR</t>
  </si>
  <si>
    <t>Salario</t>
  </si>
  <si>
    <t>Bonificacion</t>
  </si>
  <si>
    <t>Viaticos</t>
  </si>
  <si>
    <t>MANO DE OBRA INDIRECTA</t>
  </si>
  <si>
    <t>Vigilante</t>
  </si>
  <si>
    <t>Servicios Contador</t>
  </si>
  <si>
    <t>Servicios Digitacion</t>
  </si>
  <si>
    <t>Supervisor Tanqueo</t>
  </si>
  <si>
    <t>Gastos JJG (caja Menor)</t>
  </si>
  <si>
    <t>Gastos JJG (cantera)</t>
  </si>
  <si>
    <t>SERVICIOS</t>
  </si>
  <si>
    <t>Agua</t>
  </si>
  <si>
    <t>Arriendo</t>
  </si>
  <si>
    <t>Energia</t>
  </si>
  <si>
    <t>Internet</t>
  </si>
  <si>
    <t>Telefonia Celular</t>
  </si>
  <si>
    <t>Telefonia Fija</t>
  </si>
  <si>
    <t>MAQUINARIA AMARILLA</t>
  </si>
  <si>
    <t>LIQUIDACION TERRAJE (JG)</t>
  </si>
  <si>
    <t>DIFERIDOS</t>
  </si>
  <si>
    <t>UTILIDAD DEL EJERCICIO</t>
  </si>
  <si>
    <t>UTILIDAD GERENTE</t>
  </si>
  <si>
    <t>COMISION $ 60 GERENTE</t>
  </si>
  <si>
    <t>I. Gastos Varios</t>
  </si>
  <si>
    <t>II. Diferidos</t>
  </si>
  <si>
    <t>III. Gastos Financieros</t>
  </si>
  <si>
    <t>Compra de Repuestos MAQ 1</t>
  </si>
  <si>
    <t xml:space="preserve">          Credito 15. M</t>
  </si>
  <si>
    <t>BANCOLOMBIA</t>
  </si>
  <si>
    <t>Credi - Contado</t>
  </si>
  <si>
    <t>KOMATSU #1</t>
  </si>
  <si>
    <t>KOMATSU # 2</t>
  </si>
  <si>
    <t>Credito 15M</t>
  </si>
  <si>
    <t>JEAN CARLOS VEGA HERAZO</t>
  </si>
  <si>
    <t>Pago Arriendo Operador I</t>
  </si>
  <si>
    <t>Pago Arriendo Operador II</t>
  </si>
  <si>
    <t>JJG</t>
  </si>
  <si>
    <t>Horas Maquinas</t>
  </si>
  <si>
    <t>1Q JUNIO</t>
  </si>
  <si>
    <t>2Q JUNIO</t>
  </si>
  <si>
    <t>PROMOTORA DE AGREGADOS LA EUROPA SAS</t>
  </si>
  <si>
    <t>NIT. 900.510.045-4</t>
  </si>
  <si>
    <t>REPORTE MOVIMIENTOS BANCARIOS</t>
  </si>
  <si>
    <t>CTA CTE N° 78786435951</t>
  </si>
  <si>
    <t>MOVIMIENTOS BANCARIOS</t>
  </si>
  <si>
    <t>DOCUMENTO</t>
  </si>
  <si>
    <t>DEBITO</t>
  </si>
  <si>
    <t>VENTA TOTAL SIN IVA</t>
  </si>
  <si>
    <t xml:space="preserve">          IVA Bancarios</t>
  </si>
  <si>
    <t xml:space="preserve">         Gerente $60 pesos Mts3</t>
  </si>
  <si>
    <t xml:space="preserve">         Cuota Tarjeta de Credito (DESCUENTO AA)</t>
  </si>
  <si>
    <t>H. M</t>
  </si>
  <si>
    <t>VALOR H.</t>
  </si>
  <si>
    <t> GRAVAMEN MOVIMIENTO FINANCIERO</t>
  </si>
  <si>
    <t xml:space="preserve">          Supervisor cantera</t>
  </si>
  <si>
    <t>PAGOS POR SERVIDUMBRE MINERA (AGRECAR)</t>
  </si>
  <si>
    <t>Servicios Control de calidad</t>
  </si>
  <si>
    <t>Servicios Operador Maquina</t>
  </si>
  <si>
    <t>Cco</t>
  </si>
  <si>
    <t xml:space="preserve">          Telefonia Fijo</t>
  </si>
  <si>
    <t xml:space="preserve">          Caja Menor </t>
  </si>
  <si>
    <t>1Q SEPT</t>
  </si>
  <si>
    <t>2Q SEPT</t>
  </si>
  <si>
    <t>POLIZA LICENCIA AMBIENTAL</t>
  </si>
  <si>
    <t xml:space="preserve">          Credito 10. M</t>
  </si>
  <si>
    <t>CTA Ahorro N° 78730673522</t>
  </si>
  <si>
    <t>SALDO INICIAL</t>
  </si>
  <si>
    <t>TREN DE RODAJE KOMATSU # 1</t>
  </si>
  <si>
    <t>COMPRA REPUESTOS Y PINES KOMAT #2</t>
  </si>
  <si>
    <t>COMPRA DE REPUESTO Y MANO DE O.</t>
  </si>
  <si>
    <t>MENSAJERO</t>
  </si>
  <si>
    <t>GRAVAMEN MOVIMIENTO FINANCIERO</t>
  </si>
  <si>
    <t>SALDO ANTERIOR</t>
  </si>
  <si>
    <t>CUOTA MANEJO TERJETA DEBITO</t>
  </si>
  <si>
    <t>IVA COMISION RECAUDOS CAJA</t>
  </si>
  <si>
    <t>COMISION RECAUDOS CAJA LOCAL</t>
  </si>
  <si>
    <t>PALE S.A.S</t>
  </si>
  <si>
    <t>2015/11/01 </t>
  </si>
  <si>
    <t>GASTOS  JJG</t>
  </si>
  <si>
    <t>RM S.A.S</t>
  </si>
  <si>
    <t>GM Arenas y Triturados</t>
  </si>
  <si>
    <t>BANCOLOMBIA S.A</t>
  </si>
  <si>
    <t>INTERESES DE SOBREGIRO</t>
  </si>
  <si>
    <t>PAGO POR VENTAS EN EFECTIVO</t>
  </si>
  <si>
    <t>MANUEL COLON SANCHEZ</t>
  </si>
  <si>
    <t>JORGE GOMEZ JARAMILLO</t>
  </si>
  <si>
    <t>ENERO 16</t>
  </si>
  <si>
    <t>FEBRERO 16</t>
  </si>
  <si>
    <t>MARZO 16</t>
  </si>
  <si>
    <t>ABRIL 16</t>
  </si>
  <si>
    <t>TOTAL 2016</t>
  </si>
  <si>
    <t>MAYO 16</t>
  </si>
  <si>
    <t>JUNIO 16</t>
  </si>
  <si>
    <t>JULIO 16</t>
  </si>
  <si>
    <t>AGOSTO 16</t>
  </si>
  <si>
    <t>SEPT 16</t>
  </si>
  <si>
    <t>OCT 16</t>
  </si>
  <si>
    <t>NOV 16</t>
  </si>
  <si>
    <t>DIC 16</t>
  </si>
  <si>
    <t>VI. Mano de Obra Directa</t>
  </si>
  <si>
    <t>VII. Mano de Obra Indirecta</t>
  </si>
  <si>
    <t>VIII. Liquidacion Terraje (Jorge Gomez)</t>
  </si>
  <si>
    <t>IX. Maquinaria Amarilla</t>
  </si>
  <si>
    <t xml:space="preserve">X.Servicios </t>
  </si>
  <si>
    <t>IV Pagos a proveedores</t>
  </si>
  <si>
    <t>CONSIG LOCAL REFEREN EFECTIVO</t>
  </si>
  <si>
    <t xml:space="preserve">         Liquidaciones</t>
  </si>
  <si>
    <t xml:space="preserve">        cesantia e intereces</t>
  </si>
  <si>
    <t xml:space="preserve">          Credito 100. M</t>
  </si>
  <si>
    <t>CONTECSA</t>
  </si>
  <si>
    <t>OTROS GALLEROS</t>
  </si>
  <si>
    <t>COMPRA DE CORAZON</t>
  </si>
  <si>
    <t>PAPELERIA</t>
  </si>
  <si>
    <t>PEAJE</t>
  </si>
  <si>
    <t>ENVIO</t>
  </si>
  <si>
    <t>REFRIGERIO</t>
  </si>
  <si>
    <t>MOTO</t>
  </si>
  <si>
    <t>MANTENIMIENTO</t>
  </si>
  <si>
    <t>ACPM</t>
  </si>
  <si>
    <t>CANTERA</t>
  </si>
  <si>
    <t>TRANSPORTE</t>
  </si>
  <si>
    <t>CONSIGNACION CUENTA CORRIENTE</t>
  </si>
  <si>
    <t>TAXI</t>
  </si>
  <si>
    <t>SERVICIO</t>
  </si>
  <si>
    <t>PAGO TC VISA TARJETA DE CRED</t>
  </si>
  <si>
    <t>CHEQUE PAGO DE IMPUESTOS</t>
  </si>
  <si>
    <t>CARLOS CARAZO</t>
  </si>
  <si>
    <t xml:space="preserve">          Vijilante cantera</t>
  </si>
  <si>
    <t xml:space="preserve">          Maquinaria Amarilla</t>
  </si>
  <si>
    <t>SALDO FINAL MES DE MARZO</t>
  </si>
  <si>
    <t>PAGO CUOTA CREDITO BANCOL</t>
  </si>
  <si>
    <t>DEBITO AUTOMAT LEASING BANCOLO</t>
  </si>
  <si>
    <t xml:space="preserve"> </t>
  </si>
  <si>
    <t>IVA COMISION RECAUDOS</t>
  </si>
  <si>
    <t>GRUPO CONSTRUCTOR RUTA CARIBE CARTAGENA</t>
  </si>
  <si>
    <t>2016/04/30 </t>
  </si>
  <si>
    <t>GUIDO FRIERY MEGA C.</t>
  </si>
  <si>
    <t>LUIS BRUGER</t>
  </si>
  <si>
    <t>PAVIMENTOS EL DORADO</t>
  </si>
  <si>
    <t>RAFAEL CARAZO</t>
  </si>
  <si>
    <t>FERRETERIA  EL CHEMA MATERIALES  GALLERIA</t>
  </si>
  <si>
    <t>COMPRA DE PLATANO AMARILLO</t>
  </si>
  <si>
    <t>GASTOS PALE S.A.S ABRIL 2016</t>
  </si>
  <si>
    <t>PALES</t>
  </si>
  <si>
    <t>COMPRA DE ACPM</t>
  </si>
  <si>
    <t>COMPRA DE PAPEL RECICLABLE</t>
  </si>
  <si>
    <t>BANCO</t>
  </si>
  <si>
    <t>TELEFONO CELULAR</t>
  </si>
  <si>
    <t>PEAJE DE 7100</t>
  </si>
  <si>
    <t>JORGE LUIS GOMEZ SANTIAGO</t>
  </si>
  <si>
    <t>MARLON JAVIER BLANDON MADERA</t>
  </si>
  <si>
    <t>MARINELLA TORRES LUNA</t>
  </si>
  <si>
    <t>JORGE GOMEZ BLANQUICET</t>
  </si>
  <si>
    <t>JOSE MANUEL VILLA CORONADO</t>
  </si>
  <si>
    <t>JHAEL DE JESUS PACHECO MARRIAGA</t>
  </si>
  <si>
    <t>PABLO DIAZ GOMEZ</t>
  </si>
  <si>
    <t>AUX - CONTABLE</t>
  </si>
  <si>
    <t>AUX DE OPERACIONES</t>
  </si>
  <si>
    <t>AUX ADMINISTRATIVO</t>
  </si>
  <si>
    <t>MANO DE OBRA INDIRECTA (OPS) ABRIL 2016</t>
  </si>
  <si>
    <t>PROMOTORA DE AGREGADOS LA EUROPA S.A.S</t>
  </si>
  <si>
    <t xml:space="preserve">SALDO </t>
  </si>
  <si>
    <t>SALDO FINAL MARZO</t>
  </si>
  <si>
    <t>VENTA EN EFECTIVO 01</t>
  </si>
  <si>
    <t>GASTO CANTERA</t>
  </si>
  <si>
    <t>VENTA EN EFECTIVO 04</t>
  </si>
  <si>
    <t>ASEO CANTERA</t>
  </si>
  <si>
    <t>AGUA, HIELO Y TRANSPORTE</t>
  </si>
  <si>
    <t>VENTA EN EFECTIVO 05</t>
  </si>
  <si>
    <t>VENTA EN EFECTIVO 06</t>
  </si>
  <si>
    <t>COMPRA DE 5 ALMUERZO Y TRANSPORTE</t>
  </si>
  <si>
    <t>aseo cantera</t>
  </si>
  <si>
    <t>AGUA,HIELO Y TRANSPORTE</t>
  </si>
  <si>
    <t>VENTA EN EFECTIVO 11</t>
  </si>
  <si>
    <t>VENTA EN EFECTIVO 12</t>
  </si>
  <si>
    <t>COMPRA DE AGUA,HIELO Y TRANSPORTE</t>
  </si>
  <si>
    <t>VENTA EN EFECTIVO 13</t>
  </si>
  <si>
    <t>VENTA EN EFECTIVO 14</t>
  </si>
  <si>
    <t>ELIAS EL JACH</t>
  </si>
  <si>
    <t>KEY GARCIA LAMBRAÑO</t>
  </si>
  <si>
    <t>VENTA EN EFECTIVO 16</t>
  </si>
  <si>
    <t>CAJA MENOR</t>
  </si>
  <si>
    <t>VENTA EN EFECTIVO 18</t>
  </si>
  <si>
    <t>AGUA , HIELO Y TRANSPORTE</t>
  </si>
  <si>
    <t>TRANSPORTE DE DOCUMETOS  OFICINA</t>
  </si>
  <si>
    <t>VENTA EN EFECTIVO 19</t>
  </si>
  <si>
    <t>VENTA EN EFECTIVO 20</t>
  </si>
  <si>
    <t>COMPRA DE 6 ALMUERZOS Y TRANSPORTE</t>
  </si>
  <si>
    <t>VENTA EN EFECTIVO 21</t>
  </si>
  <si>
    <t>VENTA EN EFECTIVO 23</t>
  </si>
  <si>
    <t>VENTA EN EFECTIVO 25</t>
  </si>
  <si>
    <t>GALLERIA</t>
  </si>
  <si>
    <t>VENTA EN EFECTIVO 26</t>
  </si>
  <si>
    <t>VENTA EN EFECTIVO 27</t>
  </si>
  <si>
    <t>VIATICOS WILLINTON RENDON</t>
  </si>
  <si>
    <t>DAVINSON ALDANA</t>
  </si>
  <si>
    <t>VENTA EN EFECTIVO 28</t>
  </si>
  <si>
    <t>XI, GASTOS JJG</t>
  </si>
  <si>
    <t>Nº Creditos</t>
  </si>
  <si>
    <t>Cuota Credito 100M</t>
  </si>
  <si>
    <t>Cada 3 meses</t>
  </si>
  <si>
    <t>Tarjeta Credito</t>
  </si>
  <si>
    <t>Cuota credito 10M</t>
  </si>
  <si>
    <t xml:space="preserve"> de 01 A 31 de MAYO de 2016</t>
  </si>
  <si>
    <t>Leasing K1</t>
  </si>
  <si>
    <t>Poliza Komatzu</t>
  </si>
  <si>
    <t>Leasing K2</t>
  </si>
  <si>
    <t>Leasing Vehic</t>
  </si>
  <si>
    <t xml:space="preserve">CREDITO DE 29.000.000 </t>
  </si>
  <si>
    <t xml:space="preserve">PAGARE </t>
  </si>
  <si>
    <t>Cuota credito 15M</t>
  </si>
  <si>
    <t>Cuota credito 30M</t>
  </si>
  <si>
    <t>PAVIMENTOS EL DORADO S.A.S</t>
  </si>
  <si>
    <t>CONSIG LOCAL REFEREN EFECTIVO PAVIMENTOS EL DORADO</t>
  </si>
  <si>
    <t>CONSIGNACION VENTA MATERIAL ING FRIERY( MEGA CONSTRUCIONES)</t>
  </si>
  <si>
    <t>JOSE A JIMENEZ (RECARGAS Y TINTAS)</t>
  </si>
  <si>
    <t>PAGO FACTURA # 1206</t>
  </si>
  <si>
    <t>BUITRAGO MONTOYA</t>
  </si>
  <si>
    <t>PAGO FACTURA #02046</t>
  </si>
  <si>
    <t>ANAMARIA DAGER (LUBRICANTES Y FILTROS)</t>
  </si>
  <si>
    <t>PAGO FACTURA #15657</t>
  </si>
  <si>
    <t>PAGO FACTURA #15795</t>
  </si>
  <si>
    <t>PAGO NOMINA DEL 16 AL 30 DE ABRIL</t>
  </si>
  <si>
    <t>COMISION RECAUDOS CAJA</t>
  </si>
  <si>
    <t xml:space="preserve">PAGO CUOTA CREDITO BANCOL </t>
  </si>
  <si>
    <t>CONSIGNACION EFECTIVO CANTERA</t>
  </si>
  <si>
    <t>SIERRA PEREZ &amp; CIA S EN C</t>
  </si>
  <si>
    <t>CONSIG LOCAL REFERENCIA CANJE 802010733</t>
  </si>
  <si>
    <t xml:space="preserve">LAGUNA MORANTE </t>
  </si>
  <si>
    <t>PAGO FACTURA LAGUNA MORANTE</t>
  </si>
  <si>
    <t>MAQUINARIA Y TRANSPORTE DEL CARIBE</t>
  </si>
  <si>
    <t>CONSIG LOCAL REFEREN EFECTO MAQUINRIA Y TRANSPORTE DEL CARIBE900859529</t>
  </si>
  <si>
    <t>MEGACONSTRUCCIONES</t>
  </si>
  <si>
    <t>CONSIG LOCAL REFERENCIA CANJE 900473412</t>
  </si>
  <si>
    <t>CONSTRUCTORA ZONA FRANCA DE COLOMBIA S.A.S</t>
  </si>
  <si>
    <t>CONSIG LOCAL REFEREN EFECTIVO CANTERA</t>
  </si>
  <si>
    <t>HONORARIOS CONTABLES</t>
  </si>
  <si>
    <t>IVA COMISION RECAUDO</t>
  </si>
  <si>
    <t>HERERRA Y DURAN LTDA</t>
  </si>
  <si>
    <t>CONSIG LOCAL REFERENCIA CANJE 890404029</t>
  </si>
  <si>
    <t>MEJIA Y VILLEGAS S.AS</t>
  </si>
  <si>
    <t>CONSIG LOCAL REFERENCIA CANJE 890406491</t>
  </si>
  <si>
    <t>PAGO SALDO FACTURA # 8547</t>
  </si>
  <si>
    <t>CIMACO S.A.S</t>
  </si>
  <si>
    <t>PAGO FACTURA</t>
  </si>
  <si>
    <t xml:space="preserve">CONSIGNACION </t>
  </si>
  <si>
    <t xml:space="preserve"> CONSIGNACION HUGO WILCHES 000055287</t>
  </si>
  <si>
    <t>CHEQUE PAGADO EN CAJA</t>
  </si>
  <si>
    <t>SEGURIDAD SOCIAL 000055292</t>
  </si>
  <si>
    <t xml:space="preserve">GRAVAMEN MOVIMIENTO FINANCIERO </t>
  </si>
  <si>
    <t>CHEQUE NOMINA 000055294</t>
  </si>
  <si>
    <t>COSTO CHEQUERA</t>
  </si>
  <si>
    <t>IVA VENTA CHEQUERA</t>
  </si>
  <si>
    <t>TIMBRE VENTA CHEQUES</t>
  </si>
  <si>
    <t>GRAMEN MOVIMIENTOS FINANCIERO</t>
  </si>
  <si>
    <t>CONSIGNACION LOCAL 8001078009</t>
  </si>
  <si>
    <t>CAJA MENOR 000055296</t>
  </si>
  <si>
    <t xml:space="preserve">IVA COMISION RECAUDO </t>
  </si>
  <si>
    <t>CONSIGNACION LOCAL</t>
  </si>
  <si>
    <t xml:space="preserve">GRUPO CONSTRUCTOR </t>
  </si>
  <si>
    <t>CAJA MENOR 000</t>
  </si>
  <si>
    <t>COMISION RECAUDO</t>
  </si>
  <si>
    <t>INTERES SOBREGIRO</t>
  </si>
  <si>
    <t>DEVOLUCION CHEQUE</t>
  </si>
  <si>
    <t>BAMCOLOMBIA</t>
  </si>
  <si>
    <t>INTERES DE SOBRE GIRO</t>
  </si>
  <si>
    <t>IVA COMSION</t>
  </si>
  <si>
    <t>EFECTIVO CANTERA</t>
  </si>
  <si>
    <t>DEVOLUCION INTERES</t>
  </si>
  <si>
    <t xml:space="preserve">REV GRAVAMEN </t>
  </si>
  <si>
    <t>COMISION</t>
  </si>
  <si>
    <t xml:space="preserve">IVA </t>
  </si>
  <si>
    <t>CUOTA SUCURSAL VIRTUAL</t>
  </si>
  <si>
    <t>PARA CERRAR CAJA MENOR</t>
  </si>
  <si>
    <t>IVA CUOTA MENAEJO SUCURSAL VIRT EMPRESA</t>
  </si>
  <si>
    <t xml:space="preserve">IVA COMISION CAJA </t>
  </si>
  <si>
    <t>GRAVAMEN MOVIMIENTOS FINANCIEROS</t>
  </si>
  <si>
    <t>CHEQUE GIRADO</t>
  </si>
  <si>
    <t>DEBITO AUTOMT LEASING BANCOLOMBIA</t>
  </si>
  <si>
    <t>LEASING</t>
  </si>
  <si>
    <t>GRAVAMEN A LOS MOVIMIENTOS FINANCIEROS</t>
  </si>
  <si>
    <t>GRAVAMEN MOVIMIENTO FINACIERO</t>
  </si>
  <si>
    <t xml:space="preserve">CHEQUE PAGADO EN CAJA </t>
  </si>
  <si>
    <t>NOMINA PALES</t>
  </si>
  <si>
    <t xml:space="preserve">COMISION RECAUDO CAJA </t>
  </si>
  <si>
    <t>INTERESES SOBREGIRO</t>
  </si>
  <si>
    <t>PAGO CUOTA CREDITO BANCOLOMBIA</t>
  </si>
  <si>
    <t>AGUA, HIELO Y TRANSPORTES</t>
  </si>
  <si>
    <t>COMPRA DE ALMUERZO DE AZAEL,JORGE, JOSE  VILLA EL DIA 30/04/16</t>
  </si>
  <si>
    <t>TRANSPORTE DE DOCUMENTOS</t>
  </si>
  <si>
    <t>COMPRA DE ALMUERZO  Y TRANSPORTE</t>
  </si>
  <si>
    <t>COMPRA DE 256,43 GALONES DE ACPM</t>
  </si>
  <si>
    <t>VENTA EN EFECTIVO 03</t>
  </si>
  <si>
    <t>COMPRA DE 75,92 GALONES DE ACPM</t>
  </si>
  <si>
    <t>PAGO LUIS MARTINEZ GALLERO</t>
  </si>
  <si>
    <t>PAGO FREDY CARRANZA GALLERO</t>
  </si>
  <si>
    <t>PAGO RODRIGO REALES  GALLERO</t>
  </si>
  <si>
    <t>7 ALMUERZOS Y TRANSPORTE</t>
  </si>
  <si>
    <t>TRASNPORTE DINERO GALLEROS</t>
  </si>
  <si>
    <t>AGUA,  HEIILO Y TRANSPORTE</t>
  </si>
  <si>
    <t>ENVIO DINERO  AFREDY  CARRANZA</t>
  </si>
  <si>
    <t xml:space="preserve">PAGO DE  PRIMERA SEMANA  PENSION  AZEL </t>
  </si>
  <si>
    <t>COMPRA DE 5 ALMUERZO  Y TRANSPORTE</t>
  </si>
  <si>
    <t xml:space="preserve">COMIDA AZAEL </t>
  </si>
  <si>
    <t>PENSION AZAEL</t>
  </si>
  <si>
    <t>COMPRA DE  CARRO TANQUE DE AGUA ENTREAGADO  FREDY CARRANZA</t>
  </si>
  <si>
    <t>COMPRA DE 7 ALMUERZO Y TRANSPORTE</t>
  </si>
  <si>
    <t>VIATICO WILINTON RENDON</t>
  </si>
  <si>
    <t>COMPRA DE 193 GALONES  DE ACPM</t>
  </si>
  <si>
    <t>COMPRA DE 7 ALMUERZOS</t>
  </si>
  <si>
    <t>VENTA EN FECTIVO 07</t>
  </si>
  <si>
    <t>ALMUERZO AJAHEL PACHECO 07,08,09</t>
  </si>
  <si>
    <t>ARREGLO MANGUERA K3</t>
  </si>
  <si>
    <t>ANTICIPO TRABAJO ARREGLO MOTOR GIRO</t>
  </si>
  <si>
    <t>COMPRA DE 181,83 GALONES D E ACPM</t>
  </si>
  <si>
    <t>VENTA EN EFECTIVO 10</t>
  </si>
  <si>
    <t>PAGO DE VIGILANCIA</t>
  </si>
  <si>
    <t>ENTREGADO AL SEÑOR  IBAÑE</t>
  </si>
  <si>
    <t>compra de 127 galones de acpm</t>
  </si>
  <si>
    <t>compra de 6 almuerzos y transporte</t>
  </si>
  <si>
    <t>agua, hielo y transporte</t>
  </si>
  <si>
    <t>compra de 6 almuerzo y transporte</t>
  </si>
  <si>
    <t>agua, hielo y trasnporte</t>
  </si>
  <si>
    <t>COMPRA DE 291,66 GALONES DE ACPM</t>
  </si>
  <si>
    <t>ABONO DE ARANDELAS</t>
  </si>
  <si>
    <t>7 ALMUERZOS Y TRANSPORTES</t>
  </si>
  <si>
    <t>GASTOS  FINCA JJG</t>
  </si>
  <si>
    <t>POSTURA DE CORREA DE LAS  DOS KOMATZU</t>
  </si>
  <si>
    <t xml:space="preserve"> ALMUERZO 14 Y 15 PABLO DIAZ</t>
  </si>
  <si>
    <t>AGUA, HIELO TRANSPORTE</t>
  </si>
  <si>
    <t>ARREGLO DE MANGUERA</t>
  </si>
  <si>
    <t>COMIDA  AZAEL RADA</t>
  </si>
  <si>
    <t xml:space="preserve">TRANSPORTE DE DOCUMETOS </t>
  </si>
  <si>
    <t>VENTA EN EFECTIVO 17</t>
  </si>
  <si>
    <t>COMPRA DE 141 GALONES  DE ACPM</t>
  </si>
  <si>
    <t>COMPRA DE 5 ALMUERZOS  TRANSPORTES</t>
  </si>
  <si>
    <t>compra de 5 almuerzos y transportes</t>
  </si>
  <si>
    <t>COMPRA DE 215 GALONES DE ACPM</t>
  </si>
  <si>
    <t>COMPRA DE 5 ALMUERZOS Y TRANPORTE</t>
  </si>
  <si>
    <t>TRANSPORTE DE DOCUMENTOS DOBLES</t>
  </si>
  <si>
    <t>COMPRA DE ALMUERZO Y TRANSPORTE</t>
  </si>
  <si>
    <t>LVADO KOMATSU # 3</t>
  </si>
  <si>
    <t>TRANSPORTE DE COCUMENTOS</t>
  </si>
  <si>
    <t>COMPRA DE FAB, TRAPERO Y TRANSPORET</t>
  </si>
  <si>
    <t>COMPRA DE ALMUERZO DEL DIA 21-22 DE MAYO (PABLO DIAZ)</t>
  </si>
  <si>
    <t>PAGO POSTURA CORREA KOMATSU # 3</t>
  </si>
  <si>
    <t>COMPRA DE ACPM 194 GALONES X $7.462</t>
  </si>
  <si>
    <t>GASTO FINCA JJG ENTREGA EFECTIVO JOSE IBAÑE</t>
  </si>
  <si>
    <t>COMPRA DE 5 ALMUERZOS Y TRANSPORTE</t>
  </si>
  <si>
    <t>PAGO BONIFICACION JORGE GOMEZ SANTIAGO</t>
  </si>
  <si>
    <t>VENTA EN EFECTIVO 24</t>
  </si>
  <si>
    <t>COMPRA GASOLINA POLICIA</t>
  </si>
  <si>
    <t>PAGO VIGILANTE LUIS HERNANDEZ</t>
  </si>
  <si>
    <t>COMPRA DE 223 GALONES DE ACPM</t>
  </si>
  <si>
    <t>COMPRA DE AGUA,HIELO Y TRANSPORTE 24-05-2016</t>
  </si>
  <si>
    <t>PRESTAMO JJG</t>
  </si>
  <si>
    <t>PAGO ASEO CANTERA</t>
  </si>
  <si>
    <t>COMPRA DE AGUA, HIELO Y TRANSPORTE</t>
  </si>
  <si>
    <t xml:space="preserve">PAGO ALMUERZOS JAHEL PACHECO DEL 28,29,30 </t>
  </si>
  <si>
    <t>VENTA EN EFECTIVO 31</t>
  </si>
  <si>
    <t>COMPRA DE 156,74 GALONES DE APM</t>
  </si>
  <si>
    <t>PAGO MECANICO KOMATSU # 1</t>
  </si>
  <si>
    <t>PAGO TRANSPORTE HIDRAULICO Y BORNES</t>
  </si>
  <si>
    <t>PAGO TRANSPORTE DE DOCUMENTOS</t>
  </si>
  <si>
    <t>COMPRA DE 5 ALMUERZOS Y TRANSPORTES</t>
  </si>
  <si>
    <t>EFECTIVO CAJA OFICINA</t>
  </si>
  <si>
    <t>EFECTIVO ENTREGADO JORGE G.</t>
  </si>
  <si>
    <t>SALDO EN CAJA CANTERA</t>
  </si>
  <si>
    <t>DIFERENCIA</t>
  </si>
  <si>
    <t>CONTROL DEL EFECTIVO CANTERA MAYO 2016</t>
  </si>
  <si>
    <t>JORGE GOMEZ JARAMILLO ANTICIPOS</t>
  </si>
  <si>
    <t>PAGO 04 SEMANA DE ABR</t>
  </si>
  <si>
    <t>PAGO 05 SEMANA DE ABR</t>
  </si>
  <si>
    <t>PAGO 01 SEMANA DE MAYO</t>
  </si>
  <si>
    <t>PAGO 02 SEMANA DE MAYO</t>
  </si>
  <si>
    <t>PAGO FACTURA MAYO</t>
  </si>
  <si>
    <t>COMPRA MATERIAL EN EFECTIVO (RODER SUESCUM)</t>
  </si>
  <si>
    <t>ABONO FCT MARZO 2016</t>
  </si>
  <si>
    <t>RODRIGO REALES</t>
  </si>
  <si>
    <t>PAGO 23 POLLOS (RODRIGO REALES)</t>
  </si>
  <si>
    <t>COMPRA ACPM CAMIONETA MPT005</t>
  </si>
  <si>
    <t>PAGO 50% BONIICACION DEL 1 AL 15 DE MAYO</t>
  </si>
  <si>
    <t>DEVOLUCION PRESTAMO COMPRA GALLOS Y GALLINAS</t>
  </si>
  <si>
    <t>NOMINA GALLEROS $65.000 - $225.000 - $250.000</t>
  </si>
  <si>
    <t>JUAN CARLOS PEDRIZA</t>
  </si>
  <si>
    <t>SERVICIO VETERINARIO</t>
  </si>
  <si>
    <t>PAGO FACTURA MOVIMIENTO DE TIERRA</t>
  </si>
  <si>
    <t>COMPRA DE UNA MULA DE CEMENTO 3% FACTURA 100.000.000</t>
  </si>
  <si>
    <t>PAGO DE IMPUESTOS (ICA MAYO)</t>
  </si>
  <si>
    <t>PAGO FACTURA ELABORACION REMISIONES</t>
  </si>
  <si>
    <t>ERNESTO HERNANDEZ</t>
  </si>
  <si>
    <t>PACUENTA DE COBRO REPARACIONES LOCATIVAS OFICINA</t>
  </si>
  <si>
    <t>COMCEL S.A</t>
  </si>
  <si>
    <t>PAGO FACTURA PLAN DE TELEFONIA CELULAR CORPORATIVOS</t>
  </si>
  <si>
    <t>PAGO 50% BONIICACION DEL 16 AL 30 DE MAYO</t>
  </si>
  <si>
    <t>RAIMUNDO NERYS</t>
  </si>
  <si>
    <t>HORAS MAQUINAS MAYO 2016</t>
  </si>
  <si>
    <t>GASTO PALE S.A.S MAYO 2016</t>
  </si>
  <si>
    <t>9 DE 12</t>
  </si>
  <si>
    <t>9 DE 36</t>
  </si>
  <si>
    <t>15 DE 36</t>
  </si>
  <si>
    <t>4 DE 12</t>
  </si>
  <si>
    <t>2 PEAJE DE 2500</t>
  </si>
  <si>
    <t>2 PEAJE DE 10200</t>
  </si>
  <si>
    <t>PAGO DE RODAMIENTO MAUEL COLON</t>
  </si>
  <si>
    <t>COMPRA DE PROMICAL</t>
  </si>
  <si>
    <t>ALQUILER DE TALADRO</t>
  </si>
  <si>
    <t>FERRETERIA ELECTRO SOL</t>
  </si>
  <si>
    <t>TRANSPORTE DE 3 BULTOS CAL FERRETERIA APARTAMENTO</t>
  </si>
  <si>
    <t>COMPRA DE WAIPE</t>
  </si>
  <si>
    <t>COMPRA DE LIBRO CONTABLE</t>
  </si>
  <si>
    <t>SERVIENTREGA SOBRE PORTE</t>
  </si>
  <si>
    <t>IMPUESTO</t>
  </si>
  <si>
    <t>PAGO DE IMPUESTO</t>
  </si>
  <si>
    <t xml:space="preserve">2 TAXIS 1 DE 8.000 Y 1 DE 9.000 </t>
  </si>
  <si>
    <t>COMPRA DE MATERIALES PARA OFICINA EN HOMECENTER</t>
  </si>
  <si>
    <t>TRANSPORTE DE  MATERIALES CARIBE PLAZA - BOCA GRANDE</t>
  </si>
  <si>
    <t>1 CANALETA 20*12</t>
  </si>
  <si>
    <t xml:space="preserve"> 2 MINAS DE LAPICEROS</t>
  </si>
  <si>
    <t>PAGO DE IVA AL DERECHO</t>
  </si>
  <si>
    <t>PEAJE DE 10,200</t>
  </si>
  <si>
    <t>2 TAXIS 1 DE 9,000 Y  1 DE 6,000</t>
  </si>
  <si>
    <t>2 PEAJES DE 10,200</t>
  </si>
  <si>
    <t>RUBEN LARA RELIQUIDACION DE REGALIAS</t>
  </si>
  <si>
    <t>LAVADO</t>
  </si>
  <si>
    <t>LAVADO DE CAMIONETA MPT 005</t>
  </si>
  <si>
    <t>REPUESTOS HUGO WILCHEZ</t>
  </si>
  <si>
    <t>CARPINTERO MANTENIMIENTO PUERTAS OFICINAS</t>
  </si>
  <si>
    <t>CARRERA DE TAXI</t>
  </si>
  <si>
    <t>TRANSPORTE DIA SIN MOTO CRESPO - BOCAGRANDE</t>
  </si>
  <si>
    <t>PAGO DE RODAMIENTO DE MOTO MANUEL COLON</t>
  </si>
  <si>
    <t>ACMP</t>
  </si>
  <si>
    <t>2 CARRERA DE TAXI 6,000</t>
  </si>
  <si>
    <t>2 CARRERA DE TAXI 9,000</t>
  </si>
  <si>
    <t>TRANSPORTE PARA LLEVAR DOCUMETOS A EMPASTAR</t>
  </si>
  <si>
    <t>MIGUEL JEREZ</t>
  </si>
  <si>
    <t xml:space="preserve">PEAJE </t>
  </si>
  <si>
    <t>MANTENIMIENTOS</t>
  </si>
  <si>
    <t>LIMPIADOR DE INYECTOR</t>
  </si>
  <si>
    <t>TAXIS Y BUSES</t>
  </si>
  <si>
    <t>TRANSPORTE  DE CENTRO -BOCAGRANDE</t>
  </si>
  <si>
    <t>TRANSPORTE BARADA DE MOTO</t>
  </si>
  <si>
    <t>TRANSPORTE FLETES Y ACARREO</t>
  </si>
  <si>
    <t>MANTENIMIENTO DE MAQUINA</t>
  </si>
  <si>
    <t>HIDRAULICO</t>
  </si>
  <si>
    <t>UNE</t>
  </si>
  <si>
    <t>SERVICIO INTERNET</t>
  </si>
  <si>
    <t>TRAMITES Y LICENCIAS</t>
  </si>
  <si>
    <t>REGISTRO MINERO</t>
  </si>
  <si>
    <t>TRANSPORTES SEÑOR MANUEL</t>
  </si>
  <si>
    <t>3 CARRERAS TAXI C/DA 6000</t>
  </si>
  <si>
    <t>3 CARRERAS TAXI C/DA 9000</t>
  </si>
  <si>
    <t>UTILES DE ASEO</t>
  </si>
  <si>
    <t>PAP. HIG SCOTT</t>
  </si>
  <si>
    <t>CAFETERIA</t>
  </si>
  <si>
    <t>BOTELLAS DE AGUA BRIS</t>
  </si>
  <si>
    <t>CELULAR</t>
  </si>
  <si>
    <t>SERVICIO TECNICO</t>
  </si>
  <si>
    <t>CHAZO, TORNILLO, COLBON, TORNILLO, PIE AMIGO</t>
  </si>
  <si>
    <t xml:space="preserve"> SERVICIO TECNICO</t>
  </si>
  <si>
    <t>LLAVE</t>
  </si>
  <si>
    <t>CERRADURA</t>
  </si>
  <si>
    <t>FABRICACION DE LLAVE</t>
  </si>
  <si>
    <t>HUGO WILCHES</t>
  </si>
  <si>
    <t>PARQUEADERO</t>
  </si>
  <si>
    <t>CAPPUCCINO</t>
  </si>
  <si>
    <t>TRANSPORTE REMISIONES</t>
  </si>
  <si>
    <t>LLAVES</t>
  </si>
  <si>
    <t>PAPELERIA UTILES Y FOTOCOPIA</t>
  </si>
  <si>
    <t xml:space="preserve">LIBRETA </t>
  </si>
  <si>
    <t>COMBUSTIBLE CAMIONETA</t>
  </si>
  <si>
    <t>BIODIESEL</t>
  </si>
  <si>
    <t xml:space="preserve">MANUEL </t>
  </si>
  <si>
    <t>CAMARA DE COMERCIO</t>
  </si>
  <si>
    <t>REPUESTOS</t>
  </si>
  <si>
    <t>HUGO A. WILCHES</t>
  </si>
  <si>
    <t>MANTENIMIENTO COMPUTADOR</t>
  </si>
  <si>
    <t>VICTOR LOPEZ</t>
  </si>
  <si>
    <t>25/05/2016</t>
  </si>
  <si>
    <t>PEAJE MANGA</t>
  </si>
  <si>
    <t>26/05/2016</t>
  </si>
  <si>
    <t>PEAJE CEBALLO</t>
  </si>
  <si>
    <t>PEAJE BAYUNCA</t>
  </si>
  <si>
    <t>ALMUERZO</t>
  </si>
  <si>
    <t xml:space="preserve">CARGA Y RECONSTRUCCION BATERIA 31H </t>
  </si>
  <si>
    <t>31/05/2016</t>
  </si>
  <si>
    <t>ALINEACION Y BALANCEO DE CAMIONETA</t>
  </si>
  <si>
    <t>27/05/2016</t>
  </si>
  <si>
    <t>TAXIS</t>
  </si>
  <si>
    <t>01/05/2016</t>
  </si>
  <si>
    <t>02/05/2017</t>
  </si>
  <si>
    <t>TINTO PQ</t>
  </si>
  <si>
    <t>AGUA</t>
  </si>
  <si>
    <t>TCC MENSAJERIA</t>
  </si>
  <si>
    <t>TRASPORTE MANUEL</t>
  </si>
  <si>
    <t>FLETE DE ACEITE HIDRAULICO</t>
  </si>
  <si>
    <t>TRANSPORTE  MANUEL</t>
  </si>
  <si>
    <t>BORNE BATERIA</t>
  </si>
  <si>
    <t>28/05/2016</t>
  </si>
  <si>
    <t>WAIPERS</t>
  </si>
  <si>
    <t>12/04/2016</t>
  </si>
  <si>
    <t>PAPELRIA</t>
  </si>
  <si>
    <t>ENVIOS Y TRANSPORTES</t>
  </si>
  <si>
    <t>OTROS  GALLEROS</t>
  </si>
  <si>
    <t>RODRIGO REALES ANTICIPO QUINCENA</t>
  </si>
  <si>
    <t>VIATICOS PELEA DE GALLOS</t>
  </si>
  <si>
    <t>DROGUERIA VETERINARIA LTDA</t>
  </si>
  <si>
    <t xml:space="preserve"> CONSIGNACION A FRANSISCO RAMIREZ</t>
  </si>
  <si>
    <t>COMPRA DE FRUTOS</t>
  </si>
  <si>
    <t>JAIRO ARRIETA SERVICIOS VARIOS</t>
  </si>
  <si>
    <t>29/05/2016</t>
  </si>
  <si>
    <t xml:space="preserve"> ALIMENTO DE GALLOS (REVUELTOS)</t>
  </si>
  <si>
    <t>JAIRO ARRIETA</t>
  </si>
  <si>
    <t>FREDY GALLERO</t>
  </si>
  <si>
    <t>BATERIA WILLARD</t>
  </si>
  <si>
    <t>TAPÉTES (8X$25.000)</t>
  </si>
  <si>
    <t xml:space="preserve">VACUNA </t>
  </si>
  <si>
    <t>CONTADOR</t>
  </si>
  <si>
    <t>CC</t>
  </si>
  <si>
    <t>X</t>
  </si>
  <si>
    <t>CONSIGNACION EFECTIVO CANTERA 73581143</t>
  </si>
  <si>
    <t>YACAMAN VIVERO 8020051476</t>
  </si>
  <si>
    <t>EFECTIVO CANTERA 73581143</t>
  </si>
  <si>
    <t>ABONO FACTURA MES DE ENERO 2016 ( SERVIDUMBRE MINERA)</t>
  </si>
  <si>
    <t xml:space="preserve">          Credito 28. M</t>
  </si>
  <si>
    <t>DEBITO LEASING VEHICULO</t>
  </si>
  <si>
    <t>PALE</t>
  </si>
  <si>
    <t>BONO</t>
  </si>
  <si>
    <t>PAGO MECANICO ARREGLO ( JHOSTIN)</t>
  </si>
  <si>
    <t xml:space="preserve">          Gastos cantera</t>
  </si>
  <si>
    <t xml:space="preserve">          Gastos del efectivo (cantera) oficina </t>
  </si>
  <si>
    <t>PAGOS SERVIDUMBRE TERRAJE MAYO 2016</t>
  </si>
  <si>
    <t>NOMINNA PALE MAYO 2016</t>
  </si>
  <si>
    <t>COMISION GERENTE MAYO 2016</t>
  </si>
  <si>
    <t>CAJA MENOR  MAYO 2016</t>
  </si>
  <si>
    <t>INFORME JUNIO 2016</t>
  </si>
  <si>
    <t>VENTAS CREDITOS JUNIO 2016</t>
  </si>
  <si>
    <t>VENTAS EN EFECTIVO JUNIO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</si>
</sst>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_);_(@_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(&quot;$&quot;* #,##0.00_);_(&quot;$&quot;* \(#,##0.00\);_(&quot;$&quot;* &quot;-&quot;??_);_(@_)"/>
    <numFmt numFmtId="168" formatCode="_(&quot;$&quot;\ * #,##0_);_(&quot;$&quot;\ * \(#,##0\);_(&quot;$&quot;\ * &quot;-&quot;??_);_(@_)"/>
    <numFmt numFmtId="169" formatCode="_(* #,##0_);_(* \(#,##0\);_(* &quot;-&quot;??_);_(@_)"/>
    <numFmt numFmtId="170" formatCode="&quot;$&quot;#,##0"/>
    <numFmt numFmtId="171" formatCode="_(* #,##0.0_);_(* \(#,##0.0\);_(* &quot;-&quot;??_);_(@_)"/>
    <numFmt numFmtId="172" formatCode="_(&quot;$&quot;* #,##0_);_(&quot;$&quot;* \(#,##0\);_(&quot;$&quot;* &quot;-&quot;??_);_(@_)"/>
    <numFmt numFmtId="173" formatCode="#,##0.00;[Red]#,##0.00"/>
    <numFmt numFmtId="174" formatCode="#,##0.00000000000"/>
    <numFmt numFmtId="175" formatCode="&quot;$&quot;\ #,##0.00"/>
    <numFmt numFmtId="176" formatCode="#,##0.0"/>
    <numFmt numFmtId="177" formatCode="#,##0;[Red]#,##0"/>
    <numFmt numFmtId="178" formatCode="_(&quot;$&quot;\ * #,##0.000_);_(&quot;$&quot;\ * \(#,##0.000\);_(&quot;$&quot;\ * &quot;-&quot;??_);_(@_)"/>
    <numFmt numFmtId="179" formatCode="_-&quot;$&quot;* #,##0_-;\-&quot;$&quot;* #,##0_-;_-&quot;$&quot;* &quot;-&quot;??_-;_-@_-"/>
    <numFmt numFmtId="180" formatCode="000000000"/>
    <numFmt numFmtId="181" formatCode="#,##0.0;[Red]#,##0.0"/>
    <numFmt numFmtId="182" formatCode="&quot;$&quot;\ #,##0.00_);[Red]\(&quot;$&quot;\ #,##0.00\)"/>
    <numFmt numFmtId="183" formatCode="_(* #_);_(* \(#\);_(* &quot;-&quot;_);_(@_)"/>
  </numFmts>
  <fonts count="58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9"/>
      <color rgb="FF0070C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4"/>
      <color theme="1"/>
      <name val="Franklin Gothic Book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9"/>
      <color theme="1"/>
      <name val="Book Antiqua"/>
      <family val="1"/>
    </font>
    <font>
      <sz val="9"/>
      <color theme="1"/>
      <name val="Book Antiqua"/>
      <family val="1"/>
    </font>
    <font>
      <b/>
      <sz val="16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18"/>
      <color theme="1"/>
      <name val="Franklin Gothic Book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Book Antiqua"/>
      <family val="1"/>
    </font>
    <font>
      <sz val="11"/>
      <name val="Book Antiqua"/>
      <family val="1"/>
    </font>
    <font>
      <sz val="11"/>
      <color rgb="FF000000"/>
      <name val="Book Antiqua"/>
      <family val="1"/>
    </font>
    <font>
      <sz val="11"/>
      <color theme="1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8"/>
      <color theme="1"/>
      <name val="Franklin Gothic Book"/>
      <family val="2"/>
      <scheme val="minor"/>
    </font>
    <font>
      <b/>
      <sz val="8"/>
      <name val="Book Antiqua"/>
      <family val="1"/>
    </font>
    <font>
      <sz val="8"/>
      <color theme="1"/>
      <name val="Book Antiqua"/>
      <family val="1"/>
    </font>
    <font>
      <b/>
      <sz val="8"/>
      <color rgb="FFFF0000"/>
      <name val="Book Antiqua"/>
      <family val="1"/>
    </font>
    <font>
      <sz val="8"/>
      <color rgb="FFFF0000"/>
      <name val="Franklin Gothic Book"/>
      <family val="2"/>
      <scheme val="minor"/>
    </font>
    <font>
      <sz val="10"/>
      <name val="Franklin Gothic Book"/>
      <family val="2"/>
      <scheme val="minor"/>
    </font>
    <font>
      <b/>
      <sz val="10"/>
      <color rgb="FFFF0000"/>
      <name val="Franklin Gothic Book"/>
      <family val="2"/>
      <scheme val="minor"/>
    </font>
    <font>
      <b/>
      <sz val="16"/>
      <color theme="0"/>
      <name val="Franklin Gothic Book"/>
      <family val="2"/>
      <scheme val="minor"/>
    </font>
    <font>
      <b/>
      <sz val="11"/>
      <name val="Franklin Gothic Book"/>
      <family val="2"/>
      <scheme val="minor"/>
    </font>
    <font>
      <sz val="11"/>
      <name val="Franklin Gothic Book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7" tint="0.59999389629810485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 tint="0.79998168889431442"/>
      </patternFill>
    </fill>
    <fill>
      <patternFill patternType="solid">
        <fgColor rgb="FFFFC000"/>
        <bgColor theme="7" tint="0.59999389629810485"/>
      </patternFill>
    </fill>
    <fill>
      <patternFill patternType="solid">
        <fgColor rgb="FF92D050"/>
        <bgColor theme="7" tint="0.79998168889431442"/>
      </patternFill>
    </fill>
    <fill>
      <patternFill patternType="solid">
        <fgColor rgb="FF92D050"/>
        <bgColor theme="7" tint="0.59999389629810485"/>
      </patternFill>
    </fill>
    <fill>
      <patternFill patternType="solid">
        <fgColor rgb="FFFFFF00"/>
        <bgColor theme="7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637">
    <xf numFmtId="0" fontId="0" fillId="0" borderId="0" xfId="0"/>
    <xf numFmtId="0" fontId="4" fillId="0" borderId="0" xfId="0" applyFont="1" applyFill="1" applyAlignment="1">
      <alignment vertical="center"/>
    </xf>
    <xf numFmtId="166" fontId="4" fillId="0" borderId="0" xfId="1" applyNumberFormat="1" applyFont="1" applyFill="1" applyBorder="1" applyAlignment="1">
      <alignment horizontal="center" vertical="center" wrapText="1"/>
    </xf>
    <xf numFmtId="0" fontId="9" fillId="0" borderId="0" xfId="0" applyFont="1"/>
    <xf numFmtId="172" fontId="9" fillId="2" borderId="1" xfId="1" applyNumberFormat="1" applyFont="1" applyFill="1" applyBorder="1"/>
    <xf numFmtId="166" fontId="2" fillId="3" borderId="1" xfId="1" applyNumberFormat="1" applyFont="1" applyFill="1" applyBorder="1" applyAlignment="1">
      <alignment horizontal="center" vertical="center" wrapText="1"/>
    </xf>
    <xf numFmtId="168" fontId="2" fillId="3" borderId="1" xfId="2" applyNumberFormat="1" applyFont="1" applyFill="1" applyBorder="1" applyAlignment="1">
      <alignment horizontal="center" vertical="center" wrapText="1" shrinkToFit="1"/>
    </xf>
    <xf numFmtId="49" fontId="2" fillId="3" borderId="1" xfId="1" applyNumberFormat="1" applyFont="1" applyFill="1" applyBorder="1" applyAlignment="1">
      <alignment horizontal="center" vertical="center" wrapText="1" shrinkToFit="1"/>
    </xf>
    <xf numFmtId="172" fontId="2" fillId="3" borderId="1" xfId="2" applyNumberFormat="1" applyFont="1" applyFill="1" applyBorder="1" applyAlignment="1">
      <alignment horizontal="center" vertical="center" wrapText="1" shrinkToFit="1"/>
    </xf>
    <xf numFmtId="0" fontId="9" fillId="2" borderId="0" xfId="0" applyFont="1" applyFill="1"/>
    <xf numFmtId="166" fontId="2" fillId="4" borderId="1" xfId="1" applyNumberFormat="1" applyFont="1" applyFill="1" applyBorder="1" applyAlignment="1">
      <alignment horizontal="center" vertical="center" wrapText="1"/>
    </xf>
    <xf numFmtId="166" fontId="2" fillId="3" borderId="1" xfId="1" applyFont="1" applyFill="1" applyBorder="1" applyAlignment="1">
      <alignment horizontal="center" vertical="center"/>
    </xf>
    <xf numFmtId="0" fontId="12" fillId="0" borderId="0" xfId="0" applyFont="1"/>
    <xf numFmtId="0" fontId="5" fillId="2" borderId="0" xfId="3" applyFont="1" applyFill="1" applyAlignment="1"/>
    <xf numFmtId="0" fontId="13" fillId="2" borderId="0" xfId="0" applyFont="1" applyFill="1"/>
    <xf numFmtId="0" fontId="14" fillId="2" borderId="0" xfId="0" applyFont="1" applyFill="1" applyAlignment="1"/>
    <xf numFmtId="0" fontId="14" fillId="2" borderId="0" xfId="0" applyFont="1" applyFill="1" applyAlignment="1">
      <alignment horizontal="center"/>
    </xf>
    <xf numFmtId="0" fontId="13" fillId="2" borderId="7" xfId="0" applyFont="1" applyFill="1" applyBorder="1"/>
    <xf numFmtId="0" fontId="13" fillId="2" borderId="0" xfId="0" applyFont="1" applyFill="1" applyBorder="1"/>
    <xf numFmtId="0" fontId="13" fillId="2" borderId="8" xfId="0" applyFont="1" applyFill="1" applyBorder="1"/>
    <xf numFmtId="0" fontId="14" fillId="5" borderId="3" xfId="0" applyFont="1" applyFill="1" applyBorder="1" applyAlignment="1">
      <alignment horizontal="center"/>
    </xf>
    <xf numFmtId="172" fontId="14" fillId="5" borderId="3" xfId="0" applyNumberFormat="1" applyFont="1" applyFill="1" applyBorder="1" applyAlignment="1">
      <alignment horizontal="center"/>
    </xf>
    <xf numFmtId="169" fontId="13" fillId="2" borderId="0" xfId="1" applyNumberFormat="1" applyFont="1" applyFill="1" applyBorder="1"/>
    <xf numFmtId="169" fontId="13" fillId="2" borderId="0" xfId="1" applyNumberFormat="1" applyFont="1" applyFill="1"/>
    <xf numFmtId="169" fontId="13" fillId="2" borderId="0" xfId="0" applyNumberFormat="1" applyFont="1" applyFill="1"/>
    <xf numFmtId="0" fontId="14" fillId="5" borderId="3" xfId="0" applyFont="1" applyFill="1" applyBorder="1"/>
    <xf numFmtId="0" fontId="13" fillId="2" borderId="9" xfId="0" applyFont="1" applyFill="1" applyBorder="1"/>
    <xf numFmtId="0" fontId="0" fillId="0" borderId="0" xfId="0" applyBorder="1"/>
    <xf numFmtId="172" fontId="9" fillId="2" borderId="1" xfId="0" applyNumberFormat="1" applyFont="1" applyFill="1" applyBorder="1"/>
    <xf numFmtId="167" fontId="0" fillId="0" borderId="0" xfId="0" applyNumberFormat="1"/>
    <xf numFmtId="0" fontId="0" fillId="2" borderId="0" xfId="0" applyFill="1"/>
    <xf numFmtId="172" fontId="9" fillId="2" borderId="15" xfId="0" applyNumberFormat="1" applyFont="1" applyFill="1" applyBorder="1"/>
    <xf numFmtId="0" fontId="9" fillId="0" borderId="0" xfId="0" applyFont="1" applyAlignment="1">
      <alignment horizontal="center"/>
    </xf>
    <xf numFmtId="172" fontId="9" fillId="2" borderId="15" xfId="1" applyNumberFormat="1" applyFont="1" applyFill="1" applyBorder="1"/>
    <xf numFmtId="166" fontId="2" fillId="3" borderId="11" xfId="1" applyNumberFormat="1" applyFont="1" applyFill="1" applyBorder="1" applyAlignment="1">
      <alignment horizontal="left" vertical="center" wrapText="1"/>
    </xf>
    <xf numFmtId="168" fontId="6" fillId="3" borderId="15" xfId="2" applyNumberFormat="1" applyFont="1" applyFill="1" applyBorder="1" applyAlignment="1">
      <alignment horizontal="center" vertical="center" wrapText="1" shrinkToFit="1"/>
    </xf>
    <xf numFmtId="172" fontId="2" fillId="2" borderId="1" xfId="4" applyNumberFormat="1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center" vertical="center"/>
    </xf>
    <xf numFmtId="172" fontId="6" fillId="2" borderId="15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7" xfId="0" applyFont="1" applyFill="1" applyBorder="1"/>
    <xf numFmtId="0" fontId="14" fillId="2" borderId="0" xfId="0" applyFont="1" applyFill="1" applyBorder="1"/>
    <xf numFmtId="0" fontId="12" fillId="0" borderId="0" xfId="0" applyFont="1" applyAlignment="1">
      <alignment horizontal="center"/>
    </xf>
    <xf numFmtId="168" fontId="14" fillId="2" borderId="0" xfId="2" applyNumberFormat="1" applyFont="1" applyFill="1" applyBorder="1" applyAlignment="1">
      <alignment horizontal="center"/>
    </xf>
    <xf numFmtId="168" fontId="14" fillId="2" borderId="0" xfId="2" applyNumberFormat="1" applyFont="1" applyFill="1" applyBorder="1"/>
    <xf numFmtId="168" fontId="13" fillId="2" borderId="0" xfId="2" applyNumberFormat="1" applyFont="1" applyFill="1" applyBorder="1"/>
    <xf numFmtId="168" fontId="13" fillId="2" borderId="9" xfId="2" applyNumberFormat="1" applyFont="1" applyFill="1" applyBorder="1"/>
    <xf numFmtId="168" fontId="13" fillId="2" borderId="0" xfId="2" applyNumberFormat="1" applyFont="1" applyFill="1"/>
    <xf numFmtId="166" fontId="2" fillId="3" borderId="14" xfId="1" applyNumberFormat="1" applyFont="1" applyFill="1" applyBorder="1" applyAlignment="1">
      <alignment horizontal="center" vertical="center"/>
    </xf>
    <xf numFmtId="166" fontId="2" fillId="3" borderId="22" xfId="1" applyNumberFormat="1" applyFont="1" applyFill="1" applyBorder="1" applyAlignment="1">
      <alignment horizontal="center" vertical="center"/>
    </xf>
    <xf numFmtId="166" fontId="2" fillId="4" borderId="14" xfId="1" applyNumberFormat="1" applyFont="1" applyFill="1" applyBorder="1" applyAlignment="1">
      <alignment horizontal="center" vertical="center" wrapText="1" shrinkToFit="1"/>
    </xf>
    <xf numFmtId="168" fontId="2" fillId="3" borderId="15" xfId="2" applyNumberFormat="1" applyFont="1" applyFill="1" applyBorder="1" applyAlignment="1">
      <alignment horizontal="center" vertical="center" wrapText="1" shrinkToFit="1"/>
    </xf>
    <xf numFmtId="0" fontId="16" fillId="0" borderId="0" xfId="0" applyFont="1"/>
    <xf numFmtId="164" fontId="2" fillId="3" borderId="14" xfId="1" applyNumberFormat="1" applyFont="1" applyFill="1" applyBorder="1" applyAlignment="1">
      <alignment horizontal="center" vertical="center" wrapText="1" shrinkToFit="1"/>
    </xf>
    <xf numFmtId="171" fontId="2" fillId="3" borderId="1" xfId="1" applyNumberFormat="1" applyFont="1" applyFill="1" applyBorder="1" applyAlignment="1">
      <alignment horizontal="center" vertical="center" wrapText="1" shrinkToFit="1"/>
    </xf>
    <xf numFmtId="165" fontId="2" fillId="3" borderId="1" xfId="2" applyFont="1" applyFill="1" applyBorder="1" applyAlignment="1">
      <alignment horizontal="center" vertical="center" wrapText="1" shrinkToFit="1"/>
    </xf>
    <xf numFmtId="169" fontId="2" fillId="4" borderId="1" xfId="1" applyNumberFormat="1" applyFont="1" applyFill="1" applyBorder="1" applyAlignment="1">
      <alignment horizontal="center" vertical="center" wrapText="1" shrinkToFit="1"/>
    </xf>
    <xf numFmtId="165" fontId="2" fillId="4" borderId="1" xfId="2" applyFont="1" applyFill="1" applyBorder="1" applyAlignment="1">
      <alignment horizontal="center" vertical="center" wrapText="1" shrinkToFit="1"/>
    </xf>
    <xf numFmtId="168" fontId="2" fillId="4" borderId="15" xfId="2" applyNumberFormat="1" applyFont="1" applyFill="1" applyBorder="1" applyAlignment="1">
      <alignment horizontal="center" vertical="center" wrapText="1" shrinkToFit="1"/>
    </xf>
    <xf numFmtId="168" fontId="0" fillId="0" borderId="0" xfId="0" applyNumberFormat="1"/>
    <xf numFmtId="0" fontId="14" fillId="2" borderId="0" xfId="0" applyFont="1" applyFill="1" applyBorder="1" applyAlignment="1">
      <alignment horizontal="center"/>
    </xf>
    <xf numFmtId="0" fontId="19" fillId="8" borderId="14" xfId="0" applyFont="1" applyFill="1" applyBorder="1"/>
    <xf numFmtId="167" fontId="19" fillId="8" borderId="1" xfId="1" applyNumberFormat="1" applyFont="1" applyFill="1" applyBorder="1"/>
    <xf numFmtId="167" fontId="19" fillId="8" borderId="15" xfId="0" applyNumberFormat="1" applyFont="1" applyFill="1" applyBorder="1"/>
    <xf numFmtId="0" fontId="18" fillId="2" borderId="7" xfId="0" applyFont="1" applyFill="1" applyBorder="1"/>
    <xf numFmtId="0" fontId="18" fillId="2" borderId="0" xfId="0" applyFont="1" applyFill="1" applyBorder="1"/>
    <xf numFmtId="167" fontId="19" fillId="2" borderId="0" xfId="1" applyNumberFormat="1" applyFont="1" applyFill="1" applyBorder="1"/>
    <xf numFmtId="0" fontId="18" fillId="2" borderId="8" xfId="0" applyFont="1" applyFill="1" applyBorder="1"/>
    <xf numFmtId="172" fontId="19" fillId="8" borderId="1" xfId="1" applyNumberFormat="1" applyFont="1" applyFill="1" applyBorder="1"/>
    <xf numFmtId="172" fontId="19" fillId="8" borderId="28" xfId="1" applyNumberFormat="1" applyFont="1" applyFill="1" applyBorder="1"/>
    <xf numFmtId="0" fontId="18" fillId="0" borderId="7" xfId="0" applyFont="1" applyBorder="1"/>
    <xf numFmtId="0" fontId="18" fillId="0" borderId="0" xfId="0" applyFont="1" applyBorder="1"/>
    <xf numFmtId="0" fontId="19" fillId="8" borderId="16" xfId="0" applyFont="1" applyFill="1" applyBorder="1"/>
    <xf numFmtId="172" fontId="19" fillId="8" borderId="17" xfId="1" applyNumberFormat="1" applyFont="1" applyFill="1" applyBorder="1"/>
    <xf numFmtId="172" fontId="19" fillId="8" borderId="29" xfId="1" applyNumberFormat="1" applyFont="1" applyFill="1" applyBorder="1"/>
    <xf numFmtId="0" fontId="19" fillId="2" borderId="4" xfId="0" applyFont="1" applyFill="1" applyBorder="1" applyAlignment="1">
      <alignment horizontal="center"/>
    </xf>
    <xf numFmtId="0" fontId="19" fillId="8" borderId="21" xfId="0" applyFont="1" applyFill="1" applyBorder="1" applyAlignment="1">
      <alignment horizontal="center"/>
    </xf>
    <xf numFmtId="167" fontId="19" fillId="8" borderId="1" xfId="0" applyNumberFormat="1" applyFont="1" applyFill="1" applyBorder="1"/>
    <xf numFmtId="0" fontId="19" fillId="2" borderId="7" xfId="0" applyFont="1" applyFill="1" applyBorder="1"/>
    <xf numFmtId="0" fontId="19" fillId="2" borderId="0" xfId="0" applyFont="1" applyFill="1" applyBorder="1"/>
    <xf numFmtId="0" fontId="19" fillId="2" borderId="8" xfId="0" applyFont="1" applyFill="1" applyBorder="1"/>
    <xf numFmtId="0" fontId="18" fillId="2" borderId="14" xfId="0" applyFont="1" applyFill="1" applyBorder="1"/>
    <xf numFmtId="169" fontId="18" fillId="2" borderId="1" xfId="1" applyNumberFormat="1" applyFont="1" applyFill="1" applyBorder="1"/>
    <xf numFmtId="0" fontId="18" fillId="2" borderId="1" xfId="0" applyFont="1" applyFill="1" applyBorder="1"/>
    <xf numFmtId="168" fontId="13" fillId="2" borderId="0" xfId="0" applyNumberFormat="1" applyFont="1" applyFill="1"/>
    <xf numFmtId="4" fontId="9" fillId="0" borderId="0" xfId="0" applyNumberFormat="1" applyFont="1"/>
    <xf numFmtId="2" fontId="9" fillId="0" borderId="0" xfId="0" applyNumberFormat="1" applyFont="1"/>
    <xf numFmtId="167" fontId="9" fillId="0" borderId="0" xfId="0" applyNumberFormat="1" applyFont="1"/>
    <xf numFmtId="168" fontId="14" fillId="2" borderId="0" xfId="2" applyNumberFormat="1" applyFont="1" applyFill="1"/>
    <xf numFmtId="166" fontId="6" fillId="2" borderId="36" xfId="1" applyFont="1" applyFill="1" applyBorder="1" applyAlignment="1">
      <alignment horizontal="center" vertical="center"/>
    </xf>
    <xf numFmtId="165" fontId="13" fillId="2" borderId="0" xfId="2" applyFont="1" applyFill="1"/>
    <xf numFmtId="174" fontId="9" fillId="0" borderId="0" xfId="0" applyNumberFormat="1" applyFont="1"/>
    <xf numFmtId="166" fontId="0" fillId="0" borderId="0" xfId="0" applyNumberFormat="1"/>
    <xf numFmtId="165" fontId="9" fillId="0" borderId="0" xfId="2" applyFont="1"/>
    <xf numFmtId="175" fontId="12" fillId="9" borderId="27" xfId="0" applyNumberFormat="1" applyFont="1" applyFill="1" applyBorder="1"/>
    <xf numFmtId="172" fontId="9" fillId="0" borderId="0" xfId="0" applyNumberFormat="1" applyFont="1"/>
    <xf numFmtId="0" fontId="0" fillId="0" borderId="0" xfId="0" applyBorder="1" applyAlignment="1"/>
    <xf numFmtId="168" fontId="13" fillId="2" borderId="0" xfId="1" applyNumberFormat="1" applyFont="1" applyFill="1" applyBorder="1"/>
    <xf numFmtId="165" fontId="9" fillId="0" borderId="0" xfId="0" applyNumberFormat="1" applyFont="1"/>
    <xf numFmtId="166" fontId="8" fillId="0" borderId="0" xfId="1" applyFont="1" applyBorder="1" applyAlignment="1">
      <alignment horizontal="center" vertical="center" wrapText="1" shrinkToFit="1"/>
    </xf>
    <xf numFmtId="168" fontId="15" fillId="10" borderId="3" xfId="0" applyNumberFormat="1" applyFont="1" applyFill="1" applyBorder="1"/>
    <xf numFmtId="0" fontId="9" fillId="2" borderId="7" xfId="0" applyFont="1" applyFill="1" applyBorder="1"/>
    <xf numFmtId="168" fontId="24" fillId="2" borderId="1" xfId="2" applyNumberFormat="1" applyFont="1" applyFill="1" applyBorder="1" applyAlignment="1">
      <alignment horizontal="center" vertical="center"/>
    </xf>
    <xf numFmtId="172" fontId="2" fillId="3" borderId="1" xfId="2" applyNumberFormat="1" applyFont="1" applyFill="1" applyBorder="1" applyAlignment="1">
      <alignment horizontal="right" vertical="center" wrapText="1" shrinkToFit="1"/>
    </xf>
    <xf numFmtId="172" fontId="24" fillId="3" borderId="1" xfId="2" applyNumberFormat="1" applyFont="1" applyFill="1" applyBorder="1" applyAlignment="1">
      <alignment horizontal="right" vertical="center" wrapText="1" shrinkToFit="1"/>
    </xf>
    <xf numFmtId="172" fontId="2" fillId="2" borderId="1" xfId="2" applyNumberFormat="1" applyFont="1" applyFill="1" applyBorder="1" applyAlignment="1">
      <alignment horizontal="right" vertical="center" wrapText="1" shrinkToFit="1"/>
    </xf>
    <xf numFmtId="168" fontId="24" fillId="2" borderId="1" xfId="2" applyNumberFormat="1" applyFont="1" applyFill="1" applyBorder="1" applyAlignment="1">
      <alignment horizontal="right" vertical="center"/>
    </xf>
    <xf numFmtId="168" fontId="6" fillId="2" borderId="28" xfId="2" applyNumberFormat="1" applyFont="1" applyFill="1" applyBorder="1" applyAlignment="1">
      <alignment horizontal="center" vertical="center"/>
    </xf>
    <xf numFmtId="168" fontId="6" fillId="2" borderId="15" xfId="0" applyNumberFormat="1" applyFont="1" applyFill="1" applyBorder="1" applyAlignment="1">
      <alignment horizontal="center" vertical="center"/>
    </xf>
    <xf numFmtId="4" fontId="0" fillId="0" borderId="0" xfId="0" applyNumberFormat="1"/>
    <xf numFmtId="169" fontId="0" fillId="0" borderId="0" xfId="0" applyNumberFormat="1"/>
    <xf numFmtId="173" fontId="9" fillId="0" borderId="0" xfId="0" applyNumberFormat="1" applyFont="1"/>
    <xf numFmtId="49" fontId="19" fillId="8" borderId="25" xfId="0" applyNumberFormat="1" applyFont="1" applyFill="1" applyBorder="1" applyAlignment="1">
      <alignment horizontal="center"/>
    </xf>
    <xf numFmtId="172" fontId="19" fillId="8" borderId="15" xfId="0" applyNumberFormat="1" applyFont="1" applyFill="1" applyBorder="1"/>
    <xf numFmtId="172" fontId="19" fillId="8" borderId="18" xfId="0" applyNumberFormat="1" applyFont="1" applyFill="1" applyBorder="1"/>
    <xf numFmtId="0" fontId="19" fillId="2" borderId="14" xfId="0" applyFont="1" applyFill="1" applyBorder="1"/>
    <xf numFmtId="165" fontId="13" fillId="2" borderId="0" xfId="0" applyNumberFormat="1" applyFont="1" applyFill="1"/>
    <xf numFmtId="168" fontId="14" fillId="2" borderId="0" xfId="0" applyNumberFormat="1" applyFont="1" applyFill="1" applyBorder="1"/>
    <xf numFmtId="165" fontId="0" fillId="0" borderId="0" xfId="2" applyFont="1"/>
    <xf numFmtId="0" fontId="25" fillId="0" borderId="0" xfId="0" applyFont="1"/>
    <xf numFmtId="0" fontId="26" fillId="0" borderId="0" xfId="0" applyFont="1"/>
    <xf numFmtId="168" fontId="26" fillId="0" borderId="0" xfId="2" applyNumberFormat="1" applyFont="1"/>
    <xf numFmtId="168" fontId="25" fillId="0" borderId="0" xfId="2" applyNumberFormat="1" applyFont="1"/>
    <xf numFmtId="0" fontId="25" fillId="0" borderId="1" xfId="0" applyFont="1" applyBorder="1"/>
    <xf numFmtId="168" fontId="25" fillId="0" borderId="1" xfId="2" applyNumberFormat="1" applyFont="1" applyBorder="1"/>
    <xf numFmtId="0" fontId="26" fillId="0" borderId="1" xfId="0" applyFont="1" applyBorder="1"/>
    <xf numFmtId="165" fontId="26" fillId="0" borderId="1" xfId="2" applyNumberFormat="1" applyFont="1" applyFill="1" applyBorder="1"/>
    <xf numFmtId="166" fontId="5" fillId="9" borderId="20" xfId="1" applyNumberFormat="1" applyFont="1" applyFill="1" applyBorder="1" applyAlignment="1">
      <alignment horizontal="center" vertical="center" wrapText="1" shrinkToFit="1"/>
    </xf>
    <xf numFmtId="0" fontId="30" fillId="2" borderId="0" xfId="0" applyFont="1" applyFill="1"/>
    <xf numFmtId="166" fontId="5" fillId="9" borderId="16" xfId="1" applyNumberFormat="1" applyFont="1" applyFill="1" applyBorder="1" applyAlignment="1">
      <alignment horizontal="center" vertical="center" wrapText="1"/>
    </xf>
    <xf numFmtId="168" fontId="23" fillId="9" borderId="17" xfId="2" applyNumberFormat="1" applyFont="1" applyFill="1" applyBorder="1" applyAlignment="1">
      <alignment horizontal="center" vertical="center" wrapText="1" shrinkToFit="1"/>
    </xf>
    <xf numFmtId="168" fontId="8" fillId="9" borderId="35" xfId="2" applyNumberFormat="1" applyFont="1" applyFill="1" applyBorder="1" applyAlignment="1">
      <alignment horizontal="center" vertical="center" wrapText="1" shrinkToFit="1"/>
    </xf>
    <xf numFmtId="0" fontId="32" fillId="9" borderId="16" xfId="0" applyFont="1" applyFill="1" applyBorder="1" applyAlignment="1">
      <alignment horizontal="center"/>
    </xf>
    <xf numFmtId="166" fontId="8" fillId="13" borderId="17" xfId="1" applyNumberFormat="1" applyFont="1" applyFill="1" applyBorder="1" applyAlignment="1">
      <alignment horizontal="center" vertical="center" wrapText="1"/>
    </xf>
    <xf numFmtId="168" fontId="8" fillId="9" borderId="17" xfId="2" applyNumberFormat="1" applyFont="1" applyFill="1" applyBorder="1" applyAlignment="1">
      <alignment horizontal="center" vertical="center" wrapText="1" shrinkToFit="1"/>
    </xf>
    <xf numFmtId="168" fontId="8" fillId="9" borderId="17" xfId="2" applyNumberFormat="1" applyFont="1" applyFill="1" applyBorder="1" applyAlignment="1">
      <alignment horizontal="center" vertical="center"/>
    </xf>
    <xf numFmtId="168" fontId="8" fillId="9" borderId="18" xfId="2" applyNumberFormat="1" applyFont="1" applyFill="1" applyBorder="1" applyAlignment="1">
      <alignment horizontal="center" vertical="center"/>
    </xf>
    <xf numFmtId="166" fontId="5" fillId="9" borderId="37" xfId="1" applyNumberFormat="1" applyFont="1" applyFill="1" applyBorder="1" applyAlignment="1">
      <alignment horizontal="center" vertical="center" wrapText="1" shrinkToFit="1"/>
    </xf>
    <xf numFmtId="0" fontId="13" fillId="9" borderId="0" xfId="0" applyFont="1" applyFill="1" applyAlignment="1">
      <alignment horizontal="center"/>
    </xf>
    <xf numFmtId="0" fontId="14" fillId="9" borderId="19" xfId="0" applyFont="1" applyFill="1" applyBorder="1" applyAlignment="1">
      <alignment horizontal="center"/>
    </xf>
    <xf numFmtId="166" fontId="5" fillId="9" borderId="21" xfId="1" applyNumberFormat="1" applyFont="1" applyFill="1" applyBorder="1" applyAlignment="1">
      <alignment horizontal="center" vertical="center" wrapText="1" shrinkToFit="1"/>
    </xf>
    <xf numFmtId="0" fontId="13" fillId="9" borderId="0" xfId="0" applyFont="1" applyFill="1"/>
    <xf numFmtId="0" fontId="13" fillId="2" borderId="0" xfId="0" applyFont="1" applyFill="1" applyAlignment="1">
      <alignment horizontal="center"/>
    </xf>
    <xf numFmtId="0" fontId="12" fillId="2" borderId="0" xfId="0" applyFont="1" applyFill="1"/>
    <xf numFmtId="168" fontId="6" fillId="14" borderId="16" xfId="2" applyNumberFormat="1" applyFont="1" applyFill="1" applyBorder="1" applyAlignment="1">
      <alignment horizontal="center" vertical="center" wrapText="1" shrinkToFit="1"/>
    </xf>
    <xf numFmtId="168" fontId="6" fillId="14" borderId="17" xfId="2" applyNumberFormat="1" applyFont="1" applyFill="1" applyBorder="1" applyAlignment="1">
      <alignment horizontal="center" vertical="center" wrapText="1" shrinkToFit="1"/>
    </xf>
    <xf numFmtId="168" fontId="6" fillId="14" borderId="18" xfId="2" applyNumberFormat="1" applyFont="1" applyFill="1" applyBorder="1" applyAlignment="1">
      <alignment horizontal="center" vertical="center" wrapText="1" shrinkToFit="1"/>
    </xf>
    <xf numFmtId="0" fontId="6" fillId="15" borderId="16" xfId="1" applyNumberFormat="1" applyFont="1" applyFill="1" applyBorder="1" applyAlignment="1">
      <alignment horizontal="center" vertical="center" wrapText="1" shrinkToFit="1"/>
    </xf>
    <xf numFmtId="169" fontId="6" fillId="15" borderId="17" xfId="1" applyNumberFormat="1" applyFont="1" applyFill="1" applyBorder="1" applyAlignment="1">
      <alignment horizontal="center" vertical="center" wrapText="1" shrinkToFit="1"/>
    </xf>
    <xf numFmtId="166" fontId="6" fillId="8" borderId="17" xfId="1" applyNumberFormat="1" applyFont="1" applyFill="1" applyBorder="1" applyAlignment="1">
      <alignment horizontal="center" vertical="center" wrapText="1"/>
    </xf>
    <xf numFmtId="168" fontId="6" fillId="8" borderId="18" xfId="2" applyNumberFormat="1" applyFont="1" applyFill="1" applyBorder="1" applyAlignment="1">
      <alignment horizontal="center" vertical="center" wrapText="1" shrinkToFit="1"/>
    </xf>
    <xf numFmtId="166" fontId="23" fillId="9" borderId="14" xfId="1" applyNumberFormat="1" applyFont="1" applyFill="1" applyBorder="1" applyAlignment="1">
      <alignment horizontal="center" vertical="center" wrapText="1" shrinkToFit="1"/>
    </xf>
    <xf numFmtId="166" fontId="23" fillId="9" borderId="1" xfId="1" applyNumberFormat="1" applyFont="1" applyFill="1" applyBorder="1" applyAlignment="1">
      <alignment horizontal="center" vertical="center" wrapText="1" shrinkToFit="1"/>
    </xf>
    <xf numFmtId="166" fontId="23" fillId="9" borderId="15" xfId="1" applyNumberFormat="1" applyFont="1" applyFill="1" applyBorder="1" applyAlignment="1">
      <alignment horizontal="center" vertical="center" wrapText="1" shrinkToFit="1"/>
    </xf>
    <xf numFmtId="3" fontId="9" fillId="0" borderId="0" xfId="0" applyNumberFormat="1" applyFont="1"/>
    <xf numFmtId="168" fontId="4" fillId="2" borderId="0" xfId="1" applyNumberFormat="1" applyFont="1" applyFill="1" applyBorder="1"/>
    <xf numFmtId="172" fontId="13" fillId="2" borderId="0" xfId="0" applyNumberFormat="1" applyFont="1" applyFill="1"/>
    <xf numFmtId="165" fontId="14" fillId="2" borderId="0" xfId="2" applyFont="1" applyFill="1"/>
    <xf numFmtId="0" fontId="26" fillId="0" borderId="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178" fontId="25" fillId="0" borderId="1" xfId="2" applyNumberFormat="1" applyFont="1" applyFill="1" applyBorder="1"/>
    <xf numFmtId="167" fontId="19" fillId="8" borderId="28" xfId="0" applyNumberFormat="1" applyFont="1" applyFill="1" applyBorder="1"/>
    <xf numFmtId="169" fontId="18" fillId="2" borderId="0" xfId="1" applyNumberFormat="1" applyFont="1" applyFill="1" applyBorder="1"/>
    <xf numFmtId="167" fontId="19" fillId="8" borderId="28" xfId="1" applyNumberFormat="1" applyFont="1" applyFill="1" applyBorder="1"/>
    <xf numFmtId="172" fontId="12" fillId="8" borderId="3" xfId="0" applyNumberFormat="1" applyFont="1" applyFill="1" applyBorder="1"/>
    <xf numFmtId="0" fontId="25" fillId="0" borderId="1" xfId="0" applyFont="1" applyBorder="1" applyAlignment="1">
      <alignment horizontal="center"/>
    </xf>
    <xf numFmtId="166" fontId="7" fillId="3" borderId="11" xfId="1" applyNumberFormat="1" applyFont="1" applyFill="1" applyBorder="1" applyAlignment="1">
      <alignment horizontal="left" vertical="center" wrapText="1"/>
    </xf>
    <xf numFmtId="168" fontId="6" fillId="3" borderId="0" xfId="2" applyNumberFormat="1" applyFont="1" applyFill="1" applyBorder="1" applyAlignment="1">
      <alignment horizontal="center" vertical="center" wrapText="1" shrinkToFit="1"/>
    </xf>
    <xf numFmtId="168" fontId="6" fillId="9" borderId="43" xfId="2" applyNumberFormat="1" applyFont="1" applyFill="1" applyBorder="1" applyAlignment="1">
      <alignment horizontal="center" vertical="center" wrapText="1" shrinkToFit="1"/>
    </xf>
    <xf numFmtId="168" fontId="6" fillId="9" borderId="2" xfId="2" applyNumberFormat="1" applyFont="1" applyFill="1" applyBorder="1" applyAlignment="1">
      <alignment horizontal="center" vertical="center" wrapText="1" shrinkToFit="1"/>
    </xf>
    <xf numFmtId="168" fontId="6" fillId="9" borderId="42" xfId="2" applyNumberFormat="1" applyFont="1" applyFill="1" applyBorder="1" applyAlignment="1">
      <alignment horizontal="center" vertical="center" wrapText="1" shrinkToFit="1"/>
    </xf>
    <xf numFmtId="172" fontId="9" fillId="2" borderId="10" xfId="0" applyNumberFormat="1" applyFont="1" applyFill="1" applyBorder="1"/>
    <xf numFmtId="166" fontId="6" fillId="6" borderId="41" xfId="1" applyNumberFormat="1" applyFont="1" applyFill="1" applyBorder="1" applyAlignment="1">
      <alignment horizontal="center" vertical="center" wrapText="1" shrinkToFit="1"/>
    </xf>
    <xf numFmtId="166" fontId="2" fillId="4" borderId="11" xfId="1" applyNumberFormat="1" applyFont="1" applyFill="1" applyBorder="1" applyAlignment="1">
      <alignment horizontal="center" vertical="center" wrapText="1" shrinkToFit="1"/>
    </xf>
    <xf numFmtId="166" fontId="2" fillId="3" borderId="11" xfId="1" applyNumberFormat="1" applyFont="1" applyFill="1" applyBorder="1" applyAlignment="1">
      <alignment horizontal="center" vertical="center" wrapText="1"/>
    </xf>
    <xf numFmtId="166" fontId="6" fillId="6" borderId="32" xfId="1" applyNumberFormat="1" applyFont="1" applyFill="1" applyBorder="1" applyAlignment="1">
      <alignment horizontal="center" vertical="center" wrapText="1" shrinkToFit="1"/>
    </xf>
    <xf numFmtId="169" fontId="2" fillId="4" borderId="33" xfId="1" applyNumberFormat="1" applyFont="1" applyFill="1" applyBorder="1" applyAlignment="1">
      <alignment horizontal="center" vertical="center" wrapText="1" shrinkToFit="1"/>
    </xf>
    <xf numFmtId="169" fontId="2" fillId="3" borderId="33" xfId="1" applyNumberFormat="1" applyFont="1" applyFill="1" applyBorder="1" applyAlignment="1">
      <alignment horizontal="center" vertical="center" wrapText="1" shrinkToFit="1"/>
    </xf>
    <xf numFmtId="169" fontId="2" fillId="3" borderId="38" xfId="1" applyNumberFormat="1" applyFont="1" applyFill="1" applyBorder="1" applyAlignment="1">
      <alignment horizontal="center" vertical="center" wrapText="1" shrinkToFit="1"/>
    </xf>
    <xf numFmtId="166" fontId="7" fillId="3" borderId="11" xfId="1" applyNumberFormat="1" applyFont="1" applyFill="1" applyBorder="1" applyAlignment="1">
      <alignment horizontal="center" vertical="center" wrapText="1"/>
    </xf>
    <xf numFmtId="166" fontId="7" fillId="4" borderId="11" xfId="1" applyNumberFormat="1" applyFont="1" applyFill="1" applyBorder="1" applyAlignment="1">
      <alignment horizontal="center" vertical="center" wrapText="1" shrinkToFit="1"/>
    </xf>
    <xf numFmtId="170" fontId="7" fillId="3" borderId="32" xfId="1" applyNumberFormat="1" applyFont="1" applyFill="1" applyBorder="1" applyAlignment="1">
      <alignment horizontal="center" vertical="center" wrapText="1" shrinkToFit="1"/>
    </xf>
    <xf numFmtId="170" fontId="7" fillId="4" borderId="33" xfId="1" applyNumberFormat="1" applyFont="1" applyFill="1" applyBorder="1" applyAlignment="1">
      <alignment horizontal="center" vertical="center" wrapText="1" shrinkToFit="1"/>
    </xf>
    <xf numFmtId="166" fontId="6" fillId="6" borderId="44" xfId="1" applyNumberFormat="1" applyFont="1" applyFill="1" applyBorder="1" applyAlignment="1">
      <alignment horizontal="center" vertical="center" wrapText="1" shrinkToFit="1"/>
    </xf>
    <xf numFmtId="169" fontId="2" fillId="4" borderId="32" xfId="1" applyNumberFormat="1" applyFont="1" applyFill="1" applyBorder="1" applyAlignment="1">
      <alignment horizontal="center" vertical="center" wrapText="1" shrinkToFit="1"/>
    </xf>
    <xf numFmtId="168" fontId="23" fillId="12" borderId="3" xfId="2" applyNumberFormat="1" applyFont="1" applyFill="1" applyBorder="1" applyAlignment="1">
      <alignment horizontal="center" vertical="center" wrapText="1" shrinkToFit="1"/>
    </xf>
    <xf numFmtId="166" fontId="23" fillId="11" borderId="3" xfId="1" applyNumberFormat="1" applyFont="1" applyFill="1" applyBorder="1" applyAlignment="1">
      <alignment horizontal="center" vertical="center" wrapText="1" shrinkToFit="1"/>
    </xf>
    <xf numFmtId="165" fontId="26" fillId="0" borderId="1" xfId="2" applyNumberFormat="1" applyFont="1" applyBorder="1"/>
    <xf numFmtId="0" fontId="26" fillId="0" borderId="28" xfId="0" applyFont="1" applyBorder="1" applyAlignment="1">
      <alignment horizontal="center"/>
    </xf>
    <xf numFmtId="168" fontId="26" fillId="0" borderId="1" xfId="2" applyNumberFormat="1" applyFont="1" applyFill="1" applyBorder="1"/>
    <xf numFmtId="176" fontId="9" fillId="0" borderId="0" xfId="0" applyNumberFormat="1" applyFont="1"/>
    <xf numFmtId="166" fontId="9" fillId="0" borderId="0" xfId="1" applyFont="1"/>
    <xf numFmtId="169" fontId="12" fillId="0" borderId="0" xfId="1" applyNumberFormat="1" applyFont="1"/>
    <xf numFmtId="169" fontId="9" fillId="0" borderId="0" xfId="0" applyNumberFormat="1" applyFont="1"/>
    <xf numFmtId="172" fontId="15" fillId="9" borderId="34" xfId="0" applyNumberFormat="1" applyFont="1" applyFill="1" applyBorder="1"/>
    <xf numFmtId="168" fontId="2" fillId="3" borderId="14" xfId="2" applyNumberFormat="1" applyFont="1" applyFill="1" applyBorder="1" applyAlignment="1">
      <alignment horizontal="center" vertical="center" wrapText="1" shrinkToFit="1"/>
    </xf>
    <xf numFmtId="0" fontId="20" fillId="9" borderId="26" xfId="0" applyFont="1" applyFill="1" applyBorder="1" applyAlignment="1">
      <alignment horizontal="center"/>
    </xf>
    <xf numFmtId="172" fontId="20" fillId="9" borderId="37" xfId="15" applyNumberFormat="1" applyFont="1" applyFill="1" applyBorder="1" applyAlignment="1">
      <alignment horizontal="center"/>
    </xf>
    <xf numFmtId="172" fontId="20" fillId="9" borderId="27" xfId="15" applyNumberFormat="1" applyFont="1" applyFill="1" applyBorder="1" applyAlignment="1">
      <alignment horizontal="center"/>
    </xf>
    <xf numFmtId="177" fontId="6" fillId="7" borderId="3" xfId="2" applyNumberFormat="1" applyFont="1" applyFill="1" applyBorder="1" applyAlignment="1">
      <alignment horizontal="center" vertical="center" wrapText="1"/>
    </xf>
    <xf numFmtId="172" fontId="9" fillId="2" borderId="10" xfId="1" applyNumberFormat="1" applyFont="1" applyFill="1" applyBorder="1"/>
    <xf numFmtId="172" fontId="9" fillId="2" borderId="45" xfId="0" applyNumberFormat="1" applyFont="1" applyFill="1" applyBorder="1"/>
    <xf numFmtId="166" fontId="2" fillId="3" borderId="43" xfId="1" applyNumberFormat="1" applyFont="1" applyFill="1" applyBorder="1" applyAlignment="1">
      <alignment horizontal="center" vertical="center"/>
    </xf>
    <xf numFmtId="166" fontId="6" fillId="9" borderId="3" xfId="1" applyNumberFormat="1" applyFont="1" applyFill="1" applyBorder="1" applyAlignment="1">
      <alignment horizontal="center" vertical="center" wrapText="1" shrinkToFit="1"/>
    </xf>
    <xf numFmtId="166" fontId="4" fillId="9" borderId="46" xfId="1" applyNumberFormat="1" applyFont="1" applyFill="1" applyBorder="1" applyAlignment="1">
      <alignment horizontal="center" vertical="center" wrapText="1" shrinkToFit="1"/>
    </xf>
    <xf numFmtId="172" fontId="9" fillId="2" borderId="2" xfId="0" applyNumberFormat="1" applyFont="1" applyFill="1" applyBorder="1"/>
    <xf numFmtId="172" fontId="9" fillId="2" borderId="2" xfId="1" applyNumberFormat="1" applyFont="1" applyFill="1" applyBorder="1"/>
    <xf numFmtId="172" fontId="9" fillId="2" borderId="42" xfId="0" applyNumberFormat="1" applyFont="1" applyFill="1" applyBorder="1"/>
    <xf numFmtId="181" fontId="6" fillId="7" borderId="3" xfId="2" applyNumberFormat="1" applyFont="1" applyFill="1" applyBorder="1" applyAlignment="1">
      <alignment horizontal="center" vertical="center" wrapText="1"/>
    </xf>
    <xf numFmtId="166" fontId="11" fillId="6" borderId="19" xfId="1" applyNumberFormat="1" applyFont="1" applyFill="1" applyBorder="1" applyAlignment="1">
      <alignment horizontal="center" vertical="center" wrapText="1" shrinkToFit="1"/>
    </xf>
    <xf numFmtId="166" fontId="11" fillId="6" borderId="20" xfId="1" applyNumberFormat="1" applyFont="1" applyFill="1" applyBorder="1" applyAlignment="1">
      <alignment horizontal="center" vertical="center" wrapText="1" shrinkToFit="1"/>
    </xf>
    <xf numFmtId="166" fontId="11" fillId="6" borderId="21" xfId="1" applyNumberFormat="1" applyFont="1" applyFill="1" applyBorder="1" applyAlignment="1">
      <alignment horizontal="center" vertical="center" wrapText="1" shrinkToFit="1"/>
    </xf>
    <xf numFmtId="1" fontId="5" fillId="8" borderId="11" xfId="1" applyNumberFormat="1" applyFont="1" applyFill="1" applyBorder="1" applyAlignment="1">
      <alignment horizontal="center" vertical="center" wrapText="1" shrinkToFit="1"/>
    </xf>
    <xf numFmtId="1" fontId="6" fillId="8" borderId="11" xfId="1" applyNumberFormat="1" applyFont="1" applyFill="1" applyBorder="1" applyAlignment="1">
      <alignment horizontal="center" vertical="center" wrapText="1" shrinkToFit="1"/>
    </xf>
    <xf numFmtId="166" fontId="31" fillId="8" borderId="3" xfId="1" applyNumberFormat="1" applyFont="1" applyFill="1" applyBorder="1" applyAlignment="1">
      <alignment horizontal="center" vertical="center" wrapText="1" shrinkToFit="1"/>
    </xf>
    <xf numFmtId="0" fontId="37" fillId="0" borderId="0" xfId="0" applyFont="1"/>
    <xf numFmtId="169" fontId="6" fillId="2" borderId="44" xfId="1" applyNumberFormat="1" applyFont="1" applyFill="1" applyBorder="1" applyAlignment="1">
      <alignment horizontal="center"/>
    </xf>
    <xf numFmtId="169" fontId="6" fillId="2" borderId="49" xfId="1" applyNumberFormat="1" applyFont="1" applyFill="1" applyBorder="1" applyAlignment="1">
      <alignment horizontal="center"/>
    </xf>
    <xf numFmtId="169" fontId="17" fillId="2" borderId="34" xfId="1" applyNumberFormat="1" applyFont="1" applyFill="1" applyBorder="1" applyAlignment="1">
      <alignment horizontal="center" vertical="center"/>
    </xf>
    <xf numFmtId="169" fontId="6" fillId="2" borderId="3" xfId="1" applyNumberFormat="1" applyFont="1" applyFill="1" applyBorder="1" applyAlignment="1">
      <alignment horizontal="center" vertical="center" wrapText="1"/>
    </xf>
    <xf numFmtId="166" fontId="2" fillId="2" borderId="3" xfId="1" applyFont="1" applyFill="1" applyBorder="1" applyAlignment="1">
      <alignment horizontal="center" vertical="center" wrapText="1"/>
    </xf>
    <xf numFmtId="164" fontId="9" fillId="2" borderId="3" xfId="0" applyNumberFormat="1" applyFont="1" applyFill="1" applyBorder="1" applyAlignment="1">
      <alignment horizontal="center"/>
    </xf>
    <xf numFmtId="166" fontId="2" fillId="0" borderId="3" xfId="1" applyFont="1" applyFill="1" applyBorder="1" applyAlignment="1">
      <alignment horizontal="center" vertical="center" wrapText="1"/>
    </xf>
    <xf numFmtId="164" fontId="2" fillId="0" borderId="3" xfId="2" applyNumberFormat="1" applyFont="1" applyFill="1" applyBorder="1" applyAlignment="1">
      <alignment horizontal="center" vertical="center" wrapText="1"/>
    </xf>
    <xf numFmtId="166" fontId="2" fillId="2" borderId="5" xfId="1" applyFont="1" applyFill="1" applyBorder="1" applyAlignment="1">
      <alignment horizontal="center" vertical="center" wrapText="1"/>
    </xf>
    <xf numFmtId="166" fontId="2" fillId="2" borderId="0" xfId="1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/>
    </xf>
    <xf numFmtId="172" fontId="9" fillId="2" borderId="21" xfId="1" applyNumberFormat="1" applyFont="1" applyFill="1" applyBorder="1"/>
    <xf numFmtId="166" fontId="5" fillId="9" borderId="3" xfId="1" applyNumberFormat="1" applyFont="1" applyFill="1" applyBorder="1" applyAlignment="1">
      <alignment horizontal="center" vertical="center" wrapText="1" shrinkToFit="1"/>
    </xf>
    <xf numFmtId="166" fontId="6" fillId="9" borderId="5" xfId="1" applyNumberFormat="1" applyFont="1" applyFill="1" applyBorder="1" applyAlignment="1">
      <alignment horizontal="center" vertical="center" wrapText="1" shrinkToFit="1"/>
    </xf>
    <xf numFmtId="0" fontId="12" fillId="2" borderId="22" xfId="0" applyFont="1" applyFill="1" applyBorder="1" applyAlignment="1">
      <alignment horizontal="center"/>
    </xf>
    <xf numFmtId="173" fontId="6" fillId="7" borderId="3" xfId="2" applyNumberFormat="1" applyFont="1" applyFill="1" applyBorder="1" applyAlignment="1">
      <alignment horizontal="center" vertical="center" wrapText="1"/>
    </xf>
    <xf numFmtId="172" fontId="9" fillId="2" borderId="52" xfId="0" applyNumberFormat="1" applyFont="1" applyFill="1" applyBorder="1"/>
    <xf numFmtId="173" fontId="9" fillId="2" borderId="2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/>
    </xf>
    <xf numFmtId="173" fontId="9" fillId="2" borderId="10" xfId="0" applyNumberFormat="1" applyFont="1" applyFill="1" applyBorder="1" applyAlignment="1">
      <alignment horizontal="center"/>
    </xf>
    <xf numFmtId="173" fontId="6" fillId="7" borderId="26" xfId="2" applyNumberFormat="1" applyFont="1" applyFill="1" applyBorder="1" applyAlignment="1">
      <alignment horizontal="center" vertical="center" wrapText="1"/>
    </xf>
    <xf numFmtId="177" fontId="6" fillId="7" borderId="37" xfId="2" applyNumberFormat="1" applyFont="1" applyFill="1" applyBorder="1" applyAlignment="1">
      <alignment horizontal="center" vertical="center" wrapText="1"/>
    </xf>
    <xf numFmtId="177" fontId="6" fillId="7" borderId="27" xfId="2" applyNumberFormat="1" applyFont="1" applyFill="1" applyBorder="1" applyAlignment="1">
      <alignment horizontal="center" vertical="center" wrapText="1"/>
    </xf>
    <xf numFmtId="0" fontId="12" fillId="2" borderId="53" xfId="0" applyFont="1" applyFill="1" applyBorder="1" applyAlignment="1">
      <alignment horizontal="center"/>
    </xf>
    <xf numFmtId="177" fontId="9" fillId="2" borderId="54" xfId="0" applyNumberFormat="1" applyFont="1" applyFill="1" applyBorder="1" applyAlignment="1">
      <alignment horizontal="center"/>
    </xf>
    <xf numFmtId="172" fontId="9" fillId="2" borderId="55" xfId="0" applyNumberFormat="1" applyFont="1" applyFill="1" applyBorder="1"/>
    <xf numFmtId="166" fontId="6" fillId="9" borderId="26" xfId="1" applyNumberFormat="1" applyFont="1" applyFill="1" applyBorder="1" applyAlignment="1">
      <alignment horizontal="center" vertical="center" wrapText="1" shrinkToFit="1"/>
    </xf>
    <xf numFmtId="166" fontId="6" fillId="9" borderId="27" xfId="1" applyNumberFormat="1" applyFont="1" applyFill="1" applyBorder="1" applyAlignment="1">
      <alignment horizontal="center" vertical="center" wrapText="1" shrinkToFit="1"/>
    </xf>
    <xf numFmtId="0" fontId="21" fillId="0" borderId="1" xfId="0" applyFont="1" applyBorder="1"/>
    <xf numFmtId="0" fontId="21" fillId="2" borderId="1" xfId="0" applyFont="1" applyFill="1" applyBorder="1" applyAlignment="1">
      <alignment horizontal="center"/>
    </xf>
    <xf numFmtId="0" fontId="21" fillId="2" borderId="1" xfId="0" applyFont="1" applyFill="1" applyBorder="1"/>
    <xf numFmtId="44" fontId="13" fillId="2" borderId="0" xfId="0" applyNumberFormat="1" applyFont="1" applyFill="1" applyBorder="1"/>
    <xf numFmtId="0" fontId="39" fillId="2" borderId="1" xfId="0" applyFont="1" applyFill="1" applyBorder="1"/>
    <xf numFmtId="0" fontId="39" fillId="2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0" fillId="9" borderId="57" xfId="0" applyFont="1" applyFill="1" applyBorder="1" applyAlignment="1">
      <alignment horizontal="center"/>
    </xf>
    <xf numFmtId="172" fontId="20" fillId="9" borderId="47" xfId="15" applyNumberFormat="1" applyFont="1" applyFill="1" applyBorder="1" applyAlignment="1">
      <alignment horizontal="center"/>
    </xf>
    <xf numFmtId="172" fontId="20" fillId="9" borderId="48" xfId="15" applyNumberFormat="1" applyFont="1" applyFill="1" applyBorder="1" applyAlignment="1">
      <alignment horizontal="center"/>
    </xf>
    <xf numFmtId="14" fontId="21" fillId="2" borderId="14" xfId="0" applyNumberFormat="1" applyFont="1" applyFill="1" applyBorder="1" applyAlignment="1">
      <alignment horizontal="center"/>
    </xf>
    <xf numFmtId="0" fontId="13" fillId="0" borderId="0" xfId="0" applyFont="1" applyFill="1" applyAlignment="1"/>
    <xf numFmtId="180" fontId="35" fillId="2" borderId="1" xfId="0" applyNumberFormat="1" applyFont="1" applyFill="1" applyBorder="1" applyAlignment="1">
      <alignment horizontal="left" vertical="top" wrapText="1"/>
    </xf>
    <xf numFmtId="0" fontId="21" fillId="0" borderId="0" xfId="0" applyFont="1" applyFill="1"/>
    <xf numFmtId="0" fontId="21" fillId="0" borderId="0" xfId="0" applyFont="1" applyFill="1" applyAlignment="1">
      <alignment horizontal="left"/>
    </xf>
    <xf numFmtId="167" fontId="21" fillId="0" borderId="0" xfId="15" applyFont="1" applyFill="1"/>
    <xf numFmtId="0" fontId="38" fillId="0" borderId="0" xfId="0" applyFont="1" applyFill="1"/>
    <xf numFmtId="167" fontId="39" fillId="0" borderId="0" xfId="15" applyFont="1" applyFill="1"/>
    <xf numFmtId="0" fontId="38" fillId="0" borderId="0" xfId="0" applyFont="1" applyFill="1" applyAlignment="1">
      <alignment horizontal="left"/>
    </xf>
    <xf numFmtId="167" fontId="38" fillId="0" borderId="0" xfId="15" applyFont="1" applyFill="1"/>
    <xf numFmtId="0" fontId="21" fillId="0" borderId="1" xfId="0" applyFont="1" applyFill="1" applyBorder="1" applyAlignment="1">
      <alignment vertical="center" wrapText="1"/>
    </xf>
    <xf numFmtId="180" fontId="36" fillId="0" borderId="1" xfId="0" applyNumberFormat="1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center" wrapText="1"/>
    </xf>
    <xf numFmtId="167" fontId="21" fillId="0" borderId="1" xfId="15" applyFont="1" applyFill="1" applyBorder="1" applyAlignment="1">
      <alignment vertical="center" wrapText="1"/>
    </xf>
    <xf numFmtId="167" fontId="39" fillId="0" borderId="15" xfId="15" applyFont="1" applyFill="1" applyBorder="1"/>
    <xf numFmtId="0" fontId="21" fillId="0" borderId="1" xfId="0" applyFont="1" applyFill="1" applyBorder="1"/>
    <xf numFmtId="167" fontId="0" fillId="0" borderId="0" xfId="15" applyFont="1"/>
    <xf numFmtId="44" fontId="0" fillId="0" borderId="0" xfId="0" applyNumberFormat="1"/>
    <xf numFmtId="0" fontId="39" fillId="0" borderId="1" xfId="0" applyFont="1" applyFill="1" applyBorder="1"/>
    <xf numFmtId="44" fontId="39" fillId="0" borderId="1" xfId="15" applyNumberFormat="1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167" fontId="39" fillId="0" borderId="1" xfId="15" applyFont="1" applyFill="1" applyBorder="1" applyAlignment="1">
      <alignment vertical="center" wrapText="1"/>
    </xf>
    <xf numFmtId="180" fontId="35" fillId="0" borderId="1" xfId="0" applyNumberFormat="1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0" fillId="0" borderId="0" xfId="0" applyFill="1"/>
    <xf numFmtId="0" fontId="39" fillId="0" borderId="0" xfId="0" applyFont="1" applyFill="1"/>
    <xf numFmtId="0" fontId="39" fillId="0" borderId="0" xfId="0" applyFont="1" applyFill="1" applyAlignment="1">
      <alignment horizontal="left"/>
    </xf>
    <xf numFmtId="167" fontId="38" fillId="0" borderId="24" xfId="15" applyFont="1" applyFill="1" applyBorder="1"/>
    <xf numFmtId="0" fontId="34" fillId="0" borderId="0" xfId="0" applyFont="1" applyFill="1"/>
    <xf numFmtId="167" fontId="34" fillId="0" borderId="0" xfId="15" applyFont="1" applyFill="1"/>
    <xf numFmtId="44" fontId="34" fillId="0" borderId="0" xfId="0" applyNumberFormat="1" applyFont="1" applyFill="1"/>
    <xf numFmtId="169" fontId="9" fillId="2" borderId="1" xfId="1" applyNumberFormat="1" applyFont="1" applyFill="1" applyBorder="1" applyAlignment="1">
      <alignment horizontal="center"/>
    </xf>
    <xf numFmtId="172" fontId="9" fillId="2" borderId="1" xfId="0" applyNumberFormat="1" applyFont="1" applyFill="1" applyBorder="1" applyAlignment="1">
      <alignment horizontal="center"/>
    </xf>
    <xf numFmtId="172" fontId="9" fillId="2" borderId="20" xfId="0" applyNumberFormat="1" applyFont="1" applyFill="1" applyBorder="1" applyAlignment="1">
      <alignment horizontal="center"/>
    </xf>
    <xf numFmtId="169" fontId="9" fillId="2" borderId="20" xfId="1" applyNumberFormat="1" applyFont="1" applyFill="1" applyBorder="1" applyAlignment="1">
      <alignment horizontal="center"/>
    </xf>
    <xf numFmtId="166" fontId="6" fillId="9" borderId="44" xfId="1" applyNumberFormat="1" applyFont="1" applyFill="1" applyBorder="1" applyAlignment="1">
      <alignment horizontal="center" vertical="center" wrapText="1" shrinkToFit="1"/>
    </xf>
    <xf numFmtId="166" fontId="5" fillId="9" borderId="44" xfId="1" applyNumberFormat="1" applyFont="1" applyFill="1" applyBorder="1" applyAlignment="1">
      <alignment horizontal="center" vertical="center" wrapText="1" shrinkToFit="1"/>
    </xf>
    <xf numFmtId="173" fontId="6" fillId="7" borderId="34" xfId="2" applyNumberFormat="1" applyFont="1" applyFill="1" applyBorder="1" applyAlignment="1">
      <alignment horizontal="center" vertical="center" wrapText="1"/>
    </xf>
    <xf numFmtId="177" fontId="6" fillId="7" borderId="34" xfId="2" applyNumberFormat="1" applyFont="1" applyFill="1" applyBorder="1" applyAlignment="1">
      <alignment horizontal="center" vertical="center" wrapText="1"/>
    </xf>
    <xf numFmtId="167" fontId="6" fillId="6" borderId="34" xfId="0" applyNumberFormat="1" applyFont="1" applyFill="1" applyBorder="1" applyAlignment="1">
      <alignment horizontal="center"/>
    </xf>
    <xf numFmtId="172" fontId="6" fillId="6" borderId="34" xfId="1" applyNumberFormat="1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169" fontId="9" fillId="2" borderId="17" xfId="1" applyNumberFormat="1" applyFont="1" applyFill="1" applyBorder="1" applyAlignment="1">
      <alignment horizontal="center"/>
    </xf>
    <xf numFmtId="172" fontId="9" fillId="2" borderId="17" xfId="0" applyNumberFormat="1" applyFont="1" applyFill="1" applyBorder="1" applyAlignment="1">
      <alignment horizontal="center"/>
    </xf>
    <xf numFmtId="172" fontId="9" fillId="2" borderId="18" xfId="1" applyNumberFormat="1" applyFont="1" applyFill="1" applyBorder="1"/>
    <xf numFmtId="171" fontId="2" fillId="3" borderId="33" xfId="1" applyNumberFormat="1" applyFont="1" applyFill="1" applyBorder="1" applyAlignment="1">
      <alignment horizontal="center" vertical="center" wrapText="1" shrinkToFit="1"/>
    </xf>
    <xf numFmtId="171" fontId="2" fillId="4" borderId="33" xfId="1" applyNumberFormat="1" applyFont="1" applyFill="1" applyBorder="1" applyAlignment="1">
      <alignment horizontal="center" vertical="center" wrapText="1" shrinkToFit="1"/>
    </xf>
    <xf numFmtId="0" fontId="21" fillId="0" borderId="2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172" fontId="21" fillId="0" borderId="1" xfId="15" applyNumberFormat="1" applyFont="1" applyFill="1" applyBorder="1" applyAlignment="1">
      <alignment horizontal="center"/>
    </xf>
    <xf numFmtId="14" fontId="21" fillId="0" borderId="19" xfId="0" applyNumberFormat="1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172" fontId="39" fillId="0" borderId="21" xfId="15" applyNumberFormat="1" applyFont="1" applyFill="1" applyBorder="1"/>
    <xf numFmtId="172" fontId="39" fillId="0" borderId="15" xfId="15" applyNumberFormat="1" applyFont="1" applyFill="1" applyBorder="1"/>
    <xf numFmtId="172" fontId="39" fillId="2" borderId="15" xfId="15" applyNumberFormat="1" applyFont="1" applyFill="1" applyBorder="1"/>
    <xf numFmtId="14" fontId="21" fillId="0" borderId="16" xfId="0" applyNumberFormat="1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17" xfId="0" applyFont="1" applyFill="1" applyBorder="1"/>
    <xf numFmtId="172" fontId="21" fillId="0" borderId="17" xfId="15" applyNumberFormat="1" applyFont="1" applyFill="1" applyBorder="1" applyAlignment="1">
      <alignment horizontal="center"/>
    </xf>
    <xf numFmtId="172" fontId="39" fillId="0" borderId="18" xfId="15" applyNumberFormat="1" applyFont="1" applyFill="1" applyBorder="1"/>
    <xf numFmtId="0" fontId="14" fillId="9" borderId="4" xfId="0" applyFont="1" applyFill="1" applyBorder="1" applyAlignment="1">
      <alignment horizontal="center"/>
    </xf>
    <xf numFmtId="166" fontId="5" fillId="9" borderId="57" xfId="1" applyNumberFormat="1" applyFont="1" applyFill="1" applyBorder="1" applyAlignment="1">
      <alignment horizontal="center" vertical="center" wrapText="1" shrinkToFit="1"/>
    </xf>
    <xf numFmtId="166" fontId="5" fillId="9" borderId="47" xfId="1" applyNumberFormat="1" applyFont="1" applyFill="1" applyBorder="1" applyAlignment="1">
      <alignment horizontal="center" vertical="center" wrapText="1" shrinkToFit="1"/>
    </xf>
    <xf numFmtId="166" fontId="5" fillId="9" borderId="48" xfId="1" applyNumberFormat="1" applyFont="1" applyFill="1" applyBorder="1" applyAlignment="1">
      <alignment horizontal="center" vertical="center" wrapText="1" shrinkToFit="1"/>
    </xf>
    <xf numFmtId="172" fontId="2" fillId="2" borderId="1" xfId="4" applyNumberFormat="1" applyFont="1" applyFill="1" applyBorder="1" applyAlignment="1">
      <alignment horizontal="right" vertical="center"/>
    </xf>
    <xf numFmtId="0" fontId="6" fillId="2" borderId="19" xfId="3" applyFont="1" applyFill="1" applyBorder="1" applyAlignment="1">
      <alignment horizontal="center" vertical="center"/>
    </xf>
    <xf numFmtId="166" fontId="2" fillId="3" borderId="20" xfId="1" applyNumberFormat="1" applyFont="1" applyFill="1" applyBorder="1" applyAlignment="1">
      <alignment horizontal="center" vertical="center" wrapText="1"/>
    </xf>
    <xf numFmtId="172" fontId="2" fillId="3" borderId="20" xfId="2" applyNumberFormat="1" applyFont="1" applyFill="1" applyBorder="1" applyAlignment="1">
      <alignment horizontal="right" vertical="center" wrapText="1" shrinkToFit="1"/>
    </xf>
    <xf numFmtId="172" fontId="2" fillId="2" borderId="20" xfId="4" applyNumberFormat="1" applyFont="1" applyFill="1" applyBorder="1" applyAlignment="1">
      <alignment horizontal="right" vertical="center"/>
    </xf>
    <xf numFmtId="172" fontId="6" fillId="2" borderId="21" xfId="0" applyNumberFormat="1" applyFont="1" applyFill="1" applyBorder="1" applyAlignment="1">
      <alignment horizontal="center" vertical="center"/>
    </xf>
    <xf numFmtId="0" fontId="6" fillId="2" borderId="16" xfId="3" applyFont="1" applyFill="1" applyBorder="1" applyAlignment="1">
      <alignment horizontal="center" vertical="center"/>
    </xf>
    <xf numFmtId="166" fontId="2" fillId="3" borderId="17" xfId="1" applyFont="1" applyFill="1" applyBorder="1" applyAlignment="1">
      <alignment horizontal="center" vertical="center"/>
    </xf>
    <xf numFmtId="172" fontId="2" fillId="2" borderId="17" xfId="2" applyNumberFormat="1" applyFont="1" applyFill="1" applyBorder="1" applyAlignment="1">
      <alignment horizontal="right" vertical="center" wrapText="1" shrinkToFit="1"/>
    </xf>
    <xf numFmtId="172" fontId="6" fillId="2" borderId="18" xfId="0" applyNumberFormat="1" applyFont="1" applyFill="1" applyBorder="1" applyAlignment="1">
      <alignment horizontal="center" vertical="center"/>
    </xf>
    <xf numFmtId="166" fontId="8" fillId="13" borderId="37" xfId="1" applyNumberFormat="1" applyFont="1" applyFill="1" applyBorder="1" applyAlignment="1">
      <alignment horizontal="center" vertical="center" wrapText="1"/>
    </xf>
    <xf numFmtId="168" fontId="8" fillId="9" borderId="37" xfId="2" applyNumberFormat="1" applyFont="1" applyFill="1" applyBorder="1" applyAlignment="1">
      <alignment horizontal="center" vertical="center"/>
    </xf>
    <xf numFmtId="168" fontId="8" fillId="9" borderId="27" xfId="2" applyNumberFormat="1" applyFont="1" applyFill="1" applyBorder="1" applyAlignment="1">
      <alignment horizontal="center" vertical="center"/>
    </xf>
    <xf numFmtId="172" fontId="2" fillId="2" borderId="17" xfId="4" applyNumberFormat="1" applyFont="1" applyFill="1" applyBorder="1" applyAlignment="1">
      <alignment horizontal="right" vertical="center"/>
    </xf>
    <xf numFmtId="179" fontId="16" fillId="0" borderId="0" xfId="0" applyNumberFormat="1" applyFont="1"/>
    <xf numFmtId="14" fontId="43" fillId="16" borderId="0" xfId="0" applyNumberFormat="1" applyFont="1" applyFill="1" applyAlignment="1">
      <alignment horizontal="center"/>
    </xf>
    <xf numFmtId="14" fontId="42" fillId="0" borderId="59" xfId="0" applyNumberFormat="1" applyFont="1" applyFill="1" applyBorder="1" applyAlignment="1">
      <alignment horizontal="center"/>
    </xf>
    <xf numFmtId="0" fontId="42" fillId="0" borderId="0" xfId="0" applyFont="1" applyFill="1" applyAlignment="1">
      <alignment horizontal="center"/>
    </xf>
    <xf numFmtId="179" fontId="42" fillId="0" borderId="0" xfId="0" applyNumberFormat="1" applyFont="1" applyFill="1" applyAlignment="1">
      <alignment horizontal="center"/>
    </xf>
    <xf numFmtId="179" fontId="42" fillId="0" borderId="0" xfId="2" applyNumberFormat="1" applyFont="1" applyFill="1" applyAlignment="1">
      <alignment horizontal="center"/>
    </xf>
    <xf numFmtId="165" fontId="42" fillId="0" borderId="0" xfId="2" applyFont="1" applyFill="1" applyAlignment="1">
      <alignment horizontal="center"/>
    </xf>
    <xf numFmtId="14" fontId="16" fillId="0" borderId="59" xfId="0" applyNumberFormat="1" applyFont="1" applyFill="1" applyBorder="1" applyAlignment="1">
      <alignment horizont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left"/>
    </xf>
    <xf numFmtId="179" fontId="16" fillId="0" borderId="0" xfId="0" applyNumberFormat="1" applyFont="1" applyFill="1" applyBorder="1"/>
    <xf numFmtId="179" fontId="16" fillId="0" borderId="0" xfId="2" applyNumberFormat="1" applyFont="1" applyFill="1" applyBorder="1"/>
    <xf numFmtId="165" fontId="16" fillId="0" borderId="0" xfId="2" applyFont="1" applyFill="1" applyBorder="1"/>
    <xf numFmtId="179" fontId="42" fillId="0" borderId="0" xfId="0" applyNumberFormat="1" applyFont="1" applyFill="1" applyBorder="1"/>
    <xf numFmtId="0" fontId="16" fillId="0" borderId="0" xfId="0" applyFont="1" applyFill="1"/>
    <xf numFmtId="179" fontId="16" fillId="0" borderId="0" xfId="0" applyNumberFormat="1" applyFont="1" applyFill="1"/>
    <xf numFmtId="179" fontId="16" fillId="0" borderId="0" xfId="2" applyNumberFormat="1" applyFont="1" applyFill="1"/>
    <xf numFmtId="14" fontId="42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179" fontId="42" fillId="0" borderId="0" xfId="0" applyNumberFormat="1" applyFont="1" applyFill="1" applyBorder="1" applyAlignment="1">
      <alignment horizontal="center"/>
    </xf>
    <xf numFmtId="179" fontId="42" fillId="0" borderId="0" xfId="2" applyNumberFormat="1" applyFont="1" applyFill="1" applyBorder="1" applyAlignment="1">
      <alignment horizontal="center"/>
    </xf>
    <xf numFmtId="14" fontId="42" fillId="0" borderId="0" xfId="0" applyNumberFormat="1" applyFont="1" applyFill="1" applyAlignment="1">
      <alignment horizontal="center"/>
    </xf>
    <xf numFmtId="182" fontId="16" fillId="0" borderId="0" xfId="0" applyNumberFormat="1" applyFont="1" applyFill="1" applyBorder="1" applyAlignment="1">
      <alignment horizontal="left"/>
    </xf>
    <xf numFmtId="14" fontId="16" fillId="0" borderId="0" xfId="0" applyNumberFormat="1" applyFont="1" applyFill="1" applyAlignment="1">
      <alignment horizontal="center"/>
    </xf>
    <xf numFmtId="179" fontId="16" fillId="0" borderId="0" xfId="2" applyNumberFormat="1" applyFont="1" applyFill="1" applyAlignment="1">
      <alignment horizontal="center"/>
    </xf>
    <xf numFmtId="183" fontId="16" fillId="0" borderId="0" xfId="0" applyNumberFormat="1" applyFont="1" applyFill="1" applyBorder="1" applyAlignment="1">
      <alignment horizontal="left" vertical="center" wrapText="1" shrinkToFit="1"/>
    </xf>
    <xf numFmtId="0" fontId="38" fillId="0" borderId="4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44" fontId="21" fillId="0" borderId="0" xfId="15" applyNumberFormat="1" applyFont="1" applyFill="1"/>
    <xf numFmtId="0" fontId="47" fillId="0" borderId="0" xfId="0" applyFont="1"/>
    <xf numFmtId="0" fontId="48" fillId="0" borderId="3" xfId="0" applyFont="1" applyBorder="1"/>
    <xf numFmtId="44" fontId="39" fillId="0" borderId="0" xfId="15" applyNumberFormat="1" applyFont="1" applyFill="1"/>
    <xf numFmtId="172" fontId="49" fillId="0" borderId="57" xfId="15" applyNumberFormat="1" applyFont="1" applyBorder="1"/>
    <xf numFmtId="172" fontId="49" fillId="8" borderId="47" xfId="15" applyNumberFormat="1" applyFont="1" applyFill="1" applyBorder="1"/>
    <xf numFmtId="0" fontId="49" fillId="0" borderId="51" xfId="0" applyFont="1" applyBorder="1"/>
    <xf numFmtId="0" fontId="48" fillId="18" borderId="48" xfId="0" applyFont="1" applyFill="1" applyBorder="1" applyAlignment="1">
      <alignment horizontal="center" vertical="center"/>
    </xf>
    <xf numFmtId="0" fontId="49" fillId="0" borderId="19" xfId="0" applyFont="1" applyBorder="1"/>
    <xf numFmtId="172" fontId="49" fillId="0" borderId="20" xfId="15" applyNumberFormat="1" applyFont="1" applyBorder="1"/>
    <xf numFmtId="0" fontId="49" fillId="8" borderId="25" xfId="0" applyFont="1" applyFill="1" applyBorder="1" applyAlignment="1">
      <alignment horizontal="center" vertical="center"/>
    </xf>
    <xf numFmtId="0" fontId="47" fillId="0" borderId="21" xfId="0" applyFont="1" applyBorder="1" applyAlignment="1">
      <alignment horizontal="center" vertical="center"/>
    </xf>
    <xf numFmtId="0" fontId="49" fillId="0" borderId="14" xfId="0" applyFont="1" applyBorder="1"/>
    <xf numFmtId="172" fontId="49" fillId="0" borderId="1" xfId="15" applyNumberFormat="1" applyFont="1" applyBorder="1"/>
    <xf numFmtId="0" fontId="49" fillId="2" borderId="28" xfId="0" applyFont="1" applyFill="1" applyBorder="1" applyAlignment="1">
      <alignment horizontal="center" vertical="center"/>
    </xf>
    <xf numFmtId="0" fontId="48" fillId="18" borderId="15" xfId="0" applyFont="1" applyFill="1" applyBorder="1" applyAlignment="1">
      <alignment horizontal="center" vertical="center"/>
    </xf>
    <xf numFmtId="0" fontId="49" fillId="18" borderId="14" xfId="0" applyFont="1" applyFill="1" applyBorder="1"/>
    <xf numFmtId="172" fontId="49" fillId="18" borderId="1" xfId="15" applyNumberFormat="1" applyFont="1" applyFill="1" applyBorder="1"/>
    <xf numFmtId="0" fontId="49" fillId="0" borderId="28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0" fontId="38" fillId="0" borderId="57" xfId="0" applyFont="1" applyFill="1" applyBorder="1"/>
    <xf numFmtId="0" fontId="38" fillId="0" borderId="47" xfId="0" applyFont="1" applyFill="1" applyBorder="1"/>
    <xf numFmtId="0" fontId="38" fillId="0" borderId="47" xfId="0" applyFont="1" applyFill="1" applyBorder="1" applyAlignment="1">
      <alignment horizontal="left"/>
    </xf>
    <xf numFmtId="167" fontId="38" fillId="0" borderId="51" xfId="15" applyFont="1" applyFill="1" applyBorder="1"/>
    <xf numFmtId="44" fontId="38" fillId="0" borderId="44" xfId="15" applyNumberFormat="1" applyFont="1" applyFill="1" applyBorder="1"/>
    <xf numFmtId="167" fontId="38" fillId="0" borderId="44" xfId="15" applyFont="1" applyFill="1" applyBorder="1"/>
    <xf numFmtId="0" fontId="49" fillId="18" borderId="36" xfId="0" applyFont="1" applyFill="1" applyBorder="1"/>
    <xf numFmtId="0" fontId="50" fillId="0" borderId="15" xfId="0" applyFont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 wrapText="1"/>
    </xf>
    <xf numFmtId="167" fontId="38" fillId="0" borderId="47" xfId="15" applyFont="1" applyFill="1" applyBorder="1"/>
    <xf numFmtId="44" fontId="38" fillId="0" borderId="48" xfId="15" applyNumberFormat="1" applyFont="1" applyFill="1" applyBorder="1"/>
    <xf numFmtId="0" fontId="49" fillId="0" borderId="36" xfId="0" applyFont="1" applyBorder="1"/>
    <xf numFmtId="14" fontId="21" fillId="0" borderId="19" xfId="0" applyNumberFormat="1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180" fontId="36" fillId="0" borderId="20" xfId="0" applyNumberFormat="1" applyFont="1" applyFill="1" applyBorder="1" applyAlignment="1">
      <alignment horizontal="left" vertical="top" wrapText="1"/>
    </xf>
    <xf numFmtId="0" fontId="21" fillId="0" borderId="20" xfId="0" applyFont="1" applyFill="1" applyBorder="1" applyAlignment="1">
      <alignment horizontal="left" vertical="center" wrapText="1"/>
    </xf>
    <xf numFmtId="167" fontId="21" fillId="0" borderId="20" xfId="15" applyFont="1" applyFill="1" applyBorder="1" applyAlignment="1">
      <alignment vertical="center" wrapText="1"/>
    </xf>
    <xf numFmtId="44" fontId="21" fillId="0" borderId="20" xfId="15" applyNumberFormat="1" applyFont="1" applyFill="1" applyBorder="1" applyAlignment="1">
      <alignment vertical="center" wrapText="1"/>
    </xf>
    <xf numFmtId="167" fontId="39" fillId="0" borderId="21" xfId="15" applyFont="1" applyFill="1" applyBorder="1"/>
    <xf numFmtId="0" fontId="49" fillId="0" borderId="62" xfId="0" applyFont="1" applyBorder="1"/>
    <xf numFmtId="172" fontId="49" fillId="0" borderId="10" xfId="15" applyNumberFormat="1" applyFont="1" applyBorder="1"/>
    <xf numFmtId="0" fontId="49" fillId="0" borderId="61" xfId="0" applyFont="1" applyBorder="1" applyAlignment="1">
      <alignment horizontal="center" vertical="center"/>
    </xf>
    <xf numFmtId="0" fontId="48" fillId="18" borderId="45" xfId="0" applyFont="1" applyFill="1" applyBorder="1" applyAlignment="1">
      <alignment horizontal="center" vertical="center"/>
    </xf>
    <xf numFmtId="14" fontId="21" fillId="0" borderId="14" xfId="0" applyNumberFormat="1" applyFont="1" applyFill="1" applyBorder="1" applyAlignment="1">
      <alignment vertical="center" wrapText="1"/>
    </xf>
    <xf numFmtId="44" fontId="21" fillId="0" borderId="1" xfId="15" applyNumberFormat="1" applyFont="1" applyFill="1" applyBorder="1" applyAlignment="1">
      <alignment vertical="center" wrapText="1"/>
    </xf>
    <xf numFmtId="0" fontId="51" fillId="0" borderId="39" xfId="0" applyFont="1" applyBorder="1"/>
    <xf numFmtId="172" fontId="51" fillId="0" borderId="3" xfId="0" applyNumberFormat="1" applyFont="1" applyBorder="1"/>
    <xf numFmtId="0" fontId="52" fillId="0" borderId="39" xfId="0" applyFont="1" applyBorder="1"/>
    <xf numFmtId="0" fontId="47" fillId="0" borderId="3" xfId="0" applyFont="1" applyBorder="1" applyAlignment="1">
      <alignment horizontal="center" vertical="center"/>
    </xf>
    <xf numFmtId="172" fontId="0" fillId="0" borderId="0" xfId="15" applyNumberFormat="1" applyFont="1"/>
    <xf numFmtId="44" fontId="21" fillId="0" borderId="1" xfId="15" applyNumberFormat="1" applyFont="1" applyFill="1" applyBorder="1"/>
    <xf numFmtId="44" fontId="46" fillId="0" borderId="0" xfId="0" applyNumberFormat="1" applyFont="1"/>
    <xf numFmtId="0" fontId="46" fillId="0" borderId="0" xfId="0" applyFont="1"/>
    <xf numFmtId="0" fontId="46" fillId="0" borderId="0" xfId="0" applyFont="1" applyFill="1"/>
    <xf numFmtId="44" fontId="0" fillId="0" borderId="0" xfId="0" applyNumberFormat="1" applyFill="1"/>
    <xf numFmtId="14" fontId="21" fillId="2" borderId="14" xfId="0" applyNumberFormat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left" vertical="center" wrapText="1"/>
    </xf>
    <xf numFmtId="167" fontId="39" fillId="2" borderId="1" xfId="15" applyFont="1" applyFill="1" applyBorder="1" applyAlignment="1">
      <alignment vertical="center" wrapText="1"/>
    </xf>
    <xf numFmtId="179" fontId="21" fillId="2" borderId="1" xfId="15" applyNumberFormat="1" applyFont="1" applyFill="1" applyBorder="1"/>
    <xf numFmtId="44" fontId="21" fillId="2" borderId="1" xfId="15" applyNumberFormat="1" applyFont="1" applyFill="1" applyBorder="1" applyAlignment="1">
      <alignment vertical="center" wrapText="1"/>
    </xf>
    <xf numFmtId="180" fontId="36" fillId="2" borderId="1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/>
    </xf>
    <xf numFmtId="167" fontId="21" fillId="2" borderId="1" xfId="15" applyFont="1" applyFill="1" applyBorder="1" applyAlignment="1">
      <alignment vertical="center" wrapText="1"/>
    </xf>
    <xf numFmtId="172" fontId="0" fillId="0" borderId="0" xfId="0" applyNumberFormat="1"/>
    <xf numFmtId="14" fontId="21" fillId="0" borderId="14" xfId="0" applyNumberFormat="1" applyFont="1" applyFill="1" applyBorder="1" applyAlignment="1">
      <alignment horizontal="right" wrapText="1"/>
    </xf>
    <xf numFmtId="14" fontId="21" fillId="0" borderId="0" xfId="0" applyNumberFormat="1" applyFont="1" applyFill="1" applyBorder="1" applyAlignment="1">
      <alignment vertical="center" wrapText="1"/>
    </xf>
    <xf numFmtId="44" fontId="38" fillId="0" borderId="24" xfId="15" applyNumberFormat="1" applyFont="1" applyFill="1" applyBorder="1"/>
    <xf numFmtId="167" fontId="39" fillId="0" borderId="42" xfId="15" applyFont="1" applyFill="1" applyBorder="1"/>
    <xf numFmtId="0" fontId="21" fillId="0" borderId="0" xfId="0" applyFont="1" applyFill="1" applyBorder="1" applyAlignment="1">
      <alignment vertical="center" wrapText="1"/>
    </xf>
    <xf numFmtId="44" fontId="16" fillId="0" borderId="0" xfId="0" applyNumberFormat="1" applyFont="1"/>
    <xf numFmtId="179" fontId="16" fillId="0" borderId="0" xfId="2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182" fontId="53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/>
    </xf>
    <xf numFmtId="183" fontId="42" fillId="0" borderId="0" xfId="0" applyNumberFormat="1" applyFont="1" applyFill="1" applyBorder="1" applyAlignment="1">
      <alignment horizontal="center" vertical="center" wrapText="1" shrinkToFit="1"/>
    </xf>
    <xf numFmtId="179" fontId="16" fillId="0" borderId="0" xfId="0" applyNumberFormat="1" applyFont="1" applyFill="1" applyBorder="1" applyAlignment="1">
      <alignment horizontal="left"/>
    </xf>
    <xf numFmtId="179" fontId="16" fillId="0" borderId="0" xfId="2" applyNumberFormat="1" applyFont="1" applyFill="1" applyAlignment="1">
      <alignment horizontal="left"/>
    </xf>
    <xf numFmtId="179" fontId="54" fillId="0" borderId="0" xfId="2" applyNumberFormat="1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79" fontId="16" fillId="0" borderId="0" xfId="0" applyNumberFormat="1" applyFont="1" applyFill="1" applyAlignment="1">
      <alignment horizontal="left"/>
    </xf>
    <xf numFmtId="179" fontId="44" fillId="8" borderId="60" xfId="2" applyNumberFormat="1" applyFont="1" applyFill="1" applyBorder="1"/>
    <xf numFmtId="0" fontId="42" fillId="0" borderId="63" xfId="0" applyFont="1" applyFill="1" applyBorder="1" applyAlignment="1">
      <alignment horizontal="center"/>
    </xf>
    <xf numFmtId="179" fontId="16" fillId="0" borderId="52" xfId="2" applyNumberFormat="1" applyFont="1" applyFill="1" applyBorder="1" applyAlignment="1">
      <alignment horizontal="center"/>
    </xf>
    <xf numFmtId="0" fontId="42" fillId="0" borderId="36" xfId="0" applyFont="1" applyFill="1" applyBorder="1" applyAlignment="1">
      <alignment horizontal="center"/>
    </xf>
    <xf numFmtId="179" fontId="16" fillId="0" borderId="28" xfId="2" applyNumberFormat="1" applyFont="1" applyFill="1" applyBorder="1"/>
    <xf numFmtId="0" fontId="42" fillId="0" borderId="62" xfId="0" applyFont="1" applyFill="1" applyBorder="1" applyAlignment="1">
      <alignment horizontal="center"/>
    </xf>
    <xf numFmtId="179" fontId="16" fillId="0" borderId="61" xfId="2" applyNumberFormat="1" applyFont="1" applyFill="1" applyBorder="1"/>
    <xf numFmtId="0" fontId="42" fillId="8" borderId="62" xfId="0" applyFont="1" applyFill="1" applyBorder="1" applyAlignment="1">
      <alignment horizontal="center"/>
    </xf>
    <xf numFmtId="179" fontId="42" fillId="8" borderId="61" xfId="2" applyNumberFormat="1" applyFont="1" applyFill="1" applyBorder="1"/>
    <xf numFmtId="179" fontId="42" fillId="8" borderId="1" xfId="2" applyNumberFormat="1" applyFont="1" applyFill="1" applyBorder="1"/>
    <xf numFmtId="0" fontId="0" fillId="0" borderId="0" xfId="0" applyFont="1"/>
    <xf numFmtId="179" fontId="0" fillId="0" borderId="0" xfId="2" applyNumberFormat="1" applyFont="1"/>
    <xf numFmtId="14" fontId="45" fillId="16" borderId="0" xfId="0" applyNumberFormat="1" applyFont="1" applyFill="1" applyAlignment="1">
      <alignment horizontal="center"/>
    </xf>
    <xf numFmtId="179" fontId="0" fillId="0" borderId="0" xfId="2" applyNumberFormat="1" applyFont="1" applyFill="1"/>
    <xf numFmtId="0" fontId="15" fillId="0" borderId="0" xfId="0" applyFont="1" applyAlignment="1">
      <alignment horizontal="center"/>
    </xf>
    <xf numFmtId="179" fontId="15" fillId="0" borderId="0" xfId="0" applyNumberFormat="1" applyFont="1" applyAlignment="1">
      <alignment horizontal="center"/>
    </xf>
    <xf numFmtId="179" fontId="15" fillId="0" borderId="0" xfId="2" applyNumberFormat="1" applyFont="1" applyFill="1" applyAlignment="1">
      <alignment horizontal="center"/>
    </xf>
    <xf numFmtId="179" fontId="15" fillId="0" borderId="0" xfId="2" applyNumberFormat="1" applyFont="1" applyAlignment="1">
      <alignment horizontal="center"/>
    </xf>
    <xf numFmtId="0" fontId="0" fillId="0" borderId="0" xfId="0" applyFont="1" applyAlignment="1">
      <alignment horizontal="center"/>
    </xf>
    <xf numFmtId="179" fontId="0" fillId="0" borderId="0" xfId="2" applyNumberFormat="1" applyFont="1" applyAlignment="1">
      <alignment horizontal="center"/>
    </xf>
    <xf numFmtId="179" fontId="1" fillId="0" borderId="0" xfId="2" applyNumberFormat="1" applyFont="1" applyFill="1" applyAlignment="1">
      <alignment horizontal="center"/>
    </xf>
    <xf numFmtId="14" fontId="0" fillId="0" borderId="0" xfId="0" applyNumberFormat="1" applyFont="1" applyFill="1"/>
    <xf numFmtId="0" fontId="15" fillId="0" borderId="0" xfId="0" applyFont="1" applyFill="1"/>
    <xf numFmtId="0" fontId="0" fillId="0" borderId="0" xfId="0" applyFont="1" applyFill="1"/>
    <xf numFmtId="14" fontId="15" fillId="0" borderId="0" xfId="0" applyNumberFormat="1" applyFont="1" applyFill="1"/>
    <xf numFmtId="179" fontId="15" fillId="0" borderId="0" xfId="0" applyNumberFormat="1" applyFont="1" applyFill="1"/>
    <xf numFmtId="179" fontId="1" fillId="0" borderId="0" xfId="2" applyNumberFormat="1" applyFont="1" applyFill="1"/>
    <xf numFmtId="179" fontId="0" fillId="0" borderId="0" xfId="0" applyNumberFormat="1" applyFont="1" applyFill="1"/>
    <xf numFmtId="0" fontId="15" fillId="0" borderId="0" xfId="0" applyFont="1"/>
    <xf numFmtId="179" fontId="0" fillId="0" borderId="0" xfId="0" applyNumberFormat="1" applyFont="1"/>
    <xf numFmtId="179" fontId="15" fillId="0" borderId="0" xfId="0" applyNumberFormat="1" applyFont="1" applyFill="1" applyAlignment="1">
      <alignment horizontal="left"/>
    </xf>
    <xf numFmtId="179" fontId="56" fillId="17" borderId="60" xfId="2" applyNumberFormat="1" applyFont="1" applyFill="1" applyBorder="1"/>
    <xf numFmtId="179" fontId="1" fillId="0" borderId="0" xfId="2" applyNumberFormat="1" applyFont="1" applyFill="1" applyAlignment="1">
      <alignment horizontal="left"/>
    </xf>
    <xf numFmtId="14" fontId="15" fillId="0" borderId="0" xfId="0" applyNumberFormat="1" applyFont="1" applyFill="1" applyAlignment="1">
      <alignment horizontal="left"/>
    </xf>
    <xf numFmtId="179" fontId="56" fillId="17" borderId="60" xfId="0" applyNumberFormat="1" applyFont="1" applyFill="1" applyBorder="1"/>
    <xf numFmtId="179" fontId="56" fillId="0" borderId="60" xfId="2" applyNumberFormat="1" applyFont="1" applyFill="1" applyBorder="1"/>
    <xf numFmtId="14" fontId="15" fillId="0" borderId="59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79" fontId="15" fillId="0" borderId="0" xfId="0" applyNumberFormat="1" applyFont="1" applyFill="1" applyAlignment="1">
      <alignment horizontal="center"/>
    </xf>
    <xf numFmtId="14" fontId="0" fillId="0" borderId="64" xfId="0" applyNumberFormat="1" applyFont="1" applyFill="1" applyBorder="1"/>
    <xf numFmtId="0" fontId="0" fillId="0" borderId="65" xfId="0" applyFont="1" applyFill="1" applyBorder="1"/>
    <xf numFmtId="179" fontId="0" fillId="0" borderId="65" xfId="0" applyNumberFormat="1" applyFont="1" applyFill="1" applyBorder="1"/>
    <xf numFmtId="179" fontId="1" fillId="0" borderId="65" xfId="2" applyNumberFormat="1" applyFont="1" applyFill="1" applyBorder="1"/>
    <xf numFmtId="3" fontId="2" fillId="3" borderId="1" xfId="1" applyNumberFormat="1" applyFont="1" applyFill="1" applyBorder="1" applyAlignment="1">
      <alignment horizontal="center" vertical="center"/>
    </xf>
    <xf numFmtId="3" fontId="2" fillId="3" borderId="10" xfId="1" applyNumberFormat="1" applyFont="1" applyFill="1" applyBorder="1" applyAlignment="1">
      <alignment horizontal="center" vertical="center"/>
    </xf>
    <xf numFmtId="166" fontId="2" fillId="4" borderId="33" xfId="1" applyNumberFormat="1" applyFont="1" applyFill="1" applyBorder="1" applyAlignment="1">
      <alignment horizontal="center" vertical="center" wrapText="1" shrinkToFit="1"/>
    </xf>
    <xf numFmtId="0" fontId="42" fillId="0" borderId="0" xfId="0" applyFont="1" applyAlignment="1">
      <alignment horizontal="center"/>
    </xf>
    <xf numFmtId="14" fontId="21" fillId="0" borderId="43" xfId="0" applyNumberFormat="1" applyFont="1" applyFill="1" applyBorder="1" applyAlignment="1">
      <alignment horizontal="center"/>
    </xf>
    <xf numFmtId="172" fontId="39" fillId="0" borderId="42" xfId="15" applyNumberFormat="1" applyFont="1" applyFill="1" applyBorder="1"/>
    <xf numFmtId="14" fontId="21" fillId="0" borderId="24" xfId="0" applyNumberFormat="1" applyFont="1" applyFill="1" applyBorder="1" applyAlignment="1">
      <alignment horizontal="center"/>
    </xf>
    <xf numFmtId="0" fontId="21" fillId="0" borderId="66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172" fontId="21" fillId="2" borderId="2" xfId="15" applyNumberFormat="1" applyFont="1" applyFill="1" applyBorder="1" applyAlignment="1">
      <alignment horizontal="center"/>
    </xf>
    <xf numFmtId="172" fontId="21" fillId="2" borderId="1" xfId="15" applyNumberFormat="1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2" borderId="36" xfId="0" applyFont="1" applyFill="1" applyBorder="1" applyAlignment="1">
      <alignment horizontal="center"/>
    </xf>
    <xf numFmtId="172" fontId="21" fillId="0" borderId="2" xfId="15" applyNumberFormat="1" applyFont="1" applyFill="1" applyBorder="1" applyAlignment="1">
      <alignment horizontal="center"/>
    </xf>
    <xf numFmtId="1" fontId="21" fillId="0" borderId="2" xfId="15" applyNumberFormat="1" applyFont="1" applyFill="1" applyBorder="1" applyAlignment="1">
      <alignment horizontal="center"/>
    </xf>
    <xf numFmtId="0" fontId="21" fillId="0" borderId="54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1" fontId="21" fillId="0" borderId="1" xfId="15" applyNumberFormat="1" applyFont="1" applyFill="1" applyBorder="1" applyAlignment="1">
      <alignment horizontal="center"/>
    </xf>
    <xf numFmtId="172" fontId="39" fillId="0" borderId="15" xfId="15" applyNumberFormat="1" applyFont="1" applyFill="1" applyBorder="1" applyAlignment="1">
      <alignment horizontal="center"/>
    </xf>
    <xf numFmtId="172" fontId="21" fillId="0" borderId="43" xfId="15" applyNumberFormat="1" applyFont="1" applyFill="1" applyBorder="1" applyAlignment="1">
      <alignment horizontal="center"/>
    </xf>
    <xf numFmtId="166" fontId="21" fillId="0" borderId="42" xfId="1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14" fontId="21" fillId="2" borderId="43" xfId="0" applyNumberFormat="1" applyFont="1" applyFill="1" applyBorder="1" applyAlignment="1">
      <alignment horizontal="center"/>
    </xf>
    <xf numFmtId="172" fontId="39" fillId="2" borderId="42" xfId="15" applyNumberFormat="1" applyFont="1" applyFill="1" applyBorder="1"/>
    <xf numFmtId="14" fontId="0" fillId="0" borderId="14" xfId="0" applyNumberFormat="1" applyBorder="1" applyAlignment="1">
      <alignment horizontal="center"/>
    </xf>
    <xf numFmtId="172" fontId="39" fillId="0" borderId="15" xfId="15" applyNumberFormat="1" applyFont="1" applyFill="1" applyBorder="1" applyAlignment="1"/>
    <xf numFmtId="172" fontId="21" fillId="0" borderId="14" xfId="15" applyNumberFormat="1" applyFont="1" applyFill="1" applyBorder="1" applyAlignment="1">
      <alignment horizontal="center"/>
    </xf>
    <xf numFmtId="166" fontId="21" fillId="0" borderId="15" xfId="1" applyFont="1" applyFill="1" applyBorder="1" applyAlignment="1">
      <alignment horizontal="center"/>
    </xf>
    <xf numFmtId="0" fontId="39" fillId="0" borderId="14" xfId="0" applyFont="1" applyFill="1" applyBorder="1" applyAlignment="1">
      <alignment horizontal="center"/>
    </xf>
    <xf numFmtId="172" fontId="39" fillId="2" borderId="18" xfId="15" applyNumberFormat="1" applyFont="1" applyFill="1" applyBorder="1"/>
    <xf numFmtId="0" fontId="21" fillId="0" borderId="20" xfId="0" applyFont="1" applyFill="1" applyBorder="1" applyAlignment="1">
      <alignment horizontal="left"/>
    </xf>
    <xf numFmtId="0" fontId="39" fillId="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9" fillId="2" borderId="1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39" fillId="2" borderId="54" xfId="0" applyFont="1" applyFill="1" applyBorder="1" applyAlignment="1">
      <alignment horizontal="left"/>
    </xf>
    <xf numFmtId="0" fontId="21" fillId="0" borderId="54" xfId="0" applyFont="1" applyFill="1" applyBorder="1" applyAlignment="1">
      <alignment horizontal="left"/>
    </xf>
    <xf numFmtId="0" fontId="39" fillId="0" borderId="1" xfId="0" applyFont="1" applyFill="1" applyBorder="1" applyAlignment="1">
      <alignment horizontal="left" vertical="center"/>
    </xf>
    <xf numFmtId="0" fontId="21" fillId="0" borderId="17" xfId="0" applyFont="1" applyFill="1" applyBorder="1" applyAlignment="1">
      <alignment horizontal="left"/>
    </xf>
    <xf numFmtId="0" fontId="9" fillId="2" borderId="1" xfId="3" applyFont="1" applyFill="1" applyBorder="1" applyAlignment="1">
      <alignment horizontal="left" vertical="center"/>
    </xf>
    <xf numFmtId="0" fontId="9" fillId="2" borderId="20" xfId="3" applyFont="1" applyFill="1" applyBorder="1" applyAlignment="1">
      <alignment horizontal="left" vertical="center"/>
    </xf>
    <xf numFmtId="0" fontId="9" fillId="2" borderId="17" xfId="3" applyFont="1" applyFill="1" applyBorder="1" applyAlignment="1">
      <alignment horizontal="left" vertical="center"/>
    </xf>
    <xf numFmtId="0" fontId="32" fillId="9" borderId="12" xfId="0" applyFont="1" applyFill="1" applyBorder="1" applyAlignment="1">
      <alignment horizontal="center"/>
    </xf>
    <xf numFmtId="166" fontId="8" fillId="13" borderId="26" xfId="1" applyNumberFormat="1" applyFont="1" applyFill="1" applyBorder="1" applyAlignment="1">
      <alignment horizontal="center" vertical="center" wrapText="1"/>
    </xf>
    <xf numFmtId="0" fontId="38" fillId="0" borderId="54" xfId="0" applyFont="1" applyFill="1" applyBorder="1"/>
    <xf numFmtId="0" fontId="38" fillId="0" borderId="51" xfId="0" applyFont="1" applyFill="1" applyBorder="1"/>
    <xf numFmtId="0" fontId="38" fillId="0" borderId="50" xfId="0" applyFont="1" applyFill="1" applyBorder="1" applyAlignment="1">
      <alignment horizontal="center"/>
    </xf>
    <xf numFmtId="0" fontId="38" fillId="0" borderId="3" xfId="0" applyFont="1" applyFill="1" applyBorder="1"/>
    <xf numFmtId="44" fontId="21" fillId="8" borderId="1" xfId="15" applyNumberFormat="1" applyFont="1" applyFill="1" applyBorder="1" applyAlignment="1">
      <alignment vertical="center" wrapText="1"/>
    </xf>
    <xf numFmtId="44" fontId="21" fillId="8" borderId="1" xfId="15" applyNumberFormat="1" applyFont="1" applyFill="1" applyBorder="1"/>
    <xf numFmtId="179" fontId="0" fillId="0" borderId="0" xfId="0" applyNumberFormat="1" applyFont="1" applyAlignment="1">
      <alignment horizontal="center"/>
    </xf>
    <xf numFmtId="179" fontId="0" fillId="0" borderId="0" xfId="0" applyNumberFormat="1" applyFont="1" applyFill="1" applyAlignment="1">
      <alignment horizontal="center"/>
    </xf>
    <xf numFmtId="179" fontId="0" fillId="0" borderId="65" xfId="0" applyNumberFormat="1" applyFont="1" applyFill="1" applyBorder="1" applyAlignment="1">
      <alignment horizontal="center"/>
    </xf>
    <xf numFmtId="179" fontId="0" fillId="0" borderId="0" xfId="0" applyNumberFormat="1" applyFont="1" applyFill="1" applyBorder="1" applyAlignment="1">
      <alignment horizontal="center"/>
    </xf>
    <xf numFmtId="179" fontId="57" fillId="17" borderId="60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182" fontId="53" fillId="0" borderId="0" xfId="0" applyNumberFormat="1" applyFont="1" applyFill="1" applyBorder="1" applyAlignment="1">
      <alignment horizontal="center"/>
    </xf>
    <xf numFmtId="182" fontId="16" fillId="0" borderId="0" xfId="0" applyNumberFormat="1" applyFont="1" applyFill="1" applyBorder="1" applyAlignment="1">
      <alignment horizontal="center"/>
    </xf>
    <xf numFmtId="183" fontId="16" fillId="0" borderId="0" xfId="0" applyNumberFormat="1" applyFont="1" applyFill="1" applyBorder="1" applyAlignment="1">
      <alignment horizontal="center" vertical="center" wrapText="1" shrinkToFit="1"/>
    </xf>
    <xf numFmtId="0" fontId="1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9" fontId="16" fillId="0" borderId="0" xfId="0" applyNumberFormat="1" applyFont="1" applyFill="1" applyAlignment="1">
      <alignment horizontal="center"/>
    </xf>
    <xf numFmtId="179" fontId="44" fillId="8" borderId="60" xfId="0" applyNumberFormat="1" applyFont="1" applyFill="1" applyBorder="1" applyAlignment="1">
      <alignment horizontal="center"/>
    </xf>
    <xf numFmtId="0" fontId="42" fillId="8" borderId="1" xfId="0" applyFont="1" applyFill="1" applyBorder="1" applyAlignment="1">
      <alignment horizontal="center"/>
    </xf>
    <xf numFmtId="44" fontId="16" fillId="0" borderId="0" xfId="0" applyNumberFormat="1" applyFont="1" applyFill="1" applyAlignment="1">
      <alignment horizontal="center"/>
    </xf>
    <xf numFmtId="179" fontId="57" fillId="0" borderId="0" xfId="0" applyNumberFormat="1" applyFont="1" applyFill="1" applyAlignment="1">
      <alignment horizontal="center"/>
    </xf>
    <xf numFmtId="179" fontId="57" fillId="0" borderId="0" xfId="2" applyNumberFormat="1" applyFont="1" applyFill="1"/>
    <xf numFmtId="14" fontId="57" fillId="0" borderId="0" xfId="0" applyNumberFormat="1" applyFont="1" applyFill="1"/>
    <xf numFmtId="0" fontId="57" fillId="0" borderId="0" xfId="0" applyFont="1" applyFill="1"/>
    <xf numFmtId="179" fontId="57" fillId="0" borderId="0" xfId="0" applyNumberFormat="1" applyFont="1" applyFill="1"/>
    <xf numFmtId="0" fontId="5" fillId="2" borderId="7" xfId="3" applyFont="1" applyFill="1" applyBorder="1" applyAlignment="1">
      <alignment horizontal="center"/>
    </xf>
    <xf numFmtId="0" fontId="5" fillId="2" borderId="0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5" fillId="2" borderId="4" xfId="3" applyFont="1" applyFill="1" applyBorder="1" applyAlignment="1">
      <alignment horizont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12" fillId="9" borderId="26" xfId="0" applyFont="1" applyFill="1" applyBorder="1" applyAlignment="1">
      <alignment horizontal="center"/>
    </xf>
    <xf numFmtId="0" fontId="12" fillId="9" borderId="37" xfId="0" applyFont="1" applyFill="1" applyBorder="1" applyAlignment="1">
      <alignment horizontal="center"/>
    </xf>
    <xf numFmtId="0" fontId="29" fillId="9" borderId="4" xfId="0" applyFont="1" applyFill="1" applyBorder="1" applyAlignment="1">
      <alignment horizontal="center"/>
    </xf>
    <xf numFmtId="0" fontId="29" fillId="9" borderId="5" xfId="0" applyFont="1" applyFill="1" applyBorder="1" applyAlignment="1">
      <alignment horizontal="center"/>
    </xf>
    <xf numFmtId="0" fontId="29" fillId="9" borderId="6" xfId="0" applyFont="1" applyFill="1" applyBorder="1" applyAlignment="1">
      <alignment horizontal="center"/>
    </xf>
    <xf numFmtId="0" fontId="29" fillId="9" borderId="12" xfId="0" applyFont="1" applyFill="1" applyBorder="1" applyAlignment="1">
      <alignment horizontal="center"/>
    </xf>
    <xf numFmtId="0" fontId="29" fillId="9" borderId="9" xfId="0" applyFont="1" applyFill="1" applyBorder="1" applyAlignment="1">
      <alignment horizontal="center"/>
    </xf>
    <xf numFmtId="0" fontId="29" fillId="9" borderId="13" xfId="0" applyFont="1" applyFill="1" applyBorder="1" applyAlignment="1">
      <alignment horizontal="center"/>
    </xf>
    <xf numFmtId="166" fontId="28" fillId="9" borderId="26" xfId="1" applyNumberFormat="1" applyFont="1" applyFill="1" applyBorder="1" applyAlignment="1">
      <alignment horizontal="center" vertical="center" wrapText="1" shrinkToFit="1"/>
    </xf>
    <xf numFmtId="166" fontId="28" fillId="9" borderId="37" xfId="1" applyNumberFormat="1" applyFont="1" applyFill="1" applyBorder="1" applyAlignment="1">
      <alignment horizontal="center" vertical="center" wrapText="1" shrinkToFit="1"/>
    </xf>
    <xf numFmtId="166" fontId="28" fillId="9" borderId="27" xfId="1" applyNumberFormat="1" applyFont="1" applyFill="1" applyBorder="1" applyAlignment="1">
      <alignment horizontal="center" vertical="center" wrapText="1" shrinkToFit="1"/>
    </xf>
    <xf numFmtId="166" fontId="6" fillId="9" borderId="50" xfId="1" applyNumberFormat="1" applyFont="1" applyFill="1" applyBorder="1" applyAlignment="1">
      <alignment horizontal="center" vertical="center" wrapText="1" shrinkToFit="1"/>
    </xf>
    <xf numFmtId="166" fontId="6" fillId="9" borderId="51" xfId="1" applyNumberFormat="1" applyFont="1" applyFill="1" applyBorder="1" applyAlignment="1">
      <alignment horizontal="center" vertical="center" wrapText="1" shrinkToFit="1"/>
    </xf>
    <xf numFmtId="0" fontId="9" fillId="2" borderId="20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5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166" fontId="10" fillId="6" borderId="11" xfId="1" applyNumberFormat="1" applyFont="1" applyFill="1" applyBorder="1" applyAlignment="1">
      <alignment horizontal="center" vertical="center" wrapText="1" shrinkToFit="1"/>
    </xf>
    <xf numFmtId="166" fontId="10" fillId="6" borderId="8" xfId="1" applyNumberFormat="1" applyFont="1" applyFill="1" applyBorder="1" applyAlignment="1">
      <alignment horizontal="center" vertical="center" wrapText="1" shrinkToFit="1"/>
    </xf>
    <xf numFmtId="0" fontId="22" fillId="9" borderId="30" xfId="0" applyFont="1" applyFill="1" applyBorder="1" applyAlignment="1">
      <alignment horizontal="center"/>
    </xf>
    <xf numFmtId="0" fontId="22" fillId="9" borderId="39" xfId="0" applyFont="1" applyFill="1" applyBorder="1" applyAlignment="1">
      <alignment horizontal="center"/>
    </xf>
    <xf numFmtId="0" fontId="22" fillId="9" borderId="31" xfId="0" applyFont="1" applyFill="1" applyBorder="1" applyAlignment="1">
      <alignment horizontal="center"/>
    </xf>
    <xf numFmtId="166" fontId="8" fillId="0" borderId="0" xfId="1" applyFont="1" applyBorder="1" applyAlignment="1">
      <alignment horizontal="center" vertical="center" wrapText="1" shrinkToFit="1"/>
    </xf>
    <xf numFmtId="166" fontId="28" fillId="10" borderId="30" xfId="1" applyNumberFormat="1" applyFont="1" applyFill="1" applyBorder="1" applyAlignment="1">
      <alignment horizontal="center" vertical="center" wrapText="1" shrinkToFit="1"/>
    </xf>
    <xf numFmtId="166" fontId="28" fillId="10" borderId="31" xfId="1" applyNumberFormat="1" applyFont="1" applyFill="1" applyBorder="1" applyAlignment="1">
      <alignment horizontal="center" vertical="center" wrapText="1" shrinkToFit="1"/>
    </xf>
    <xf numFmtId="166" fontId="8" fillId="0" borderId="0" xfId="1" applyFont="1" applyFill="1" applyAlignment="1">
      <alignment horizontal="center" vertical="center"/>
    </xf>
    <xf numFmtId="166" fontId="28" fillId="10" borderId="26" xfId="1" applyNumberFormat="1" applyFont="1" applyFill="1" applyBorder="1" applyAlignment="1">
      <alignment horizontal="center" vertical="center" wrapText="1" shrinkToFit="1"/>
    </xf>
    <xf numFmtId="166" fontId="28" fillId="10" borderId="27" xfId="1" applyNumberFormat="1" applyFont="1" applyFill="1" applyBorder="1" applyAlignment="1">
      <alignment horizontal="center" vertical="center" wrapText="1" shrinkToFit="1"/>
    </xf>
    <xf numFmtId="166" fontId="8" fillId="9" borderId="26" xfId="1" applyNumberFormat="1" applyFont="1" applyFill="1" applyBorder="1" applyAlignment="1">
      <alignment horizontal="center" vertical="center" wrapText="1"/>
    </xf>
    <xf numFmtId="166" fontId="8" fillId="9" borderId="37" xfId="1" applyNumberFormat="1" applyFont="1" applyFill="1" applyBorder="1" applyAlignment="1">
      <alignment horizontal="center" vertical="center" wrapText="1"/>
    </xf>
    <xf numFmtId="166" fontId="8" fillId="9" borderId="27" xfId="1" applyNumberFormat="1" applyFont="1" applyFill="1" applyBorder="1" applyAlignment="1">
      <alignment horizontal="center" vertical="center" wrapText="1"/>
    </xf>
    <xf numFmtId="166" fontId="28" fillId="9" borderId="30" xfId="1" applyNumberFormat="1" applyFont="1" applyFill="1" applyBorder="1" applyAlignment="1">
      <alignment horizontal="center" vertical="center" wrapText="1"/>
    </xf>
    <xf numFmtId="166" fontId="28" fillId="9" borderId="39" xfId="1" applyNumberFormat="1" applyFont="1" applyFill="1" applyBorder="1" applyAlignment="1">
      <alignment horizontal="center" vertical="center" wrapText="1"/>
    </xf>
    <xf numFmtId="166" fontId="28" fillId="9" borderId="31" xfId="1" applyNumberFormat="1" applyFont="1" applyFill="1" applyBorder="1" applyAlignment="1">
      <alignment horizontal="center" vertical="center" wrapText="1"/>
    </xf>
    <xf numFmtId="166" fontId="8" fillId="9" borderId="12" xfId="1" applyNumberFormat="1" applyFont="1" applyFill="1" applyBorder="1" applyAlignment="1">
      <alignment horizontal="center" vertical="center" wrapText="1"/>
    </xf>
    <xf numFmtId="166" fontId="8" fillId="9" borderId="23" xfId="1" applyNumberFormat="1" applyFont="1" applyFill="1" applyBorder="1" applyAlignment="1">
      <alignment horizontal="center" vertical="center" wrapText="1"/>
    </xf>
    <xf numFmtId="168" fontId="28" fillId="8" borderId="30" xfId="2" applyNumberFormat="1" applyFont="1" applyFill="1" applyBorder="1" applyAlignment="1">
      <alignment horizontal="center" vertical="center" wrapText="1" shrinkToFit="1"/>
    </xf>
    <xf numFmtId="168" fontId="28" fillId="8" borderId="39" xfId="2" applyNumberFormat="1" applyFont="1" applyFill="1" applyBorder="1" applyAlignment="1">
      <alignment horizontal="center" vertical="center" wrapText="1" shrinkToFit="1"/>
    </xf>
    <xf numFmtId="168" fontId="28" fillId="8" borderId="31" xfId="2" applyNumberFormat="1" applyFont="1" applyFill="1" applyBorder="1" applyAlignment="1">
      <alignment horizontal="center" vertical="center" wrapText="1" shrinkToFit="1"/>
    </xf>
    <xf numFmtId="168" fontId="5" fillId="14" borderId="30" xfId="2" applyNumberFormat="1" applyFont="1" applyFill="1" applyBorder="1" applyAlignment="1">
      <alignment horizontal="center" vertical="center" wrapText="1" shrinkToFit="1"/>
    </xf>
    <xf numFmtId="168" fontId="5" fillId="14" borderId="39" xfId="2" applyNumberFormat="1" applyFont="1" applyFill="1" applyBorder="1" applyAlignment="1">
      <alignment horizontal="center" vertical="center" wrapText="1" shrinkToFit="1"/>
    </xf>
    <xf numFmtId="168" fontId="5" fillId="14" borderId="31" xfId="2" applyNumberFormat="1" applyFont="1" applyFill="1" applyBorder="1" applyAlignment="1">
      <alignment horizontal="center" vertical="center" wrapText="1" shrinkToFit="1"/>
    </xf>
    <xf numFmtId="166" fontId="8" fillId="9" borderId="30" xfId="1" applyFont="1" applyFill="1" applyBorder="1" applyAlignment="1">
      <alignment horizontal="center" vertical="center" wrapText="1" shrinkToFit="1"/>
    </xf>
    <xf numFmtId="166" fontId="8" fillId="9" borderId="39" xfId="1" applyFont="1" applyFill="1" applyBorder="1" applyAlignment="1">
      <alignment horizontal="center" vertical="center" wrapText="1" shrinkToFit="1"/>
    </xf>
    <xf numFmtId="166" fontId="8" fillId="9" borderId="31" xfId="1" applyFont="1" applyFill="1" applyBorder="1" applyAlignment="1">
      <alignment horizontal="center" vertical="center" wrapText="1" shrinkToFit="1"/>
    </xf>
    <xf numFmtId="166" fontId="27" fillId="8" borderId="19" xfId="1" applyNumberFormat="1" applyFont="1" applyFill="1" applyBorder="1" applyAlignment="1">
      <alignment horizontal="center" vertical="center" wrapText="1"/>
    </xf>
    <xf numFmtId="166" fontId="27" fillId="8" borderId="20" xfId="1" applyNumberFormat="1" applyFont="1" applyFill="1" applyBorder="1" applyAlignment="1">
      <alignment horizontal="center" vertical="center" wrapText="1"/>
    </xf>
    <xf numFmtId="166" fontId="27" fillId="8" borderId="21" xfId="1" applyNumberFormat="1" applyFont="1" applyFill="1" applyBorder="1" applyAlignment="1">
      <alignment horizontal="center" vertical="center" wrapText="1"/>
    </xf>
    <xf numFmtId="0" fontId="33" fillId="8" borderId="26" xfId="0" applyFont="1" applyFill="1" applyBorder="1" applyAlignment="1">
      <alignment horizontal="center"/>
    </xf>
    <xf numFmtId="0" fontId="33" fillId="8" borderId="37" xfId="0" applyFont="1" applyFill="1" applyBorder="1" applyAlignment="1">
      <alignment horizontal="center"/>
    </xf>
    <xf numFmtId="0" fontId="33" fillId="8" borderId="27" xfId="0" applyFont="1" applyFill="1" applyBorder="1" applyAlignment="1">
      <alignment horizontal="center"/>
    </xf>
    <xf numFmtId="0" fontId="32" fillId="8" borderId="26" xfId="0" applyFont="1" applyFill="1" applyBorder="1" applyAlignment="1">
      <alignment horizontal="center"/>
    </xf>
    <xf numFmtId="0" fontId="32" fillId="8" borderId="37" xfId="0" applyFont="1" applyFill="1" applyBorder="1" applyAlignment="1">
      <alignment horizontal="center"/>
    </xf>
    <xf numFmtId="0" fontId="32" fillId="8" borderId="27" xfId="0" applyFont="1" applyFill="1" applyBorder="1" applyAlignment="1">
      <alignment horizontal="center"/>
    </xf>
    <xf numFmtId="0" fontId="38" fillId="0" borderId="2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0" borderId="56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43" fillId="16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55" fillId="16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45" fillId="16" borderId="0" xfId="0" applyFont="1" applyFill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</cellXfs>
  <cellStyles count="18">
    <cellStyle name="Millares" xfId="1" builtinId="3"/>
    <cellStyle name="Millares [0] 2" xfId="6"/>
    <cellStyle name="Millares 2" xfId="4"/>
    <cellStyle name="Millares 3" xfId="7"/>
    <cellStyle name="Millares 4" xfId="8"/>
    <cellStyle name="Millares 5" xfId="9"/>
    <cellStyle name="Moneda" xfId="2" builtinId="4"/>
    <cellStyle name="Moneda 2" xfId="10"/>
    <cellStyle name="Moneda 3" xfId="11"/>
    <cellStyle name="Moneda 3 2" xfId="17"/>
    <cellStyle name="Moneda 4" xfId="14"/>
    <cellStyle name="Moneda 5" xfId="15"/>
    <cellStyle name="Moneda 6" xfId="16"/>
    <cellStyle name="Normal" xfId="0" builtinId="0"/>
    <cellStyle name="Normal 2" xfId="3"/>
    <cellStyle name="Normal 2 2" xfId="5"/>
    <cellStyle name="Normal 3" xfId="12"/>
    <cellStyle name="Normal 4" xfId="13"/>
  </cellStyles>
  <dxfs count="5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</dxf>
    <dxf>
      <numFmt numFmtId="179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79" formatCode="_-&quot;$&quot;* #,##0_-;\-&quot;$&quot;* #,##0_-;_-&quot;$&quot;* &quot;-&quot;??_-;_-@_-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79" formatCode="_-&quot;$&quot;* #,##0_-;\-&quot;$&quot;* #,##0_-;_-&quot;$&quot;* &quot;-&quot;??_-;_-@_-"/>
      <fill>
        <patternFill patternType="none">
          <bgColor auto="1"/>
        </patternFill>
      </fill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79" formatCode="_-&quot;$&quot;* #,##0_-;\-&quot;$&quot;* #,##0_-;_-&quot;$&quot;* &quot;-&quot;??_-;_-@_-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79" formatCode="_-&quot;$&quot;* #,##0_-;\-&quot;$&quot;* #,##0_-;_-&quot;$&quot;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7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7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alignment horizont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_(&quot;$&quot;\ * #,##0_);_(&quot;$&quot;\ * \(#,##0\);_(&quot;$&quot;\ * &quot;-&quot;??_);_(@_)"/>
      <alignment horizontal="center" vertical="center" textRotation="0" indent="0" justifyLastLine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(* #,##0.00_);_(* \(#,##0.00\);_(* &quot;-&quot;??_);_(@_)"/>
      <alignment horizontal="center" vertic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(* #,##0.00_);_(* \(#,##0.00\);_(* &quot;-&quot;??_);_(@_)"/>
      <alignment horizontal="center" vertic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(* #,##0.00_);_(* \(#,##0.00\);_(* &quot;-&quot;??_);_(@_)"/>
      <alignment horizontal="center" vertical="center" textRotation="0" indent="0" justifyLastLine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6" formatCode="_(* #,##0.00_);_(* \(#,##0.00\);_(* &quot;-&quot;??_);_(@_)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(* #,##0.00_);_(* \(#,##0.00\);_(* &quot;-&quot;??_);_(@_)"/>
      <alignment horizontal="center" vertical="center" textRotation="0" indent="0" justifyLastLine="0" readingOrder="0"/>
      <border diagonalUp="0" diagonalDown="0">
        <left style="thin">
          <color auto="1"/>
        </left>
        <right/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(* #,##0.00_);_(* \(#,##0.00\);_(* &quot;-&quot;??_);_(@_)"/>
      <alignment horizontal="center" vertical="center" textRotation="0" indent="0" justifyLastLine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(* #,##0.00_);_(* \(#,##0.00\);_(* &quot;-&quot;??_);_(@_)"/>
      <alignment horizontal="center" vertical="center" textRotation="0" indent="0" justifyLastLine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indent="0" justifyLastLine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(* #,##0.00_);_(* \(#,##0.00\);_(* &quot;-&quot;??_);_(@_)"/>
      <alignment horizontal="center" vertical="center" textRotation="0" indent="0" justifyLastLine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6" formatCode="_(* #,##0.00_);_(* \(#,##0.00\);_(* &quot;-&quot;??_);_(@_)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_(* #,##0_);_(* \(#,##0\);_(* &quot;-&quot;_);_(@_)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66" formatCode="_(* #,##0.00_);_(* \(#,##0.00\);_(* &quot;-&quot;??_);_(@_)"/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6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1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>
          <bgColor theme="0" tint="-0.14996795556505021"/>
        </patternFill>
      </fill>
    </dxf>
  </dxfs>
  <tableStyles count="2" defaultTableStyle="TableStyleMedium2" defaultPivotStyle="PivotStyleLight16">
    <tableStyle name="Estilo de tabla 1" pivot="0" count="0"/>
    <tableStyle name="Estilo de tabla dinámica 1" table="0" count="1">
      <tableStyleElement type="wholeTable" dxfId="54"/>
    </tableStyle>
  </tableStyles>
  <colors>
    <mruColors>
      <color rgb="FF3399FF"/>
      <color rgb="FF5B16E4"/>
      <color rgb="FF3366CC"/>
      <color rgb="FFFF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57150</xdr:rowOff>
    </xdr:from>
    <xdr:to>
      <xdr:col>0</xdr:col>
      <xdr:colOff>2037998</xdr:colOff>
      <xdr:row>3</xdr:row>
      <xdr:rowOff>171063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57150"/>
          <a:ext cx="1514123" cy="713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899678</xdr:colOff>
      <xdr:row>1</xdr:row>
      <xdr:rowOff>167327</xdr:rowOff>
    </xdr:from>
    <xdr:to>
      <xdr:col>1</xdr:col>
      <xdr:colOff>3170959</xdr:colOff>
      <xdr:row>6</xdr:row>
      <xdr:rowOff>128412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9328" y="367352"/>
          <a:ext cx="2281672" cy="974199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114300</xdr:rowOff>
    </xdr:from>
    <xdr:to>
      <xdr:col>2</xdr:col>
      <xdr:colOff>600075</xdr:colOff>
      <xdr:row>4</xdr:row>
      <xdr:rowOff>85725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3925" y="1257300"/>
          <a:ext cx="1762125" cy="7715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JORGE%20GOMEZ/TERRAJE%202016/JORGE%20GOMEZ%20-%20CREDITO%2020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VENTAS%202015/CONTROL%20DIARIO%202016/CONTROL%20DIARIO%20MARZO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JORGE%20GOMEZ/TERRAJE%202016/JORGE%20GOMEZ%20-%20EFECTIVO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BANCOS/CUENTA%20CORRIENTE%20BANCOLOMBIA/LIBROS%20DE%20BANCO%202016/CONCILIACIONES%20CUENTA%20CORRIEN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VENTAS%202015/CONTROL%20DIARIO%202016/CONTROL%20DIARIO%20MAYO%20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INFORME/INFORMES%202016/ENERO%202016/ENERO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INFORME/INFORMES%202016/FEBRERO%202016/FEBRERO%20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INFORME/INFORMES%202016/MARZO%202016/INFORME%20MARZO%20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INFORME/INFORMES%202016/ABRIL%202016/INFORME%20ABRIL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MOTORADEAGRE\Public\Documents\A&#209;O%202015\JORGE%20GOMEZ\JORGE%20GOMEZ%20-%20CRED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RGE GOMEZ ENERO16"/>
      <sheetName val="JOREGE GOMEZ FEB 16"/>
      <sheetName val="JORGE GOMEZ MAR 16"/>
      <sheetName val="JORGE GOMEZ ABR 16"/>
      <sheetName val="JORGE GOMEZ MAY 16"/>
      <sheetName val="JORGE GOMEZ JUN 16"/>
    </sheetNames>
    <sheetDataSet>
      <sheetData sheetId="0"/>
      <sheetData sheetId="1"/>
      <sheetData sheetId="2"/>
      <sheetData sheetId="3"/>
      <sheetData sheetId="4">
        <row r="23">
          <cell r="E23">
            <v>14478386</v>
          </cell>
        </row>
      </sheetData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IA"/>
      <sheetName val="CONTROL DIARIO"/>
      <sheetName val="RELACION DE GASTO"/>
      <sheetName val="CONTROL EFECTIVO"/>
      <sheetName val="Hoja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S DE LIQUIDACION"/>
      <sheetName val="ENERO 2016"/>
      <sheetName val="FEBRERO 2016"/>
      <sheetName val="MARZO 2016"/>
      <sheetName val="ABRIL 2016"/>
      <sheetName val="MAYO 2016"/>
      <sheetName val="JUNIO 2016"/>
      <sheetName val="JULIO 2016"/>
      <sheetName val="AGOSTO 2016"/>
      <sheetName val="SEPT 2016"/>
      <sheetName val="OCT 2016"/>
      <sheetName val="NOV 2016"/>
      <sheetName val="DIC 2016"/>
    </sheetNames>
    <sheetDataSet>
      <sheetData sheetId="0"/>
      <sheetData sheetId="1"/>
      <sheetData sheetId="2"/>
      <sheetData sheetId="3"/>
      <sheetData sheetId="4"/>
      <sheetData sheetId="5">
        <row r="190">
          <cell r="D190">
            <v>18419970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 2016"/>
      <sheetName val="FEBRERO 2016"/>
      <sheetName val="MARZO 2016"/>
      <sheetName val="ABRIL 2016"/>
      <sheetName val="MAYO 2016"/>
      <sheetName val="JUNIO"/>
      <sheetName val="Hoja1"/>
      <sheetName val="rel juan jose garcia"/>
    </sheetNames>
    <sheetDataSet>
      <sheetData sheetId="0"/>
      <sheetData sheetId="1"/>
      <sheetData sheetId="2"/>
      <sheetData sheetId="3">
        <row r="91">
          <cell r="G91">
            <v>-38856.760000022623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IA"/>
      <sheetName val="CONTROL DIARIO"/>
      <sheetName val="RELACION DE GASTO"/>
      <sheetName val="CONTROL EFECTIVO"/>
    </sheetNames>
    <sheetDataSet>
      <sheetData sheetId="0"/>
      <sheetData sheetId="1"/>
      <sheetData sheetId="2"/>
      <sheetData sheetId="3">
        <row r="23">
          <cell r="K23">
            <v>22380104</v>
          </cell>
        </row>
        <row r="35">
          <cell r="E35">
            <v>24027000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MAYO"/>
      <sheetName val="ENERO 2016"/>
      <sheetName val="VENTAS"/>
      <sheetName val="MAQUINARIA"/>
      <sheetName val="DIFERIDOS"/>
      <sheetName val="TERRAJE"/>
      <sheetName val="C M"/>
      <sheetName val="NOMINA"/>
      <sheetName val="comision gerente"/>
      <sheetName val="LIBRO DE BANCO cta cte"/>
      <sheetName val="CUADRE DE GAST CANTERA Y OFIC"/>
      <sheetName val="LIBRO DE BANCO cta Ahorro"/>
      <sheetName val="Acumulados"/>
    </sheetNames>
    <sheetDataSet>
      <sheetData sheetId="0"/>
      <sheetData sheetId="1">
        <row r="32">
          <cell r="B32">
            <v>9341725.3103124984</v>
          </cell>
        </row>
        <row r="33">
          <cell r="B33">
            <v>2830241</v>
          </cell>
        </row>
        <row r="34">
          <cell r="B34">
            <v>5591484</v>
          </cell>
        </row>
        <row r="48">
          <cell r="B48">
            <v>2074750</v>
          </cell>
        </row>
        <row r="49">
          <cell r="B49">
            <v>562220</v>
          </cell>
        </row>
        <row r="50">
          <cell r="B50">
            <v>114214</v>
          </cell>
        </row>
        <row r="53">
          <cell r="B53">
            <v>729500</v>
          </cell>
        </row>
        <row r="55">
          <cell r="D55">
            <v>138061467.51057637</v>
          </cell>
        </row>
        <row r="57">
          <cell r="D57">
            <v>13806146.751057638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MAYO"/>
      <sheetName val="FEBRERO 2016"/>
      <sheetName val="VENTAS"/>
      <sheetName val="MAQUINARIA"/>
      <sheetName val="DIFERIDOS"/>
      <sheetName val="TERRAJE"/>
      <sheetName val="C M"/>
      <sheetName val="comision gerente"/>
      <sheetName val="NOMINA"/>
      <sheetName val="LIBRO DE BANCO cta cte"/>
      <sheetName val="CUADRE DE GAST CANTERA Y OFIC"/>
      <sheetName val="LIBRO DE BANCO cta Ahorro"/>
      <sheetName val="Acumulados"/>
    </sheetNames>
    <sheetDataSet>
      <sheetData sheetId="0"/>
      <sheetData sheetId="1">
        <row r="17">
          <cell r="C17">
            <v>8928948.5522222221</v>
          </cell>
        </row>
        <row r="33">
          <cell r="B33">
            <v>9937258.1341666654</v>
          </cell>
        </row>
        <row r="34">
          <cell r="B34">
            <v>2774673</v>
          </cell>
        </row>
        <row r="42">
          <cell r="B42">
            <v>1158300</v>
          </cell>
        </row>
        <row r="43">
          <cell r="B43">
            <v>1150000</v>
          </cell>
        </row>
        <row r="44">
          <cell r="C44">
            <v>21966340.576000001</v>
          </cell>
        </row>
        <row r="47">
          <cell r="C47">
            <v>28487367</v>
          </cell>
        </row>
        <row r="52">
          <cell r="B52">
            <v>2195000</v>
          </cell>
        </row>
        <row r="57">
          <cell r="B57">
            <v>698269</v>
          </cell>
        </row>
        <row r="58">
          <cell r="D58">
            <v>-34681619.262388885</v>
          </cell>
        </row>
        <row r="60">
          <cell r="D60">
            <v>-3468161.9262388889</v>
          </cell>
        </row>
      </sheetData>
      <sheetData sheetId="2"/>
      <sheetData sheetId="3"/>
      <sheetData sheetId="4"/>
      <sheetData sheetId="5"/>
      <sheetData sheetId="6"/>
      <sheetData sheetId="7">
        <row r="8">
          <cell r="E8">
            <v>975870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MAYO"/>
      <sheetName val="MARZO 2016"/>
      <sheetName val="VENTAS"/>
      <sheetName val="MAQUINARIA"/>
      <sheetName val="DIFERIDOS"/>
      <sheetName val="TERRAJE"/>
      <sheetName val="C M"/>
      <sheetName val="comision gerente"/>
      <sheetName val="NOMINA"/>
      <sheetName val="LIBRO DE BANCO cta cte"/>
      <sheetName val="CUADRE DE GAST CANTERA Y OFIC"/>
      <sheetName val="LIBRO DE BANCO cta Ahorro"/>
      <sheetName val="Acumulados"/>
    </sheetNames>
    <sheetDataSet>
      <sheetData sheetId="0"/>
      <sheetData sheetId="1">
        <row r="17">
          <cell r="C17">
            <v>8928948.5522222221</v>
          </cell>
        </row>
        <row r="33">
          <cell r="B33">
            <v>8063882.5800000001</v>
          </cell>
        </row>
        <row r="34">
          <cell r="B34">
            <v>2456546</v>
          </cell>
        </row>
        <row r="43">
          <cell r="C43">
            <v>26588624</v>
          </cell>
        </row>
        <row r="46">
          <cell r="C46">
            <v>27184701</v>
          </cell>
        </row>
        <row r="52">
          <cell r="B52">
            <v>2195375</v>
          </cell>
        </row>
        <row r="56">
          <cell r="B56">
            <v>698269</v>
          </cell>
        </row>
        <row r="58">
          <cell r="D58">
            <v>-6063634.4122222066</v>
          </cell>
        </row>
        <row r="60">
          <cell r="D60">
            <v>-606363.44122222066</v>
          </cell>
        </row>
      </sheetData>
      <sheetData sheetId="2"/>
      <sheetData sheetId="3"/>
      <sheetData sheetId="4"/>
      <sheetData sheetId="5"/>
      <sheetData sheetId="6"/>
      <sheetData sheetId="7">
        <row r="8">
          <cell r="E8">
            <v>1394364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MAYO"/>
      <sheetName val="ABRIL 2016"/>
      <sheetName val="VENTAS"/>
      <sheetName val="MAQUINARIA"/>
      <sheetName val="DIFERIDOS"/>
      <sheetName val="TERRAJE"/>
      <sheetName val="C M"/>
      <sheetName val="comision gerente"/>
      <sheetName val="NOMINA"/>
      <sheetName val="LIBRO DE BANCO cta cte"/>
      <sheetName val="CUADRE DE GAST CANTERA Y OFIC"/>
      <sheetName val="LIBRO DE BANCO cta Ahorro"/>
      <sheetName val="Acumulados"/>
    </sheetNames>
    <sheetDataSet>
      <sheetData sheetId="0"/>
      <sheetData sheetId="1">
        <row r="17">
          <cell r="C17">
            <v>2044448.5522222223</v>
          </cell>
        </row>
        <row r="33">
          <cell r="B33">
            <v>10701265.751604166</v>
          </cell>
        </row>
        <row r="34">
          <cell r="B34">
            <v>2167526</v>
          </cell>
        </row>
        <row r="35">
          <cell r="B35">
            <v>2002200</v>
          </cell>
        </row>
        <row r="46">
          <cell r="C46">
            <v>30756610</v>
          </cell>
        </row>
        <row r="51">
          <cell r="B51">
            <v>2190000</v>
          </cell>
        </row>
        <row r="56">
          <cell r="B56">
            <v>861655</v>
          </cell>
        </row>
        <row r="59">
          <cell r="D59">
            <v>58278230.096173614</v>
          </cell>
        </row>
        <row r="61">
          <cell r="D61">
            <v>5827823.0096173622</v>
          </cell>
        </row>
      </sheetData>
      <sheetData sheetId="2"/>
      <sheetData sheetId="3"/>
      <sheetData sheetId="4"/>
      <sheetData sheetId="5">
        <row r="9">
          <cell r="D9">
            <v>44371284</v>
          </cell>
        </row>
      </sheetData>
      <sheetData sheetId="6"/>
      <sheetData sheetId="7"/>
      <sheetData sheetId="8"/>
      <sheetData sheetId="9"/>
      <sheetData sheetId="10">
        <row r="59">
          <cell r="G59">
            <v>250000</v>
          </cell>
        </row>
        <row r="96">
          <cell r="G96">
            <v>1500000</v>
          </cell>
        </row>
        <row r="181">
          <cell r="G181">
            <v>5500000</v>
          </cell>
        </row>
      </sheetData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RGE GOMEZ ENERO15"/>
      <sheetName val="JORGE GOMEZ FEBRERO15"/>
      <sheetName val="JORGE GOMEZ MARZO 15"/>
      <sheetName val="JORGE GOMEZ ABRIL-15"/>
      <sheetName val="JORGE GOMEZ MAYO-15"/>
      <sheetName val="JORGE GOMEZ JUNIO - 15"/>
      <sheetName val="JORGE GOMEZ JULIO - 15"/>
      <sheetName val="JORGE GOMEZ AGOSTO - 15"/>
      <sheetName val="JORGE GOMEZ SEPT"/>
      <sheetName val="JORGE GOMEZ OCT"/>
      <sheetName val="NOVIEMBRE 15"/>
      <sheetName val="DICIEMBRE 15"/>
      <sheetName val="Hoja1"/>
    </sheetNames>
    <sheetDataSet>
      <sheetData sheetId="0"/>
      <sheetData sheetId="1">
        <row r="26">
          <cell r="E26">
            <v>3678449.1719999998</v>
          </cell>
        </row>
      </sheetData>
      <sheetData sheetId="2">
        <row r="18">
          <cell r="N18">
            <v>10970732.800000001</v>
          </cell>
        </row>
      </sheetData>
      <sheetData sheetId="3">
        <row r="32">
          <cell r="E32">
            <v>975000</v>
          </cell>
        </row>
      </sheetData>
      <sheetData sheetId="4"/>
      <sheetData sheetId="5">
        <row r="20">
          <cell r="M20">
            <v>98485194.800000116</v>
          </cell>
        </row>
      </sheetData>
      <sheetData sheetId="6">
        <row r="20">
          <cell r="M20">
            <v>98485194.800000116</v>
          </cell>
        </row>
      </sheetData>
      <sheetData sheetId="7"/>
      <sheetData sheetId="8"/>
      <sheetData sheetId="9"/>
      <sheetData sheetId="10">
        <row r="24">
          <cell r="E24">
            <v>38263202</v>
          </cell>
        </row>
      </sheetData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Tabla32" displayName="Tabla32" ref="B4:D8" totalsRowShown="0" headerRowDxfId="53" dataDxfId="51" headerRowBorderDxfId="52" tableBorderDxfId="50" headerRowCellStyle="Millares">
  <tableColumns count="3">
    <tableColumn id="1" name="TERCERO" dataDxfId="49"/>
    <tableColumn id="2" name="DESCRIPCION" dataDxfId="48" dataCellStyle="Millares"/>
    <tableColumn id="3" name="VALOR" dataDxfId="47" dataCellStyle="Moneda">
      <calculatedColumnFormula>'[9]JORGE GOMEZ FEBRERO15'!$E$26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4" name="Tabla435" displayName="Tabla435" ref="C4:H15" totalsRowShown="0" headerRowDxfId="46" dataDxfId="44" headerRowBorderDxfId="45" tableBorderDxfId="43" headerRowCellStyle="Millares">
  <tableColumns count="6">
    <tableColumn id="1" name="NOMBRE" dataDxfId="42" dataCellStyle="Millares"/>
    <tableColumn id="2" name="CARGO" dataDxfId="41" dataCellStyle="Millares"/>
    <tableColumn id="11" name="SALARIO" dataDxfId="40"/>
    <tableColumn id="3" name="1Q SEPT" dataDxfId="39"/>
    <tableColumn id="4" name="2Q SEPT" dataDxfId="38"/>
    <tableColumn id="5" name="TOTAL" dataDxfId="37">
      <calculatedColumnFormula>Tabla435[[#This Row],[1Q SEPT]]+Tabla435[[#This Row],[2Q SEPT]]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2" name="Tabla4353" displayName="Tabla4353" ref="C19:H22" totalsRowShown="0" headerRowDxfId="36" dataDxfId="34" headerRowBorderDxfId="35" tableBorderDxfId="33" headerRowCellStyle="Millares">
  <tableColumns count="6">
    <tableColumn id="1" name="NOMBRE" dataDxfId="32" dataCellStyle="Millares"/>
    <tableColumn id="2" name="CARGO" dataDxfId="31" dataCellStyle="Millares"/>
    <tableColumn id="11" name="SALARIO" dataDxfId="30"/>
    <tableColumn id="3" name="1Q JUNIO" dataDxfId="29"/>
    <tableColumn id="4" name="2Q JUNIO" dataDxfId="28"/>
    <tableColumn id="5" name="TOTAL" dataDxfId="27">
      <calculatedColumnFormula>Tabla4353[[#This Row],[1Q JUNIO]]+Tabla4353[[#This Row],[2Q JUNIO]]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3" name="Tabla26" displayName="Tabla26" ref="C5:I139" totalsRowShown="0" headerRowDxfId="26" dataDxfId="25">
  <autoFilter ref="C5:I139"/>
  <tableColumns count="7">
    <tableColumn id="1" name="FECHA" dataDxfId="24"/>
    <tableColumn id="2" name="TERCERO" dataDxfId="23"/>
    <tableColumn id="3" name="DESCRIPCION" dataDxfId="22"/>
    <tableColumn id="7" name="CC" dataDxfId="21"/>
    <tableColumn id="4" name="DEBITO" dataDxfId="20"/>
    <tableColumn id="5" name="CREDITO" dataDxfId="19" dataCellStyle="Moneda"/>
    <tableColumn id="6" name="SALDO " dataDxfId="18" dataCellStyle="Moneda">
      <calculatedColumnFormula>+'[10]RELACION DE GASTO'!#REF!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la3" displayName="Tabla3" ref="F144:G148" totalsRowShown="0" headerRowBorderDxfId="17" tableBorderDxfId="16" totalsRowBorderDxfId="15">
  <autoFilter ref="F144:G148"/>
  <tableColumns count="2">
    <tableColumn id="1" name="CONCEPTO" dataDxfId="14"/>
    <tableColumn id="2" name="VALOR" dataDxfId="13" dataCellStyle="Moned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a2" displayName="Tabla2" ref="B5:H33" totalsRowShown="0" headerRowDxfId="12" dataDxfId="11">
  <autoFilter ref="B5:H33"/>
  <tableColumns count="7">
    <tableColumn id="1" name="FECHA" dataDxfId="10"/>
    <tableColumn id="2" name="TERCERO" dataDxfId="9"/>
    <tableColumn id="3" name="DESCRIPCION" dataDxfId="8"/>
    <tableColumn id="4" name="DEBITO" dataDxfId="7"/>
    <tableColumn id="7" name="CC" dataDxfId="6"/>
    <tableColumn id="5" name="CREDITO" dataDxfId="5" dataCellStyle="Moneda"/>
    <tableColumn id="6" name="SALDO " dataDxfId="4" dataCellStyle="Moneda">
      <calculatedColumnFormula>+H5+Tabla2[[#This Row],[DEBITO]]-Tabla2[[#This Row],[CREDITO]]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a4" displayName="Tabla4" ref="J5:L21" totalsRowShown="0" headerRowDxfId="3">
  <autoFilter ref="J5:L21"/>
  <tableColumns count="3">
    <tableColumn id="1" name="FECHA" dataDxfId="2"/>
    <tableColumn id="2" name="VALOR" dataDxfId="1" dataCellStyle="Moneda"/>
    <tableColumn id="3" name="DESCRIPCION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Chincheta">
      <a:majorFont>
        <a:latin typeface="Constantia"/>
        <a:ea typeface=""/>
        <a:cs typeface=""/>
        <a:font script="Jpan" typeface="HGS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Grek" typeface="Arial"/>
        <a:font script="Cyrl" typeface="Arial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lsticio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>
      <selection activeCell="E22" sqref="E22"/>
    </sheetView>
  </sheetViews>
  <sheetFormatPr baseColWidth="10" defaultRowHeight="15.75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1"/>
  <sheetViews>
    <sheetView topLeftCell="B1" zoomScale="110" zoomScaleNormal="110" workbookViewId="0">
      <selection activeCell="E33" sqref="E33"/>
    </sheetView>
  </sheetViews>
  <sheetFormatPr baseColWidth="10" defaultRowHeight="16.5" x14ac:dyDescent="0.3"/>
  <cols>
    <col min="1" max="1" width="11.77734375" style="285" customWidth="1"/>
    <col min="2" max="2" width="41.77734375" style="285" bestFit="1" customWidth="1"/>
    <col min="3" max="3" width="6.109375" style="285" customWidth="1"/>
    <col min="4" max="4" width="15" style="285" bestFit="1" customWidth="1"/>
    <col min="5" max="5" width="65.6640625" style="285" bestFit="1" customWidth="1"/>
    <col min="6" max="6" width="12.6640625" style="285" bestFit="1" customWidth="1"/>
    <col min="7" max="7" width="12.6640625" style="287" bestFit="1" customWidth="1"/>
    <col min="8" max="8" width="12.5546875" style="285" bestFit="1" customWidth="1"/>
    <col min="9" max="9" width="14.77734375" bestFit="1" customWidth="1"/>
    <col min="10" max="10" width="12.33203125" bestFit="1" customWidth="1"/>
    <col min="11" max="11" width="13" bestFit="1" customWidth="1"/>
    <col min="12" max="12" width="9.77734375" customWidth="1"/>
    <col min="13" max="13" width="8.5546875" bestFit="1" customWidth="1"/>
    <col min="14" max="14" width="11.21875" bestFit="1" customWidth="1"/>
  </cols>
  <sheetData>
    <row r="1" spans="1:12" thickBot="1" x14ac:dyDescent="0.35">
      <c r="A1" s="258"/>
      <c r="B1" s="258"/>
      <c r="C1" s="258"/>
      <c r="D1" s="258"/>
      <c r="E1" s="259"/>
      <c r="F1" s="260"/>
      <c r="G1" s="365"/>
      <c r="H1" s="260"/>
      <c r="I1" s="366"/>
      <c r="J1" s="366"/>
      <c r="K1" s="366"/>
      <c r="L1" s="367" t="s">
        <v>298</v>
      </c>
    </row>
    <row r="2" spans="1:12" thickBot="1" x14ac:dyDescent="0.35">
      <c r="A2" s="261"/>
      <c r="B2" s="261"/>
      <c r="C2" s="261"/>
      <c r="D2" s="363"/>
      <c r="E2" s="629" t="s">
        <v>140</v>
      </c>
      <c r="F2" s="629"/>
      <c r="G2" s="368"/>
      <c r="H2" s="262"/>
      <c r="I2" s="369" t="s">
        <v>299</v>
      </c>
      <c r="J2" s="370">
        <v>11005958</v>
      </c>
      <c r="K2" s="371" t="s">
        <v>300</v>
      </c>
      <c r="L2" s="372">
        <v>7870084607</v>
      </c>
    </row>
    <row r="3" spans="1:12" ht="15.75" x14ac:dyDescent="0.3">
      <c r="A3" s="261"/>
      <c r="B3" s="261"/>
      <c r="C3" s="261"/>
      <c r="D3" s="363"/>
      <c r="E3" s="629" t="s">
        <v>141</v>
      </c>
      <c r="F3" s="629"/>
      <c r="G3" s="368"/>
      <c r="H3" s="262"/>
      <c r="I3" s="373" t="s">
        <v>301</v>
      </c>
      <c r="J3" s="374">
        <v>2281390</v>
      </c>
      <c r="K3" s="375">
        <v>3</v>
      </c>
      <c r="L3" s="376"/>
    </row>
    <row r="4" spans="1:12" ht="15.75" x14ac:dyDescent="0.3">
      <c r="A4" s="261"/>
      <c r="B4" s="261"/>
      <c r="C4" s="261"/>
      <c r="D4" s="363"/>
      <c r="E4" s="629" t="s">
        <v>142</v>
      </c>
      <c r="F4" s="629"/>
      <c r="G4" s="368"/>
      <c r="H4" s="262"/>
      <c r="I4" s="377" t="s">
        <v>302</v>
      </c>
      <c r="J4" s="378">
        <v>509315</v>
      </c>
      <c r="K4" s="379">
        <v>5</v>
      </c>
      <c r="L4" s="380">
        <v>7870085518</v>
      </c>
    </row>
    <row r="5" spans="1:12" ht="15.75" x14ac:dyDescent="0.3">
      <c r="A5" s="261"/>
      <c r="B5" s="261"/>
      <c r="C5" s="261"/>
      <c r="D5" s="363"/>
      <c r="E5" s="629" t="s">
        <v>303</v>
      </c>
      <c r="F5" s="629"/>
      <c r="G5" s="368"/>
      <c r="H5" s="262"/>
      <c r="I5" s="381" t="s">
        <v>304</v>
      </c>
      <c r="J5" s="382">
        <v>8251032</v>
      </c>
      <c r="K5" s="383">
        <v>11</v>
      </c>
      <c r="L5" s="384"/>
    </row>
    <row r="6" spans="1:12" ht="15.75" x14ac:dyDescent="0.3">
      <c r="A6" s="261"/>
      <c r="B6" s="261"/>
      <c r="C6" s="261"/>
      <c r="D6" s="363"/>
      <c r="E6" s="629" t="s">
        <v>143</v>
      </c>
      <c r="F6" s="629"/>
      <c r="G6" s="368"/>
      <c r="H6" s="262"/>
      <c r="I6" s="377" t="s">
        <v>305</v>
      </c>
      <c r="J6" s="378">
        <v>411137</v>
      </c>
      <c r="K6" s="383">
        <v>16</v>
      </c>
      <c r="L6" s="384"/>
    </row>
    <row r="7" spans="1:12" thickBot="1" x14ac:dyDescent="0.35">
      <c r="A7" s="261"/>
      <c r="B7" s="261"/>
      <c r="C7" s="261"/>
      <c r="D7" s="363"/>
      <c r="E7" s="263"/>
      <c r="F7" s="264"/>
      <c r="G7" s="368"/>
      <c r="H7" s="262"/>
      <c r="I7" s="377" t="s">
        <v>306</v>
      </c>
      <c r="J7" s="378">
        <v>6933245</v>
      </c>
      <c r="K7" s="383">
        <v>26</v>
      </c>
      <c r="L7" s="384"/>
    </row>
    <row r="8" spans="1:12" thickBot="1" x14ac:dyDescent="0.35">
      <c r="A8" s="625" t="s">
        <v>144</v>
      </c>
      <c r="B8" s="626"/>
      <c r="C8" s="627"/>
      <c r="D8" s="626"/>
      <c r="E8" s="626"/>
      <c r="F8" s="626"/>
      <c r="G8" s="626"/>
      <c r="H8" s="628"/>
      <c r="I8" s="381" t="s">
        <v>307</v>
      </c>
      <c r="J8" s="382">
        <v>1599906</v>
      </c>
      <c r="K8" s="383">
        <v>27</v>
      </c>
      <c r="L8" s="384"/>
    </row>
    <row r="9" spans="1:12" thickBot="1" x14ac:dyDescent="0.35">
      <c r="A9" s="385" t="s">
        <v>67</v>
      </c>
      <c r="B9" s="535" t="s">
        <v>2</v>
      </c>
      <c r="C9" s="537" t="s">
        <v>618</v>
      </c>
      <c r="D9" s="536" t="s">
        <v>145</v>
      </c>
      <c r="E9" s="387" t="s">
        <v>9</v>
      </c>
      <c r="F9" s="388" t="s">
        <v>146</v>
      </c>
      <c r="G9" s="389" t="s">
        <v>68</v>
      </c>
      <c r="H9" s="390" t="s">
        <v>31</v>
      </c>
      <c r="I9" s="391" t="s">
        <v>308</v>
      </c>
      <c r="J9" s="382">
        <v>1626853</v>
      </c>
      <c r="K9" s="383">
        <v>28</v>
      </c>
      <c r="L9" s="392" t="s">
        <v>309</v>
      </c>
    </row>
    <row r="10" spans="1:12" thickBot="1" x14ac:dyDescent="0.35">
      <c r="A10" s="393" t="s">
        <v>235</v>
      </c>
      <c r="B10" s="386" t="s">
        <v>176</v>
      </c>
      <c r="C10" s="534"/>
      <c r="D10" s="362"/>
      <c r="E10" s="387" t="s">
        <v>229</v>
      </c>
      <c r="F10" s="394"/>
      <c r="G10" s="395"/>
      <c r="H10" s="390">
        <f>+'[3]ABRIL 2016'!G91</f>
        <v>-38856.760000022623</v>
      </c>
      <c r="I10" s="396" t="s">
        <v>310</v>
      </c>
      <c r="J10" s="378">
        <v>748965</v>
      </c>
      <c r="K10" s="383">
        <v>30</v>
      </c>
      <c r="L10" s="380">
        <v>7870084829</v>
      </c>
    </row>
    <row r="11" spans="1:12" ht="17.25" thickBot="1" x14ac:dyDescent="0.35">
      <c r="A11" s="397">
        <v>42492</v>
      </c>
      <c r="B11" s="398" t="s">
        <v>181</v>
      </c>
      <c r="C11" s="398"/>
      <c r="D11" s="399"/>
      <c r="E11" s="400" t="s">
        <v>171</v>
      </c>
      <c r="F11" s="401"/>
      <c r="G11" s="402">
        <v>61123.97</v>
      </c>
      <c r="H11" s="403">
        <f t="shared" ref="H11:H74" si="0">+H10+F11-G11</f>
        <v>-99980.730000022624</v>
      </c>
      <c r="I11" s="404" t="s">
        <v>311</v>
      </c>
      <c r="J11" s="405">
        <v>1105259</v>
      </c>
      <c r="K11" s="406">
        <v>30</v>
      </c>
      <c r="L11" s="407">
        <v>7870084797</v>
      </c>
    </row>
    <row r="12" spans="1:12" ht="17.25" thickBot="1" x14ac:dyDescent="0.35">
      <c r="A12" s="408">
        <v>42492</v>
      </c>
      <c r="B12" s="265" t="s">
        <v>312</v>
      </c>
      <c r="C12" s="265"/>
      <c r="D12" s="257"/>
      <c r="E12" s="267" t="s">
        <v>313</v>
      </c>
      <c r="F12" s="409">
        <v>125280</v>
      </c>
      <c r="G12" s="409"/>
      <c r="H12" s="269">
        <f t="shared" si="0"/>
        <v>25299.269999977376</v>
      </c>
      <c r="I12" s="410"/>
      <c r="J12" s="411">
        <f>SUM(J2:J11)</f>
        <v>34473060</v>
      </c>
      <c r="K12" s="412"/>
      <c r="L12" s="413"/>
    </row>
    <row r="13" spans="1:12" x14ac:dyDescent="0.3">
      <c r="A13" s="408">
        <v>42492</v>
      </c>
      <c r="B13" s="265" t="s">
        <v>312</v>
      </c>
      <c r="C13" s="265"/>
      <c r="D13" s="257"/>
      <c r="E13" s="267" t="s">
        <v>313</v>
      </c>
      <c r="F13" s="268">
        <v>250560</v>
      </c>
      <c r="G13" s="409"/>
      <c r="H13" s="269">
        <f t="shared" si="0"/>
        <v>275859.26999997738</v>
      </c>
    </row>
    <row r="14" spans="1:12" x14ac:dyDescent="0.3">
      <c r="A14" s="408">
        <v>42492</v>
      </c>
      <c r="B14" s="265" t="s">
        <v>176</v>
      </c>
      <c r="C14" s="265"/>
      <c r="D14" s="257"/>
      <c r="E14" s="267" t="s">
        <v>314</v>
      </c>
      <c r="F14" s="268">
        <v>700000</v>
      </c>
      <c r="G14" s="409"/>
      <c r="H14" s="269">
        <f t="shared" si="0"/>
        <v>975859.26999997743</v>
      </c>
    </row>
    <row r="15" spans="1:12" x14ac:dyDescent="0.3">
      <c r="A15" s="408">
        <v>42492</v>
      </c>
      <c r="B15" s="245" t="s">
        <v>315</v>
      </c>
      <c r="C15" s="245" t="s">
        <v>619</v>
      </c>
      <c r="D15" s="257">
        <v>55279</v>
      </c>
      <c r="E15" s="280" t="s">
        <v>316</v>
      </c>
      <c r="F15" s="268"/>
      <c r="G15" s="409">
        <v>324000</v>
      </c>
      <c r="H15" s="269">
        <f t="shared" si="0"/>
        <v>651859.26999997743</v>
      </c>
    </row>
    <row r="16" spans="1:12" x14ac:dyDescent="0.3">
      <c r="A16" s="408">
        <v>42492</v>
      </c>
      <c r="B16" s="245" t="s">
        <v>317</v>
      </c>
      <c r="C16" s="245" t="s">
        <v>619</v>
      </c>
      <c r="D16" s="257">
        <v>55280</v>
      </c>
      <c r="E16" s="280" t="s">
        <v>318</v>
      </c>
      <c r="F16" s="268"/>
      <c r="G16" s="409">
        <v>4212480</v>
      </c>
      <c r="H16" s="269">
        <f t="shared" si="0"/>
        <v>-3560620.7300000228</v>
      </c>
    </row>
    <row r="17" spans="1:10" x14ac:dyDescent="0.3">
      <c r="A17" s="408">
        <v>42492</v>
      </c>
      <c r="B17" s="270" t="s">
        <v>319</v>
      </c>
      <c r="C17" s="270" t="s">
        <v>619</v>
      </c>
      <c r="D17" s="257">
        <v>55282</v>
      </c>
      <c r="E17" s="265" t="s">
        <v>320</v>
      </c>
      <c r="F17" s="268"/>
      <c r="G17" s="409">
        <v>267000</v>
      </c>
      <c r="H17" s="269">
        <f t="shared" si="0"/>
        <v>-3827620.7300000228</v>
      </c>
      <c r="I17" s="271"/>
      <c r="J17" s="271"/>
    </row>
    <row r="18" spans="1:10" x14ac:dyDescent="0.3">
      <c r="A18" s="408">
        <v>42492</v>
      </c>
      <c r="B18" s="270" t="s">
        <v>319</v>
      </c>
      <c r="C18" s="270" t="s">
        <v>619</v>
      </c>
      <c r="D18" s="257">
        <v>55283</v>
      </c>
      <c r="E18" s="265" t="s">
        <v>321</v>
      </c>
      <c r="F18" s="268"/>
      <c r="G18" s="409">
        <v>568549</v>
      </c>
      <c r="H18" s="269">
        <f t="shared" si="0"/>
        <v>-4396169.7300000228</v>
      </c>
      <c r="J18" s="414"/>
    </row>
    <row r="19" spans="1:10" x14ac:dyDescent="0.3">
      <c r="A19" s="408">
        <v>42492</v>
      </c>
      <c r="B19" s="270" t="s">
        <v>184</v>
      </c>
      <c r="C19" s="270"/>
      <c r="D19" s="257">
        <v>55284</v>
      </c>
      <c r="E19" s="265" t="s">
        <v>322</v>
      </c>
      <c r="F19" s="268"/>
      <c r="G19" s="409">
        <v>5848814</v>
      </c>
      <c r="H19" s="269">
        <f t="shared" si="0"/>
        <v>-10244983.730000023</v>
      </c>
      <c r="I19" s="272"/>
      <c r="J19" s="272"/>
    </row>
    <row r="20" spans="1:10" x14ac:dyDescent="0.3">
      <c r="A20" s="408">
        <v>42492</v>
      </c>
      <c r="B20" s="270" t="s">
        <v>181</v>
      </c>
      <c r="C20" s="270"/>
      <c r="D20" s="257"/>
      <c r="E20" s="265" t="s">
        <v>323</v>
      </c>
      <c r="F20" s="268"/>
      <c r="G20" s="409">
        <v>20922</v>
      </c>
      <c r="H20" s="269">
        <f t="shared" si="0"/>
        <v>-10265905.730000023</v>
      </c>
      <c r="I20" s="272"/>
      <c r="J20" s="272"/>
    </row>
    <row r="21" spans="1:10" x14ac:dyDescent="0.3">
      <c r="A21" s="408">
        <v>42492</v>
      </c>
      <c r="B21" s="270" t="s">
        <v>181</v>
      </c>
      <c r="C21" s="270"/>
      <c r="D21" s="257"/>
      <c r="E21" s="265" t="s">
        <v>230</v>
      </c>
      <c r="F21" s="268"/>
      <c r="G21" s="538">
        <v>700922</v>
      </c>
      <c r="H21" s="269">
        <f t="shared" si="0"/>
        <v>-10966827.730000023</v>
      </c>
      <c r="I21" s="272"/>
      <c r="J21" s="272"/>
    </row>
    <row r="22" spans="1:10" x14ac:dyDescent="0.3">
      <c r="A22" s="408">
        <v>42492</v>
      </c>
      <c r="B22" s="270" t="s">
        <v>181</v>
      </c>
      <c r="C22" s="270"/>
      <c r="D22" s="257"/>
      <c r="E22" s="265" t="s">
        <v>324</v>
      </c>
      <c r="F22" s="268"/>
      <c r="G22" s="538">
        <v>1057643</v>
      </c>
      <c r="H22" s="269">
        <f t="shared" si="0"/>
        <v>-12024470.730000023</v>
      </c>
      <c r="I22" s="272"/>
      <c r="J22" s="272"/>
    </row>
    <row r="23" spans="1:10" x14ac:dyDescent="0.3">
      <c r="A23" s="408">
        <v>42492</v>
      </c>
      <c r="B23" s="270" t="s">
        <v>181</v>
      </c>
      <c r="C23" s="270"/>
      <c r="D23" s="257"/>
      <c r="E23" s="265" t="s">
        <v>233</v>
      </c>
      <c r="F23" s="268"/>
      <c r="G23" s="409">
        <v>3347.52</v>
      </c>
      <c r="H23" s="269">
        <f t="shared" si="0"/>
        <v>-12027818.250000022</v>
      </c>
      <c r="I23" s="272"/>
      <c r="J23" s="272"/>
    </row>
    <row r="24" spans="1:10" x14ac:dyDescent="0.3">
      <c r="A24" s="408">
        <v>42492</v>
      </c>
      <c r="B24" s="270" t="s">
        <v>181</v>
      </c>
      <c r="C24" s="270"/>
      <c r="D24" s="257"/>
      <c r="E24" s="265" t="s">
        <v>224</v>
      </c>
      <c r="F24" s="268"/>
      <c r="G24" s="409">
        <v>2277315</v>
      </c>
      <c r="H24" s="269">
        <f t="shared" si="0"/>
        <v>-14305133.250000022</v>
      </c>
      <c r="I24" s="272"/>
      <c r="J24" s="272"/>
    </row>
    <row r="25" spans="1:10" x14ac:dyDescent="0.3">
      <c r="A25" s="408">
        <v>42493</v>
      </c>
      <c r="B25" s="270" t="s">
        <v>181</v>
      </c>
      <c r="C25" s="270"/>
      <c r="D25" s="257"/>
      <c r="E25" s="265" t="s">
        <v>171</v>
      </c>
      <c r="F25" s="268"/>
      <c r="G25" s="409">
        <v>64.709999999999994</v>
      </c>
      <c r="H25" s="269">
        <f t="shared" si="0"/>
        <v>-14305197.960000023</v>
      </c>
      <c r="I25" s="272"/>
      <c r="J25" s="272"/>
    </row>
    <row r="26" spans="1:10" x14ac:dyDescent="0.3">
      <c r="A26" s="408">
        <v>42493</v>
      </c>
      <c r="B26" s="270" t="s">
        <v>176</v>
      </c>
      <c r="C26" s="270"/>
      <c r="D26" s="257"/>
      <c r="E26" s="265" t="s">
        <v>325</v>
      </c>
      <c r="F26" s="268">
        <v>2681920</v>
      </c>
      <c r="G26" s="409"/>
      <c r="H26" s="269">
        <f t="shared" si="0"/>
        <v>-11623277.960000023</v>
      </c>
      <c r="I26" s="272"/>
      <c r="J26" s="272"/>
    </row>
    <row r="27" spans="1:10" x14ac:dyDescent="0.3">
      <c r="A27" s="408">
        <v>42493</v>
      </c>
      <c r="B27" s="270" t="s">
        <v>326</v>
      </c>
      <c r="C27" s="270"/>
      <c r="D27" s="257"/>
      <c r="E27" s="265" t="s">
        <v>327</v>
      </c>
      <c r="F27" s="268">
        <v>630966</v>
      </c>
      <c r="G27" s="409"/>
      <c r="H27" s="269">
        <f t="shared" si="0"/>
        <v>-10992311.960000023</v>
      </c>
      <c r="I27" s="272"/>
      <c r="J27" s="272"/>
    </row>
    <row r="28" spans="1:10" x14ac:dyDescent="0.3">
      <c r="A28" s="408">
        <v>42493</v>
      </c>
      <c r="B28" s="270" t="s">
        <v>181</v>
      </c>
      <c r="C28" s="270"/>
      <c r="D28" s="257"/>
      <c r="E28" s="265" t="s">
        <v>175</v>
      </c>
      <c r="F28" s="268"/>
      <c r="G28" s="409">
        <v>13948</v>
      </c>
      <c r="H28" s="269">
        <f t="shared" si="0"/>
        <v>-11006259.960000023</v>
      </c>
      <c r="I28" s="272"/>
      <c r="J28" s="272"/>
    </row>
    <row r="29" spans="1:10" x14ac:dyDescent="0.3">
      <c r="A29" s="408">
        <v>42493</v>
      </c>
      <c r="B29" s="270" t="s">
        <v>181</v>
      </c>
      <c r="C29" s="270"/>
      <c r="D29" s="257"/>
      <c r="E29" s="265" t="s">
        <v>182</v>
      </c>
      <c r="F29" s="268"/>
      <c r="G29" s="409">
        <v>10528.62</v>
      </c>
      <c r="H29" s="269">
        <f t="shared" si="0"/>
        <v>-11016788.580000022</v>
      </c>
      <c r="I29" s="272"/>
      <c r="J29" s="272"/>
    </row>
    <row r="30" spans="1:10" x14ac:dyDescent="0.3">
      <c r="A30" s="408">
        <v>42493</v>
      </c>
      <c r="B30" s="270" t="s">
        <v>181</v>
      </c>
      <c r="C30" s="270"/>
      <c r="D30" s="257"/>
      <c r="E30" s="265" t="s">
        <v>174</v>
      </c>
      <c r="F30" s="268"/>
      <c r="G30" s="409">
        <v>2231.6799999999998</v>
      </c>
      <c r="H30" s="269">
        <f t="shared" si="0"/>
        <v>-11019020.260000022</v>
      </c>
      <c r="I30" s="272"/>
      <c r="J30" s="272"/>
    </row>
    <row r="31" spans="1:10" x14ac:dyDescent="0.3">
      <c r="A31" s="408">
        <v>42493</v>
      </c>
      <c r="B31" s="270" t="s">
        <v>328</v>
      </c>
      <c r="C31" s="270"/>
      <c r="D31" s="257"/>
      <c r="E31" s="265" t="s">
        <v>329</v>
      </c>
      <c r="F31" s="268">
        <v>4473873</v>
      </c>
      <c r="G31" s="409"/>
      <c r="H31" s="269">
        <f t="shared" si="0"/>
        <v>-6545147.2600000221</v>
      </c>
      <c r="I31" s="272"/>
      <c r="J31" s="272"/>
    </row>
    <row r="32" spans="1:10" x14ac:dyDescent="0.3">
      <c r="A32" s="408">
        <v>42494</v>
      </c>
      <c r="B32" s="270" t="s">
        <v>181</v>
      </c>
      <c r="C32" s="270"/>
      <c r="D32" s="257"/>
      <c r="E32" s="265" t="s">
        <v>171</v>
      </c>
      <c r="F32" s="268"/>
      <c r="G32" s="409">
        <v>42.11</v>
      </c>
      <c r="H32" s="269">
        <f t="shared" si="0"/>
        <v>-6545189.3700000225</v>
      </c>
      <c r="I32" s="272"/>
      <c r="J32" s="272"/>
    </row>
    <row r="33" spans="1:12" s="281" customFormat="1" x14ac:dyDescent="0.3">
      <c r="A33" s="408">
        <v>42496</v>
      </c>
      <c r="B33" s="278" t="s">
        <v>225</v>
      </c>
      <c r="C33" s="278"/>
      <c r="D33" s="257">
        <v>55288</v>
      </c>
      <c r="E33" s="278" t="s">
        <v>225</v>
      </c>
      <c r="F33" s="268"/>
      <c r="G33" s="415">
        <v>10239000</v>
      </c>
      <c r="H33" s="269">
        <f t="shared" si="0"/>
        <v>-16784189.370000023</v>
      </c>
      <c r="I33" s="272"/>
      <c r="J33" s="272"/>
      <c r="K33"/>
      <c r="L33"/>
    </row>
    <row r="34" spans="1:12" s="281" customFormat="1" x14ac:dyDescent="0.3">
      <c r="A34" s="408">
        <v>42496</v>
      </c>
      <c r="B34" s="278" t="s">
        <v>181</v>
      </c>
      <c r="C34" s="278"/>
      <c r="D34" s="277"/>
      <c r="E34" s="278" t="s">
        <v>171</v>
      </c>
      <c r="F34" s="268"/>
      <c r="G34" s="415">
        <v>41020.71</v>
      </c>
      <c r="H34" s="269">
        <f t="shared" si="0"/>
        <v>-16825210.080000024</v>
      </c>
      <c r="I34" s="272"/>
      <c r="J34" s="272"/>
      <c r="K34"/>
      <c r="L34"/>
    </row>
    <row r="35" spans="1:12" s="281" customFormat="1" x14ac:dyDescent="0.3">
      <c r="A35" s="408">
        <v>42496</v>
      </c>
      <c r="B35" s="278" t="s">
        <v>330</v>
      </c>
      <c r="C35" s="278"/>
      <c r="D35" s="277"/>
      <c r="E35" s="278" t="s">
        <v>331</v>
      </c>
      <c r="F35" s="268">
        <v>960000</v>
      </c>
      <c r="G35" s="415">
        <v>0</v>
      </c>
      <c r="H35" s="269">
        <f t="shared" si="0"/>
        <v>-15865210.080000024</v>
      </c>
      <c r="I35" s="272"/>
      <c r="J35" s="272"/>
      <c r="K35"/>
      <c r="L35"/>
    </row>
    <row r="36" spans="1:12" s="281" customFormat="1" x14ac:dyDescent="0.3">
      <c r="A36" s="408">
        <v>42496</v>
      </c>
      <c r="B36" s="278" t="s">
        <v>332</v>
      </c>
      <c r="C36" s="278"/>
      <c r="D36" s="277"/>
      <c r="E36" s="278" t="s">
        <v>333</v>
      </c>
      <c r="F36" s="268">
        <v>4935823</v>
      </c>
      <c r="G36" s="415">
        <v>0</v>
      </c>
      <c r="H36" s="269">
        <f t="shared" si="0"/>
        <v>-10929387.080000024</v>
      </c>
      <c r="I36" s="272"/>
      <c r="J36" s="272"/>
      <c r="K36"/>
      <c r="L36"/>
    </row>
    <row r="37" spans="1:12" s="281" customFormat="1" x14ac:dyDescent="0.3">
      <c r="A37" s="408">
        <v>42496</v>
      </c>
      <c r="B37" s="278" t="s">
        <v>181</v>
      </c>
      <c r="C37" s="278"/>
      <c r="D37" s="277"/>
      <c r="E37" s="278" t="s">
        <v>323</v>
      </c>
      <c r="F37" s="268"/>
      <c r="G37" s="415">
        <v>13948</v>
      </c>
      <c r="H37" s="269">
        <f t="shared" si="0"/>
        <v>-10943335.080000024</v>
      </c>
      <c r="I37" s="272"/>
      <c r="J37" s="272"/>
      <c r="K37"/>
      <c r="L37"/>
    </row>
    <row r="38" spans="1:12" s="281" customFormat="1" x14ac:dyDescent="0.3">
      <c r="A38" s="408">
        <v>42496</v>
      </c>
      <c r="B38" s="278" t="s">
        <v>181</v>
      </c>
      <c r="C38" s="278"/>
      <c r="D38" s="277"/>
      <c r="E38" s="278" t="s">
        <v>233</v>
      </c>
      <c r="F38" s="268"/>
      <c r="G38" s="415">
        <v>2231.6799999999998</v>
      </c>
      <c r="H38" s="269">
        <f t="shared" si="0"/>
        <v>-10945566.760000024</v>
      </c>
      <c r="I38" s="272"/>
      <c r="J38" s="272"/>
      <c r="K38"/>
      <c r="L38"/>
    </row>
    <row r="39" spans="1:12" s="281" customFormat="1" x14ac:dyDescent="0.3">
      <c r="A39" s="408">
        <v>42500</v>
      </c>
      <c r="B39" s="278" t="s">
        <v>181</v>
      </c>
      <c r="C39" s="278"/>
      <c r="D39" s="277"/>
      <c r="E39" s="278" t="s">
        <v>171</v>
      </c>
      <c r="F39" s="268"/>
      <c r="G39" s="415">
        <v>46721.51</v>
      </c>
      <c r="H39" s="269">
        <f t="shared" si="0"/>
        <v>-10992288.270000024</v>
      </c>
      <c r="I39" s="272"/>
      <c r="J39" s="272"/>
      <c r="K39"/>
      <c r="L39"/>
    </row>
    <row r="40" spans="1:12" s="281" customFormat="1" x14ac:dyDescent="0.3">
      <c r="A40" s="408">
        <v>42500</v>
      </c>
      <c r="B40" s="278" t="s">
        <v>334</v>
      </c>
      <c r="C40" s="278"/>
      <c r="D40" s="277"/>
      <c r="E40" s="278" t="s">
        <v>205</v>
      </c>
      <c r="F40" s="268">
        <v>1200000</v>
      </c>
      <c r="G40" s="415">
        <v>0</v>
      </c>
      <c r="H40" s="269">
        <f t="shared" si="0"/>
        <v>-9792288.2700000238</v>
      </c>
      <c r="I40" s="272"/>
      <c r="J40" s="272"/>
      <c r="K40"/>
      <c r="L40"/>
    </row>
    <row r="41" spans="1:12" s="281" customFormat="1" x14ac:dyDescent="0.3">
      <c r="A41" s="408">
        <v>42500</v>
      </c>
      <c r="B41" s="278" t="s">
        <v>176</v>
      </c>
      <c r="C41" s="278"/>
      <c r="D41" s="277"/>
      <c r="E41" s="278" t="s">
        <v>335</v>
      </c>
      <c r="F41" s="268">
        <v>2000000</v>
      </c>
      <c r="G41" s="415">
        <v>0</v>
      </c>
      <c r="H41" s="269">
        <f t="shared" si="0"/>
        <v>-7792288.2700000238</v>
      </c>
      <c r="I41" s="272"/>
      <c r="J41" s="272"/>
      <c r="K41"/>
      <c r="L41"/>
    </row>
    <row r="42" spans="1:12" s="281" customFormat="1" x14ac:dyDescent="0.3">
      <c r="A42" s="408">
        <v>42500</v>
      </c>
      <c r="B42" s="278" t="s">
        <v>279</v>
      </c>
      <c r="C42" s="278"/>
      <c r="D42" s="257">
        <v>55285</v>
      </c>
      <c r="E42" s="278" t="s">
        <v>336</v>
      </c>
      <c r="F42" s="268"/>
      <c r="G42" s="415">
        <v>750000</v>
      </c>
      <c r="H42" s="269">
        <f t="shared" si="0"/>
        <v>-8542288.2700000238</v>
      </c>
      <c r="I42" s="272"/>
      <c r="J42" s="272"/>
      <c r="K42"/>
      <c r="L42"/>
    </row>
    <row r="43" spans="1:12" s="281" customFormat="1" x14ac:dyDescent="0.3">
      <c r="A43" s="408">
        <v>42500</v>
      </c>
      <c r="B43" s="278" t="s">
        <v>181</v>
      </c>
      <c r="C43" s="278"/>
      <c r="D43" s="277"/>
      <c r="E43" s="278" t="s">
        <v>323</v>
      </c>
      <c r="F43" s="268"/>
      <c r="G43" s="415">
        <v>13948</v>
      </c>
      <c r="H43" s="269">
        <f t="shared" si="0"/>
        <v>-8556236.2700000238</v>
      </c>
      <c r="I43" s="272"/>
      <c r="J43" s="272"/>
      <c r="K43"/>
      <c r="L43"/>
    </row>
    <row r="44" spans="1:12" s="281" customFormat="1" x14ac:dyDescent="0.3">
      <c r="A44" s="408">
        <v>42500</v>
      </c>
      <c r="B44" s="278" t="s">
        <v>181</v>
      </c>
      <c r="C44" s="278"/>
      <c r="D44" s="277"/>
      <c r="E44" s="278" t="s">
        <v>230</v>
      </c>
      <c r="F44" s="268"/>
      <c r="G44" s="539">
        <v>502713</v>
      </c>
      <c r="H44" s="269">
        <f t="shared" si="0"/>
        <v>-9058949.2700000238</v>
      </c>
      <c r="I44" s="272"/>
      <c r="J44" s="272"/>
      <c r="K44"/>
      <c r="L44"/>
    </row>
    <row r="45" spans="1:12" s="281" customFormat="1" x14ac:dyDescent="0.3">
      <c r="A45" s="408">
        <v>42500</v>
      </c>
      <c r="B45" s="278" t="s">
        <v>181</v>
      </c>
      <c r="C45" s="278"/>
      <c r="D45" s="277"/>
      <c r="E45" s="278" t="s">
        <v>230</v>
      </c>
      <c r="F45" s="268"/>
      <c r="G45" s="539">
        <v>10411487</v>
      </c>
      <c r="H45" s="269">
        <f t="shared" si="0"/>
        <v>-19470436.270000026</v>
      </c>
      <c r="I45" s="272"/>
      <c r="J45" s="272"/>
      <c r="K45"/>
      <c r="L45"/>
    </row>
    <row r="46" spans="1:12" s="281" customFormat="1" x14ac:dyDescent="0.3">
      <c r="A46" s="408">
        <v>42500</v>
      </c>
      <c r="B46" s="278" t="s">
        <v>181</v>
      </c>
      <c r="C46" s="278"/>
      <c r="D46" s="277"/>
      <c r="E46" s="278" t="s">
        <v>337</v>
      </c>
      <c r="F46" s="268"/>
      <c r="G46" s="415">
        <v>2231.6799999999998</v>
      </c>
      <c r="H46" s="269">
        <f t="shared" si="0"/>
        <v>-19472667.950000025</v>
      </c>
      <c r="I46" s="272"/>
      <c r="J46" s="272"/>
      <c r="K46"/>
      <c r="L46"/>
    </row>
    <row r="47" spans="1:12" s="281" customFormat="1" x14ac:dyDescent="0.3">
      <c r="A47" s="408">
        <v>42501</v>
      </c>
      <c r="B47" s="278" t="s">
        <v>181</v>
      </c>
      <c r="C47" s="278"/>
      <c r="D47" s="277"/>
      <c r="E47" s="278" t="s">
        <v>171</v>
      </c>
      <c r="F47" s="268"/>
      <c r="G47" s="415">
        <v>33488.980000000003</v>
      </c>
      <c r="H47" s="269">
        <f t="shared" si="0"/>
        <v>-19506156.930000026</v>
      </c>
      <c r="I47" s="272"/>
      <c r="J47" s="272"/>
      <c r="K47"/>
      <c r="L47"/>
    </row>
    <row r="48" spans="1:12" s="281" customFormat="1" x14ac:dyDescent="0.3">
      <c r="A48" s="408">
        <v>42501</v>
      </c>
      <c r="B48" s="278" t="s">
        <v>338</v>
      </c>
      <c r="C48" s="278"/>
      <c r="D48" s="277"/>
      <c r="E48" s="278" t="s">
        <v>339</v>
      </c>
      <c r="F48" s="268">
        <v>295765</v>
      </c>
      <c r="G48" s="415">
        <v>0</v>
      </c>
      <c r="H48" s="269">
        <f t="shared" si="0"/>
        <v>-19210391.930000026</v>
      </c>
      <c r="I48" s="272"/>
      <c r="J48" s="272"/>
      <c r="K48"/>
      <c r="L48"/>
    </row>
    <row r="49" spans="1:15" s="281" customFormat="1" x14ac:dyDescent="0.3">
      <c r="A49" s="408">
        <v>42501</v>
      </c>
      <c r="B49" s="278" t="s">
        <v>340</v>
      </c>
      <c r="C49" s="278"/>
      <c r="D49" s="277"/>
      <c r="E49" s="278" t="s">
        <v>341</v>
      </c>
      <c r="F49" s="268">
        <v>1620984</v>
      </c>
      <c r="G49" s="415">
        <v>0</v>
      </c>
      <c r="H49" s="269">
        <f t="shared" si="0"/>
        <v>-17589407.930000026</v>
      </c>
      <c r="I49" s="272"/>
      <c r="J49" s="272"/>
      <c r="K49"/>
      <c r="L49"/>
    </row>
    <row r="50" spans="1:15" s="281" customFormat="1" x14ac:dyDescent="0.3">
      <c r="A50" s="408">
        <v>42501</v>
      </c>
      <c r="B50" s="278" t="s">
        <v>234</v>
      </c>
      <c r="C50" s="278"/>
      <c r="D50" s="277"/>
      <c r="E50" s="278" t="s">
        <v>342</v>
      </c>
      <c r="F50" s="268">
        <v>19910184</v>
      </c>
      <c r="G50" s="415">
        <v>0</v>
      </c>
      <c r="H50" s="269">
        <f t="shared" si="0"/>
        <v>2320776.0699999742</v>
      </c>
      <c r="I50" s="272"/>
      <c r="J50" s="416"/>
      <c r="K50" s="417"/>
      <c r="L50" s="417"/>
      <c r="M50" s="418"/>
      <c r="N50" s="418"/>
      <c r="O50" s="418"/>
    </row>
    <row r="51" spans="1:15" s="281" customFormat="1" x14ac:dyDescent="0.3">
      <c r="A51" s="408">
        <v>42501</v>
      </c>
      <c r="B51" s="278" t="s">
        <v>181</v>
      </c>
      <c r="C51" s="278"/>
      <c r="D51" s="277"/>
      <c r="E51" s="278" t="s">
        <v>175</v>
      </c>
      <c r="F51" s="268"/>
      <c r="G51" s="415">
        <v>20922</v>
      </c>
      <c r="H51" s="269">
        <f t="shared" si="0"/>
        <v>2299854.0699999742</v>
      </c>
      <c r="I51" s="272"/>
      <c r="J51" s="416"/>
      <c r="K51" s="417"/>
      <c r="L51" s="417"/>
      <c r="M51" s="418"/>
      <c r="N51" s="418"/>
      <c r="O51" s="418"/>
    </row>
    <row r="52" spans="1:15" s="281" customFormat="1" x14ac:dyDescent="0.3">
      <c r="A52" s="408">
        <v>42501</v>
      </c>
      <c r="B52" s="278" t="s">
        <v>181</v>
      </c>
      <c r="C52" s="278"/>
      <c r="D52" s="277"/>
      <c r="E52" s="278" t="s">
        <v>182</v>
      </c>
      <c r="F52" s="268"/>
      <c r="G52" s="415">
        <v>60837</v>
      </c>
      <c r="H52" s="269">
        <f t="shared" si="0"/>
        <v>2239017.0699999742</v>
      </c>
      <c r="I52" s="272"/>
      <c r="J52" s="416"/>
      <c r="K52" s="417"/>
      <c r="L52" s="417"/>
      <c r="M52" s="418"/>
      <c r="N52" s="418"/>
      <c r="O52" s="418"/>
    </row>
    <row r="53" spans="1:15" s="281" customFormat="1" x14ac:dyDescent="0.3">
      <c r="A53" s="408">
        <v>42501</v>
      </c>
      <c r="B53" s="278" t="s">
        <v>181</v>
      </c>
      <c r="C53" s="278"/>
      <c r="D53" s="277"/>
      <c r="E53" s="278" t="s">
        <v>174</v>
      </c>
      <c r="F53" s="268"/>
      <c r="G53" s="415">
        <v>3347.52</v>
      </c>
      <c r="H53" s="269">
        <f t="shared" si="0"/>
        <v>2235669.5499999742</v>
      </c>
      <c r="I53" s="272"/>
      <c r="J53" s="272"/>
      <c r="K53"/>
      <c r="L53"/>
    </row>
    <row r="54" spans="1:15" s="281" customFormat="1" x14ac:dyDescent="0.3">
      <c r="A54" s="408">
        <v>42501</v>
      </c>
      <c r="B54" s="278" t="s">
        <v>181</v>
      </c>
      <c r="C54" s="278"/>
      <c r="D54" s="277"/>
      <c r="E54" s="278" t="s">
        <v>231</v>
      </c>
      <c r="F54" s="268"/>
      <c r="G54" s="415">
        <v>8347977</v>
      </c>
      <c r="H54" s="269">
        <f t="shared" si="0"/>
        <v>-6112307.4500000253</v>
      </c>
      <c r="I54" s="272"/>
      <c r="J54" s="272"/>
      <c r="K54"/>
      <c r="L54"/>
    </row>
    <row r="55" spans="1:15" s="281" customFormat="1" x14ac:dyDescent="0.3">
      <c r="A55" s="408">
        <v>42501</v>
      </c>
      <c r="B55" s="278" t="s">
        <v>343</v>
      </c>
      <c r="C55" s="278"/>
      <c r="D55" s="277"/>
      <c r="E55" s="278" t="s">
        <v>344</v>
      </c>
      <c r="F55" s="268">
        <v>926216</v>
      </c>
      <c r="G55" s="415">
        <v>0</v>
      </c>
      <c r="H55" s="269">
        <f t="shared" si="0"/>
        <v>-5186091.4500000253</v>
      </c>
      <c r="I55" s="272"/>
      <c r="J55" s="272"/>
      <c r="K55"/>
      <c r="L55"/>
    </row>
    <row r="56" spans="1:15" s="281" customFormat="1" x14ac:dyDescent="0.3">
      <c r="A56" s="408">
        <v>42502</v>
      </c>
      <c r="B56" s="278" t="s">
        <v>181</v>
      </c>
      <c r="C56" s="278"/>
      <c r="D56" s="277"/>
      <c r="E56" s="278" t="s">
        <v>171</v>
      </c>
      <c r="F56" s="268"/>
      <c r="G56" s="415">
        <v>42921</v>
      </c>
      <c r="H56" s="269">
        <f t="shared" si="0"/>
        <v>-5229012.4500000253</v>
      </c>
      <c r="I56" s="272"/>
      <c r="J56" s="272"/>
      <c r="K56"/>
      <c r="L56"/>
    </row>
    <row r="57" spans="1:15" s="281" customFormat="1" x14ac:dyDescent="0.3">
      <c r="A57" s="408">
        <v>42502</v>
      </c>
      <c r="B57" s="278" t="s">
        <v>345</v>
      </c>
      <c r="C57" s="278"/>
      <c r="D57" s="277"/>
      <c r="E57" s="278" t="s">
        <v>346</v>
      </c>
      <c r="F57" s="268"/>
      <c r="G57" s="415">
        <v>7644225</v>
      </c>
      <c r="H57" s="269">
        <f t="shared" si="0"/>
        <v>-12873237.450000025</v>
      </c>
      <c r="I57" s="272"/>
      <c r="J57" s="272"/>
      <c r="K57"/>
      <c r="L57"/>
    </row>
    <row r="58" spans="1:15" s="281" customFormat="1" x14ac:dyDescent="0.3">
      <c r="A58" s="408">
        <v>42502</v>
      </c>
      <c r="B58" s="278" t="s">
        <v>347</v>
      </c>
      <c r="C58" s="278"/>
      <c r="D58" s="277"/>
      <c r="E58" s="278" t="s">
        <v>348</v>
      </c>
      <c r="F58" s="268"/>
      <c r="G58" s="415">
        <v>3025246</v>
      </c>
      <c r="H58" s="269">
        <f t="shared" si="0"/>
        <v>-15898483.450000025</v>
      </c>
      <c r="I58" s="272"/>
      <c r="J58" s="272"/>
      <c r="K58"/>
      <c r="L58"/>
    </row>
    <row r="59" spans="1:15" s="281" customFormat="1" x14ac:dyDescent="0.3">
      <c r="A59" s="408">
        <v>42503</v>
      </c>
      <c r="B59" s="278" t="s">
        <v>181</v>
      </c>
      <c r="C59" s="278"/>
      <c r="D59" s="277"/>
      <c r="E59" s="278" t="s">
        <v>349</v>
      </c>
      <c r="F59" s="268"/>
      <c r="G59" s="415">
        <v>24490</v>
      </c>
      <c r="H59" s="269">
        <f t="shared" si="0"/>
        <v>-15922973.450000025</v>
      </c>
      <c r="I59" s="272"/>
      <c r="J59" s="272"/>
      <c r="K59"/>
      <c r="L59"/>
    </row>
    <row r="60" spans="1:15" s="281" customFormat="1" x14ac:dyDescent="0.3">
      <c r="A60" s="408">
        <v>42503</v>
      </c>
      <c r="B60" s="270" t="s">
        <v>347</v>
      </c>
      <c r="C60" s="270"/>
      <c r="D60" s="277"/>
      <c r="E60" s="278" t="s">
        <v>350</v>
      </c>
      <c r="F60" s="268"/>
      <c r="G60" s="415">
        <v>5642661</v>
      </c>
      <c r="H60" s="269">
        <f t="shared" si="0"/>
        <v>-21565634.450000025</v>
      </c>
      <c r="I60" s="419"/>
      <c r="J60" s="419"/>
    </row>
    <row r="61" spans="1:15" x14ac:dyDescent="0.3">
      <c r="A61" s="408">
        <v>42503</v>
      </c>
      <c r="B61" s="270" t="s">
        <v>181</v>
      </c>
      <c r="C61" s="270"/>
      <c r="D61" s="257"/>
      <c r="E61" s="265" t="s">
        <v>351</v>
      </c>
      <c r="F61" s="268"/>
      <c r="G61" s="409">
        <v>413023</v>
      </c>
      <c r="H61" s="269">
        <f t="shared" si="0"/>
        <v>-21978657.450000025</v>
      </c>
      <c r="I61" s="419"/>
      <c r="J61" s="419"/>
      <c r="K61" s="281"/>
      <c r="L61" s="281"/>
    </row>
    <row r="62" spans="1:15" x14ac:dyDescent="0.3">
      <c r="A62" s="408">
        <v>42503</v>
      </c>
      <c r="B62" s="270" t="s">
        <v>181</v>
      </c>
      <c r="C62" s="270"/>
      <c r="D62" s="257"/>
      <c r="E62" s="265" t="s">
        <v>352</v>
      </c>
      <c r="F62" s="268"/>
      <c r="G62" s="409">
        <v>66084</v>
      </c>
      <c r="H62" s="269">
        <f t="shared" si="0"/>
        <v>-22044741.450000025</v>
      </c>
      <c r="I62" s="272"/>
      <c r="J62" s="272"/>
    </row>
    <row r="63" spans="1:15" x14ac:dyDescent="0.3">
      <c r="A63" s="408">
        <v>42503</v>
      </c>
      <c r="B63" s="270" t="s">
        <v>181</v>
      </c>
      <c r="C63" s="270"/>
      <c r="D63" s="257"/>
      <c r="E63" s="265" t="s">
        <v>353</v>
      </c>
      <c r="F63" s="268"/>
      <c r="G63" s="409">
        <v>893</v>
      </c>
      <c r="H63" s="269">
        <f t="shared" si="0"/>
        <v>-22045634.450000025</v>
      </c>
      <c r="I63" s="272"/>
      <c r="J63" s="272"/>
    </row>
    <row r="64" spans="1:15" x14ac:dyDescent="0.3">
      <c r="A64" s="408">
        <v>42506</v>
      </c>
      <c r="B64" s="270" t="s">
        <v>181</v>
      </c>
      <c r="C64" s="270"/>
      <c r="D64" s="257"/>
      <c r="E64" s="265" t="s">
        <v>354</v>
      </c>
      <c r="F64" s="268"/>
      <c r="G64" s="409">
        <v>8032.35</v>
      </c>
      <c r="H64" s="269">
        <f t="shared" si="0"/>
        <v>-22053666.800000027</v>
      </c>
      <c r="I64" s="272"/>
      <c r="J64" s="272"/>
    </row>
    <row r="65" spans="1:10" x14ac:dyDescent="0.3">
      <c r="A65" s="408">
        <v>42506</v>
      </c>
      <c r="B65" s="270" t="s">
        <v>312</v>
      </c>
      <c r="C65" s="270"/>
      <c r="D65" s="257"/>
      <c r="E65" s="265" t="s">
        <v>355</v>
      </c>
      <c r="F65" s="268">
        <v>751680</v>
      </c>
      <c r="G65" s="409">
        <v>0</v>
      </c>
      <c r="H65" s="269">
        <f t="shared" si="0"/>
        <v>-21301986.800000027</v>
      </c>
      <c r="I65" s="272"/>
      <c r="J65" s="272"/>
    </row>
    <row r="66" spans="1:10" x14ac:dyDescent="0.3">
      <c r="A66" s="408">
        <v>42506</v>
      </c>
      <c r="B66" s="273" t="s">
        <v>347</v>
      </c>
      <c r="C66" s="273"/>
      <c r="D66" s="257"/>
      <c r="E66" s="273" t="s">
        <v>356</v>
      </c>
      <c r="F66" s="274"/>
      <c r="G66" s="409">
        <v>2000000</v>
      </c>
      <c r="H66" s="269">
        <f t="shared" si="0"/>
        <v>-23301986.800000027</v>
      </c>
      <c r="I66" s="272"/>
      <c r="J66" s="272"/>
    </row>
    <row r="67" spans="1:10" x14ac:dyDescent="0.3">
      <c r="A67" s="408">
        <v>42506</v>
      </c>
      <c r="B67" s="273" t="s">
        <v>181</v>
      </c>
      <c r="C67" s="273"/>
      <c r="D67" s="257"/>
      <c r="E67" s="275" t="s">
        <v>323</v>
      </c>
      <c r="F67" s="276"/>
      <c r="G67" s="409">
        <v>6974</v>
      </c>
      <c r="H67" s="269">
        <f t="shared" si="0"/>
        <v>-23308960.800000027</v>
      </c>
      <c r="I67" s="272"/>
      <c r="J67" s="272"/>
    </row>
    <row r="68" spans="1:10" x14ac:dyDescent="0.3">
      <c r="A68" s="408">
        <v>42506</v>
      </c>
      <c r="B68" s="273" t="s">
        <v>181</v>
      </c>
      <c r="C68" s="273"/>
      <c r="D68" s="277"/>
      <c r="E68" s="275" t="s">
        <v>357</v>
      </c>
      <c r="F68" s="276"/>
      <c r="G68" s="409">
        <v>1115</v>
      </c>
      <c r="H68" s="269">
        <f t="shared" si="0"/>
        <v>-23310075.800000027</v>
      </c>
    </row>
    <row r="69" spans="1:10" x14ac:dyDescent="0.3">
      <c r="A69" s="420">
        <v>42509</v>
      </c>
      <c r="B69" s="249" t="s">
        <v>181</v>
      </c>
      <c r="C69" s="249"/>
      <c r="D69" s="257"/>
      <c r="E69" s="421" t="s">
        <v>171</v>
      </c>
      <c r="F69" s="422"/>
      <c r="G69" s="422">
        <v>8064</v>
      </c>
      <c r="H69" s="269">
        <f t="shared" si="0"/>
        <v>-23318139.800000027</v>
      </c>
    </row>
    <row r="70" spans="1:10" ht="15.75" x14ac:dyDescent="0.3">
      <c r="A70" s="420">
        <v>42509</v>
      </c>
      <c r="B70" s="247" t="s">
        <v>358</v>
      </c>
      <c r="C70" s="247"/>
      <c r="D70" s="246"/>
      <c r="E70" s="247" t="s">
        <v>620</v>
      </c>
      <c r="F70" s="423">
        <v>563000</v>
      </c>
      <c r="G70" s="424">
        <v>0</v>
      </c>
      <c r="H70" s="269">
        <f t="shared" si="0"/>
        <v>-22755139.800000027</v>
      </c>
      <c r="I70" s="29"/>
    </row>
    <row r="71" spans="1:10" ht="15.75" x14ac:dyDescent="0.3">
      <c r="A71" s="420">
        <v>42509</v>
      </c>
      <c r="B71" s="247" t="s">
        <v>345</v>
      </c>
      <c r="C71" s="247"/>
      <c r="D71" s="279"/>
      <c r="E71" s="247" t="s">
        <v>359</v>
      </c>
      <c r="F71" s="423">
        <v>19614368</v>
      </c>
      <c r="G71" s="424">
        <v>0</v>
      </c>
      <c r="H71" s="269">
        <f t="shared" si="0"/>
        <v>-3140771.8000000268</v>
      </c>
      <c r="J71" s="29"/>
    </row>
    <row r="72" spans="1:10" x14ac:dyDescent="0.3">
      <c r="A72" s="420">
        <v>42509</v>
      </c>
      <c r="B72" s="247" t="s">
        <v>347</v>
      </c>
      <c r="C72" s="247"/>
      <c r="D72" s="425">
        <v>55298</v>
      </c>
      <c r="E72" s="426" t="s">
        <v>360</v>
      </c>
      <c r="F72" s="427"/>
      <c r="G72" s="424">
        <v>2000000</v>
      </c>
      <c r="H72" s="269">
        <f t="shared" si="0"/>
        <v>-5140771.8000000268</v>
      </c>
    </row>
    <row r="73" spans="1:10" x14ac:dyDescent="0.3">
      <c r="A73" s="420">
        <v>42509</v>
      </c>
      <c r="B73" s="247" t="s">
        <v>181</v>
      </c>
      <c r="C73" s="247"/>
      <c r="D73" s="425"/>
      <c r="E73" s="426" t="s">
        <v>361</v>
      </c>
      <c r="F73" s="427"/>
      <c r="G73" s="424">
        <v>13948</v>
      </c>
      <c r="H73" s="269">
        <f t="shared" si="0"/>
        <v>-5154719.8000000268</v>
      </c>
    </row>
    <row r="74" spans="1:10" x14ac:dyDescent="0.3">
      <c r="A74" s="420">
        <v>42509</v>
      </c>
      <c r="B74" s="247" t="s">
        <v>181</v>
      </c>
      <c r="C74" s="247"/>
      <c r="D74" s="425"/>
      <c r="E74" s="426" t="s">
        <v>362</v>
      </c>
      <c r="F74" s="427"/>
      <c r="G74" s="424">
        <v>115448</v>
      </c>
      <c r="H74" s="269">
        <f t="shared" si="0"/>
        <v>-5270167.8000000268</v>
      </c>
    </row>
    <row r="75" spans="1:10" x14ac:dyDescent="0.3">
      <c r="A75" s="420">
        <v>42510</v>
      </c>
      <c r="B75" s="247" t="s">
        <v>363</v>
      </c>
      <c r="C75" s="247"/>
      <c r="D75" s="425"/>
      <c r="E75" s="426" t="s">
        <v>4</v>
      </c>
      <c r="F75" s="427">
        <v>20000000</v>
      </c>
      <c r="G75" s="424"/>
      <c r="H75" s="269">
        <f t="shared" ref="H75:H115" si="1">+H74+F75-G75</f>
        <v>14729832.199999973</v>
      </c>
    </row>
    <row r="76" spans="1:10" x14ac:dyDescent="0.3">
      <c r="A76" s="408">
        <v>42510</v>
      </c>
      <c r="B76" s="270" t="s">
        <v>181</v>
      </c>
      <c r="C76" s="270"/>
      <c r="D76" s="266"/>
      <c r="E76" s="270" t="s">
        <v>171</v>
      </c>
      <c r="F76" s="268"/>
      <c r="G76" s="409">
        <v>80494.149999999994</v>
      </c>
      <c r="H76" s="269">
        <f t="shared" si="1"/>
        <v>14649338.049999973</v>
      </c>
    </row>
    <row r="77" spans="1:10" x14ac:dyDescent="0.3">
      <c r="A77" s="408">
        <v>42510</v>
      </c>
      <c r="B77" s="270" t="s">
        <v>358</v>
      </c>
      <c r="C77" s="270"/>
      <c r="D77" s="266"/>
      <c r="E77" s="270" t="s">
        <v>621</v>
      </c>
      <c r="F77" s="268">
        <v>394354</v>
      </c>
      <c r="G77" s="409"/>
      <c r="H77" s="269">
        <f t="shared" si="1"/>
        <v>15043692.049999973</v>
      </c>
    </row>
    <row r="78" spans="1:10" x14ac:dyDescent="0.3">
      <c r="A78" s="408">
        <v>42510</v>
      </c>
      <c r="B78" s="270" t="s">
        <v>185</v>
      </c>
      <c r="C78" s="270"/>
      <c r="D78" s="266">
        <v>55298</v>
      </c>
      <c r="E78" s="270" t="s">
        <v>623</v>
      </c>
      <c r="F78" s="268"/>
      <c r="G78" s="409">
        <v>20000000</v>
      </c>
      <c r="H78" s="269">
        <f t="shared" si="1"/>
        <v>-4956307.9500000272</v>
      </c>
    </row>
    <row r="79" spans="1:10" x14ac:dyDescent="0.3">
      <c r="A79" s="408">
        <v>42510</v>
      </c>
      <c r="B79" s="270" t="s">
        <v>181</v>
      </c>
      <c r="C79" s="270"/>
      <c r="D79" s="266"/>
      <c r="E79" s="270" t="s">
        <v>361</v>
      </c>
      <c r="F79" s="268"/>
      <c r="G79" s="409">
        <v>6974</v>
      </c>
      <c r="H79" s="269">
        <f t="shared" si="1"/>
        <v>-4963281.9500000272</v>
      </c>
    </row>
    <row r="80" spans="1:10" x14ac:dyDescent="0.3">
      <c r="A80" s="408">
        <v>42510</v>
      </c>
      <c r="B80" s="270" t="s">
        <v>364</v>
      </c>
      <c r="C80" s="270"/>
      <c r="D80" s="266"/>
      <c r="E80" s="270" t="s">
        <v>365</v>
      </c>
      <c r="F80" s="268"/>
      <c r="G80" s="409">
        <v>3859</v>
      </c>
      <c r="H80" s="269">
        <f t="shared" si="1"/>
        <v>-4967140.9500000272</v>
      </c>
    </row>
    <row r="81" spans="1:10" x14ac:dyDescent="0.3">
      <c r="A81" s="408">
        <v>42510</v>
      </c>
      <c r="B81" s="270" t="s">
        <v>181</v>
      </c>
      <c r="C81" s="270"/>
      <c r="D81" s="266"/>
      <c r="E81" s="270" t="s">
        <v>366</v>
      </c>
      <c r="F81" s="268"/>
      <c r="G81" s="409">
        <v>1115</v>
      </c>
      <c r="H81" s="269">
        <f t="shared" si="1"/>
        <v>-4968255.9500000272</v>
      </c>
    </row>
    <row r="82" spans="1:10" x14ac:dyDescent="0.3">
      <c r="A82" s="408">
        <v>42511</v>
      </c>
      <c r="B82" s="270" t="s">
        <v>358</v>
      </c>
      <c r="C82" s="270"/>
      <c r="D82" s="266"/>
      <c r="E82" s="270" t="s">
        <v>622</v>
      </c>
      <c r="F82" s="268">
        <v>4900000</v>
      </c>
      <c r="G82" s="409"/>
      <c r="H82" s="269">
        <f t="shared" si="1"/>
        <v>-68255.950000027195</v>
      </c>
      <c r="J82" s="414"/>
    </row>
    <row r="83" spans="1:10" x14ac:dyDescent="0.3">
      <c r="A83" s="408">
        <v>42511</v>
      </c>
      <c r="B83" s="270" t="s">
        <v>181</v>
      </c>
      <c r="C83" s="270"/>
      <c r="D83" s="266"/>
      <c r="E83" s="270" t="s">
        <v>361</v>
      </c>
      <c r="F83" s="268"/>
      <c r="G83" s="409">
        <v>6974</v>
      </c>
      <c r="H83" s="269">
        <f t="shared" si="1"/>
        <v>-75229.950000027195</v>
      </c>
      <c r="J83" s="414"/>
    </row>
    <row r="84" spans="1:10" x14ac:dyDescent="0.3">
      <c r="A84" s="408">
        <v>42511</v>
      </c>
      <c r="B84" s="270" t="s">
        <v>181</v>
      </c>
      <c r="C84" s="270"/>
      <c r="D84" s="266"/>
      <c r="E84" s="270" t="s">
        <v>362</v>
      </c>
      <c r="F84" s="268"/>
      <c r="G84" s="409">
        <v>22205</v>
      </c>
      <c r="H84" s="269">
        <f t="shared" si="1"/>
        <v>-97434.950000027195</v>
      </c>
      <c r="J84" s="414"/>
    </row>
    <row r="85" spans="1:10" x14ac:dyDescent="0.3">
      <c r="A85" s="408">
        <v>42511</v>
      </c>
      <c r="B85" s="270" t="s">
        <v>181</v>
      </c>
      <c r="C85" s="270"/>
      <c r="D85" s="266"/>
      <c r="E85" s="270" t="s">
        <v>337</v>
      </c>
      <c r="F85" s="268"/>
      <c r="G85" s="409">
        <v>1115.8399999999999</v>
      </c>
      <c r="H85" s="269">
        <f t="shared" si="1"/>
        <v>-98550.790000027191</v>
      </c>
      <c r="J85" s="414"/>
    </row>
    <row r="86" spans="1:10" x14ac:dyDescent="0.3">
      <c r="A86" s="408">
        <v>42511</v>
      </c>
      <c r="B86" s="270" t="s">
        <v>181</v>
      </c>
      <c r="C86" s="270"/>
      <c r="D86" s="266"/>
      <c r="E86" s="270" t="s">
        <v>368</v>
      </c>
      <c r="F86" s="268">
        <v>18568</v>
      </c>
      <c r="G86" s="409"/>
      <c r="H86" s="269">
        <f t="shared" si="1"/>
        <v>-79982.790000027191</v>
      </c>
      <c r="J86" s="414"/>
    </row>
    <row r="87" spans="1:10" x14ac:dyDescent="0.3">
      <c r="A87" s="408">
        <v>42512</v>
      </c>
      <c r="B87" s="270" t="s">
        <v>181</v>
      </c>
      <c r="C87" s="270"/>
      <c r="D87" s="266"/>
      <c r="E87" s="270" t="s">
        <v>171</v>
      </c>
      <c r="F87" s="268"/>
      <c r="G87" s="409">
        <v>88.82</v>
      </c>
      <c r="H87" s="269">
        <f t="shared" si="1"/>
        <v>-80071.610000027198</v>
      </c>
      <c r="J87" s="414"/>
    </row>
    <row r="88" spans="1:10" x14ac:dyDescent="0.3">
      <c r="A88" s="408">
        <v>42513</v>
      </c>
      <c r="B88" s="270" t="s">
        <v>345</v>
      </c>
      <c r="C88" s="270"/>
      <c r="D88" s="266"/>
      <c r="E88" s="270" t="s">
        <v>621</v>
      </c>
      <c r="F88" s="268">
        <v>887295</v>
      </c>
      <c r="G88" s="409"/>
      <c r="H88" s="269">
        <f t="shared" si="1"/>
        <v>807223.38999997277</v>
      </c>
      <c r="J88" s="414"/>
    </row>
    <row r="89" spans="1:10" x14ac:dyDescent="0.3">
      <c r="A89" s="408">
        <v>42513</v>
      </c>
      <c r="B89" s="270" t="s">
        <v>181</v>
      </c>
      <c r="C89" s="270"/>
      <c r="D89" s="266"/>
      <c r="E89" s="270" t="s">
        <v>369</v>
      </c>
      <c r="F89" s="268">
        <v>79967.64</v>
      </c>
      <c r="G89" s="409"/>
      <c r="H89" s="269">
        <f t="shared" si="1"/>
        <v>887191.02999997279</v>
      </c>
      <c r="J89" s="414"/>
    </row>
    <row r="90" spans="1:10" x14ac:dyDescent="0.3">
      <c r="A90" s="408">
        <v>42513</v>
      </c>
      <c r="B90" s="270" t="s">
        <v>181</v>
      </c>
      <c r="C90" s="270"/>
      <c r="D90" s="266"/>
      <c r="E90" s="270" t="s">
        <v>370</v>
      </c>
      <c r="F90" s="268"/>
      <c r="G90" s="409">
        <v>6974</v>
      </c>
      <c r="H90" s="269">
        <f t="shared" si="1"/>
        <v>880217.02999997279</v>
      </c>
      <c r="J90" s="414"/>
    </row>
    <row r="91" spans="1:10" x14ac:dyDescent="0.3">
      <c r="A91" s="408">
        <v>42513</v>
      </c>
      <c r="B91" s="270" t="s">
        <v>181</v>
      </c>
      <c r="C91" s="270"/>
      <c r="D91" s="266"/>
      <c r="E91" s="270" t="s">
        <v>182</v>
      </c>
      <c r="F91" s="268"/>
      <c r="G91" s="409">
        <v>82.24</v>
      </c>
      <c r="H91" s="269">
        <f t="shared" si="1"/>
        <v>880134.7899999728</v>
      </c>
      <c r="J91" s="414"/>
    </row>
    <row r="92" spans="1:10" x14ac:dyDescent="0.3">
      <c r="A92" s="408">
        <v>42513</v>
      </c>
      <c r="B92" s="270" t="s">
        <v>181</v>
      </c>
      <c r="C92" s="270"/>
      <c r="D92" s="266"/>
      <c r="E92" s="270" t="s">
        <v>371</v>
      </c>
      <c r="F92" s="268"/>
      <c r="G92" s="409">
        <v>1115</v>
      </c>
      <c r="H92" s="269">
        <f t="shared" si="1"/>
        <v>879019.7899999728</v>
      </c>
      <c r="J92" s="414"/>
    </row>
    <row r="93" spans="1:10" x14ac:dyDescent="0.3">
      <c r="A93" s="408">
        <v>42514</v>
      </c>
      <c r="B93" s="270" t="s">
        <v>181</v>
      </c>
      <c r="C93" s="270"/>
      <c r="D93" s="266"/>
      <c r="E93" s="270" t="s">
        <v>369</v>
      </c>
      <c r="F93" s="268">
        <v>58.5</v>
      </c>
      <c r="G93" s="409"/>
      <c r="H93" s="269">
        <f t="shared" si="1"/>
        <v>879078.2899999728</v>
      </c>
      <c r="J93" s="414"/>
    </row>
    <row r="94" spans="1:10" x14ac:dyDescent="0.3">
      <c r="A94" s="408">
        <v>42515</v>
      </c>
      <c r="B94" s="270" t="s">
        <v>181</v>
      </c>
      <c r="C94" s="270"/>
      <c r="D94" s="266"/>
      <c r="E94" s="270" t="s">
        <v>171</v>
      </c>
      <c r="F94" s="268"/>
      <c r="G94" s="409">
        <v>8265.15</v>
      </c>
      <c r="H94" s="269">
        <f t="shared" si="1"/>
        <v>870813.13999997277</v>
      </c>
      <c r="J94" s="414"/>
    </row>
    <row r="95" spans="1:10" x14ac:dyDescent="0.3">
      <c r="A95" s="408">
        <v>42515</v>
      </c>
      <c r="B95" s="270" t="s">
        <v>181</v>
      </c>
      <c r="C95" s="270"/>
      <c r="D95" s="266"/>
      <c r="E95" s="270" t="s">
        <v>372</v>
      </c>
      <c r="F95" s="268"/>
      <c r="G95" s="409">
        <v>50172</v>
      </c>
      <c r="H95" s="269">
        <f t="shared" si="1"/>
        <v>820641.13999997277</v>
      </c>
      <c r="J95" s="414"/>
    </row>
    <row r="96" spans="1:10" x14ac:dyDescent="0.3">
      <c r="A96" s="408">
        <v>42515</v>
      </c>
      <c r="B96" s="270" t="s">
        <v>358</v>
      </c>
      <c r="C96" s="270"/>
      <c r="D96" s="266"/>
      <c r="E96" s="270" t="s">
        <v>373</v>
      </c>
      <c r="F96" s="268">
        <v>37021</v>
      </c>
      <c r="G96" s="409"/>
      <c r="H96" s="269">
        <f t="shared" si="1"/>
        <v>857662.13999997277</v>
      </c>
      <c r="J96" s="414"/>
    </row>
    <row r="97" spans="1:10" x14ac:dyDescent="0.3">
      <c r="A97" s="408">
        <v>42515</v>
      </c>
      <c r="B97" s="270" t="s">
        <v>347</v>
      </c>
      <c r="C97" s="270"/>
      <c r="D97" s="266"/>
      <c r="E97" s="270" t="s">
        <v>281</v>
      </c>
      <c r="F97" s="268"/>
      <c r="G97" s="409">
        <v>2000000</v>
      </c>
      <c r="H97" s="269">
        <f t="shared" si="1"/>
        <v>-1142337.8600000273</v>
      </c>
      <c r="J97" s="414"/>
    </row>
    <row r="98" spans="1:10" x14ac:dyDescent="0.3">
      <c r="A98" s="408">
        <v>42515</v>
      </c>
      <c r="B98" s="270" t="s">
        <v>181</v>
      </c>
      <c r="C98" s="270"/>
      <c r="D98" s="266"/>
      <c r="E98" s="270" t="s">
        <v>361</v>
      </c>
      <c r="F98" s="268"/>
      <c r="G98" s="409">
        <v>6974</v>
      </c>
      <c r="H98" s="269">
        <f t="shared" si="1"/>
        <v>-1149311.8600000273</v>
      </c>
      <c r="I98" s="271"/>
      <c r="J98" s="414"/>
    </row>
    <row r="99" spans="1:10" x14ac:dyDescent="0.3">
      <c r="A99" s="408">
        <v>42515</v>
      </c>
      <c r="B99" s="270" t="s">
        <v>181</v>
      </c>
      <c r="C99" s="270"/>
      <c r="D99" s="266"/>
      <c r="E99" s="270" t="s">
        <v>374</v>
      </c>
      <c r="F99" s="268"/>
      <c r="G99" s="409">
        <v>8028</v>
      </c>
      <c r="H99" s="269">
        <f t="shared" si="1"/>
        <v>-1157339.8600000273</v>
      </c>
      <c r="J99" s="428"/>
    </row>
    <row r="100" spans="1:10" x14ac:dyDescent="0.3">
      <c r="A100" s="408">
        <v>42515</v>
      </c>
      <c r="B100" s="270" t="s">
        <v>181</v>
      </c>
      <c r="C100" s="270"/>
      <c r="D100" s="266"/>
      <c r="E100" s="270" t="s">
        <v>375</v>
      </c>
      <c r="F100" s="268"/>
      <c r="G100" s="409">
        <v>1115.8399999999999</v>
      </c>
      <c r="H100" s="269">
        <f t="shared" si="1"/>
        <v>-1158455.7000000274</v>
      </c>
      <c r="J100" s="428"/>
    </row>
    <row r="101" spans="1:10" x14ac:dyDescent="0.3">
      <c r="A101" s="408">
        <v>42516</v>
      </c>
      <c r="B101" s="270" t="s">
        <v>181</v>
      </c>
      <c r="C101" s="270"/>
      <c r="D101" s="266"/>
      <c r="E101" s="270" t="s">
        <v>376</v>
      </c>
      <c r="F101" s="268"/>
      <c r="G101" s="409">
        <v>108651.39</v>
      </c>
      <c r="H101" s="269">
        <f t="shared" si="1"/>
        <v>-1267107.0900000273</v>
      </c>
      <c r="J101" s="428"/>
    </row>
    <row r="102" spans="1:10" x14ac:dyDescent="0.3">
      <c r="A102" s="408">
        <v>42516</v>
      </c>
      <c r="B102" s="270" t="s">
        <v>377</v>
      </c>
      <c r="C102" s="270"/>
      <c r="D102" s="266"/>
      <c r="E102" s="270" t="s">
        <v>185</v>
      </c>
      <c r="F102" s="268"/>
      <c r="G102" s="409">
        <v>20000000</v>
      </c>
      <c r="H102" s="269">
        <f t="shared" si="1"/>
        <v>-21267107.090000026</v>
      </c>
      <c r="J102" s="428"/>
    </row>
    <row r="103" spans="1:10" x14ac:dyDescent="0.3">
      <c r="A103" s="408">
        <v>42516</v>
      </c>
      <c r="B103" s="270" t="s">
        <v>378</v>
      </c>
      <c r="C103" s="270"/>
      <c r="D103" s="266"/>
      <c r="E103" s="270" t="s">
        <v>379</v>
      </c>
      <c r="F103" s="268"/>
      <c r="G103" s="409">
        <v>7162849</v>
      </c>
      <c r="H103" s="269">
        <f t="shared" si="1"/>
        <v>-28429956.090000026</v>
      </c>
      <c r="J103" s="428"/>
    </row>
    <row r="104" spans="1:10" x14ac:dyDescent="0.3">
      <c r="A104" s="408">
        <v>42517</v>
      </c>
      <c r="B104" s="270" t="s">
        <v>181</v>
      </c>
      <c r="C104" s="270"/>
      <c r="D104" s="266"/>
      <c r="E104" s="270" t="s">
        <v>380</v>
      </c>
      <c r="F104" s="268"/>
      <c r="G104" s="409">
        <v>6439.07</v>
      </c>
      <c r="H104" s="269">
        <f t="shared" si="1"/>
        <v>-28436395.160000026</v>
      </c>
      <c r="J104" s="428"/>
    </row>
    <row r="105" spans="1:10" x14ac:dyDescent="0.3">
      <c r="A105" s="408">
        <v>42517</v>
      </c>
      <c r="B105" s="270" t="s">
        <v>181</v>
      </c>
      <c r="C105" s="270"/>
      <c r="D105" s="266"/>
      <c r="E105" s="270" t="s">
        <v>625</v>
      </c>
      <c r="F105" s="268"/>
      <c r="G105" s="409">
        <v>1609769</v>
      </c>
      <c r="H105" s="269">
        <f t="shared" si="1"/>
        <v>-30046164.160000026</v>
      </c>
      <c r="J105" s="428"/>
    </row>
    <row r="106" spans="1:10" x14ac:dyDescent="0.3">
      <c r="A106" s="408">
        <v>42521</v>
      </c>
      <c r="B106" s="270" t="s">
        <v>181</v>
      </c>
      <c r="C106" s="270"/>
      <c r="D106" s="266"/>
      <c r="E106" s="270" t="s">
        <v>381</v>
      </c>
      <c r="F106" s="268"/>
      <c r="G106" s="409">
        <v>33868.629999999997</v>
      </c>
      <c r="H106" s="269">
        <f t="shared" si="1"/>
        <v>-30080032.790000025</v>
      </c>
      <c r="J106" s="428"/>
    </row>
    <row r="107" spans="1:10" x14ac:dyDescent="0.3">
      <c r="A107" s="408">
        <v>42521</v>
      </c>
      <c r="B107" s="270" t="s">
        <v>358</v>
      </c>
      <c r="C107" s="270"/>
      <c r="D107" s="266"/>
      <c r="E107" s="270" t="s">
        <v>238</v>
      </c>
      <c r="F107" s="268">
        <v>751680</v>
      </c>
      <c r="G107" s="409"/>
      <c r="H107" s="269">
        <f t="shared" si="1"/>
        <v>-29328352.790000025</v>
      </c>
      <c r="J107" s="428"/>
    </row>
    <row r="108" spans="1:10" x14ac:dyDescent="0.3">
      <c r="A108" s="408">
        <v>42521</v>
      </c>
      <c r="B108" s="270" t="s">
        <v>382</v>
      </c>
      <c r="C108" s="270"/>
      <c r="D108" s="266"/>
      <c r="E108" s="270" t="s">
        <v>383</v>
      </c>
      <c r="F108" s="268"/>
      <c r="G108" s="409">
        <v>5080302</v>
      </c>
      <c r="H108" s="269">
        <f t="shared" si="1"/>
        <v>-34408654.790000021</v>
      </c>
      <c r="J108" s="428"/>
    </row>
    <row r="109" spans="1:10" x14ac:dyDescent="0.3">
      <c r="A109" s="408">
        <v>42521</v>
      </c>
      <c r="B109" s="270" t="s">
        <v>181</v>
      </c>
      <c r="C109" s="270"/>
      <c r="D109" s="266"/>
      <c r="E109" s="270" t="s">
        <v>384</v>
      </c>
      <c r="F109" s="268"/>
      <c r="G109" s="409">
        <v>6974</v>
      </c>
      <c r="H109" s="269">
        <f t="shared" si="1"/>
        <v>-34415628.790000021</v>
      </c>
      <c r="J109" s="428"/>
    </row>
    <row r="110" spans="1:10" x14ac:dyDescent="0.3">
      <c r="A110" s="408">
        <v>42521</v>
      </c>
      <c r="B110" s="270" t="s">
        <v>181</v>
      </c>
      <c r="C110" s="270"/>
      <c r="D110" s="266"/>
      <c r="E110" s="270" t="s">
        <v>385</v>
      </c>
      <c r="F110" s="268"/>
      <c r="G110" s="409">
        <v>110069.02</v>
      </c>
      <c r="H110" s="269">
        <f t="shared" si="1"/>
        <v>-34525697.810000025</v>
      </c>
      <c r="J110" s="428"/>
    </row>
    <row r="111" spans="1:10" x14ac:dyDescent="0.3">
      <c r="A111" s="408">
        <v>42521</v>
      </c>
      <c r="B111" s="270" t="s">
        <v>181</v>
      </c>
      <c r="C111" s="270"/>
      <c r="D111" s="266"/>
      <c r="E111" s="270" t="s">
        <v>386</v>
      </c>
      <c r="F111" s="268"/>
      <c r="G111" s="538">
        <v>696039</v>
      </c>
      <c r="H111" s="269">
        <f t="shared" si="1"/>
        <v>-35221736.810000025</v>
      </c>
      <c r="J111" s="428"/>
    </row>
    <row r="112" spans="1:10" x14ac:dyDescent="0.3">
      <c r="A112" s="408">
        <v>42521</v>
      </c>
      <c r="B112" s="270" t="s">
        <v>181</v>
      </c>
      <c r="C112" s="270"/>
      <c r="D112" s="266"/>
      <c r="E112" s="270" t="s">
        <v>386</v>
      </c>
      <c r="F112" s="268"/>
      <c r="G112" s="538">
        <v>1055875</v>
      </c>
      <c r="H112" s="269">
        <f t="shared" si="1"/>
        <v>-36277611.810000025</v>
      </c>
      <c r="J112" s="428"/>
    </row>
    <row r="113" spans="1:10" x14ac:dyDescent="0.3">
      <c r="A113" s="408">
        <v>42521</v>
      </c>
      <c r="B113" s="270" t="s">
        <v>181</v>
      </c>
      <c r="C113" s="270"/>
      <c r="D113" s="266"/>
      <c r="E113" s="270" t="s">
        <v>386</v>
      </c>
      <c r="F113" s="268"/>
      <c r="G113" s="538">
        <v>1626853</v>
      </c>
      <c r="H113" s="269">
        <f t="shared" si="1"/>
        <v>-37904464.810000025</v>
      </c>
      <c r="J113" s="428"/>
    </row>
    <row r="114" spans="1:10" x14ac:dyDescent="0.3">
      <c r="A114" s="408">
        <v>42521</v>
      </c>
      <c r="B114" s="270" t="s">
        <v>181</v>
      </c>
      <c r="C114" s="270"/>
      <c r="D114" s="266"/>
      <c r="E114" s="270" t="s">
        <v>337</v>
      </c>
      <c r="F114" s="268"/>
      <c r="G114" s="409">
        <v>1115.8399999999999</v>
      </c>
      <c r="H114" s="269">
        <f t="shared" si="1"/>
        <v>-37905580.650000028</v>
      </c>
      <c r="J114" s="428"/>
    </row>
    <row r="115" spans="1:10" x14ac:dyDescent="0.3">
      <c r="A115" s="429">
        <v>42521</v>
      </c>
      <c r="B115" s="270" t="s">
        <v>345</v>
      </c>
      <c r="C115" s="270"/>
      <c r="D115" s="266"/>
      <c r="E115" s="270" t="s">
        <v>209</v>
      </c>
      <c r="F115" s="268">
        <v>20154585</v>
      </c>
      <c r="G115" s="409"/>
      <c r="H115" s="269">
        <f t="shared" si="1"/>
        <v>-17750995.650000028</v>
      </c>
      <c r="J115" s="428"/>
    </row>
    <row r="116" spans="1:10" thickBot="1" x14ac:dyDescent="0.35">
      <c r="A116" s="430"/>
      <c r="B116" s="282"/>
      <c r="C116" s="282"/>
      <c r="D116" s="282"/>
      <c r="E116" s="283"/>
      <c r="F116" s="284">
        <f>SUM(F10:F115)</f>
        <v>108864148.14</v>
      </c>
      <c r="G116" s="431">
        <f>SUM(G10:G115)</f>
        <v>126576287.02999999</v>
      </c>
      <c r="H116" s="432"/>
      <c r="J116" s="428"/>
    </row>
    <row r="117" spans="1:10" x14ac:dyDescent="0.3">
      <c r="A117" s="430"/>
      <c r="H117" s="286"/>
      <c r="J117" s="428"/>
    </row>
    <row r="118" spans="1:10" x14ac:dyDescent="0.3">
      <c r="A118" s="433"/>
      <c r="F118" s="287"/>
      <c r="H118" s="286"/>
      <c r="J118" s="428"/>
    </row>
    <row r="119" spans="1:10" x14ac:dyDescent="0.3">
      <c r="A119" s="282"/>
      <c r="H119" s="287"/>
      <c r="J119" s="428"/>
    </row>
    <row r="120" spans="1:10" x14ac:dyDescent="0.3">
      <c r="J120" s="428"/>
    </row>
    <row r="121" spans="1:10" x14ac:dyDescent="0.3">
      <c r="J121" s="428"/>
    </row>
    <row r="122" spans="1:10" x14ac:dyDescent="0.3">
      <c r="J122" s="428"/>
    </row>
    <row r="126" spans="1:10" x14ac:dyDescent="0.3">
      <c r="I126" s="29"/>
    </row>
    <row r="131" spans="11:11" x14ac:dyDescent="0.3">
      <c r="K131" s="29"/>
    </row>
  </sheetData>
  <mergeCells count="6">
    <mergeCell ref="A8:H8"/>
    <mergeCell ref="E2:F2"/>
    <mergeCell ref="E3:F3"/>
    <mergeCell ref="E4:F4"/>
    <mergeCell ref="E5:F5"/>
    <mergeCell ref="E6:F6"/>
  </mergeCells>
  <printOptions horizontalCentered="1"/>
  <pageMargins left="0.17" right="0.7" top="0.75" bottom="0.75" header="0.3" footer="0.3"/>
  <pageSetup scale="60" orientation="landscape" verticalDpi="4294967293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52"/>
  <sheetViews>
    <sheetView topLeftCell="B1" zoomScale="110" zoomScaleNormal="110" workbookViewId="0">
      <selection activeCell="L30" sqref="L30"/>
    </sheetView>
  </sheetViews>
  <sheetFormatPr baseColWidth="10" defaultRowHeight="13.5" x14ac:dyDescent="0.25"/>
  <cols>
    <col min="1" max="2" width="11.5546875" style="53"/>
    <col min="3" max="3" width="10.6640625" style="53" bestFit="1" customWidth="1"/>
    <col min="4" max="4" width="11.6640625" style="53" bestFit="1" customWidth="1"/>
    <col min="5" max="5" width="48.33203125" style="53" bestFit="1" customWidth="1"/>
    <col min="6" max="6" width="25" style="545" bestFit="1" customWidth="1"/>
    <col min="7" max="7" width="12" style="352" bestFit="1" customWidth="1"/>
    <col min="8" max="8" width="14" style="352" bestFit="1" customWidth="1"/>
    <col min="9" max="9" width="14" style="53" bestFit="1" customWidth="1"/>
    <col min="10" max="11" width="12.109375" style="53" customWidth="1"/>
    <col min="12" max="12" width="28.21875" style="53" bestFit="1" customWidth="1"/>
    <col min="13" max="13" width="15.77734375" style="53" customWidth="1"/>
    <col min="14" max="14" width="36.6640625" style="53" bestFit="1" customWidth="1"/>
    <col min="15" max="15" width="12.44140625" style="53" bestFit="1" customWidth="1"/>
    <col min="16" max="16" width="12.21875" style="53" bestFit="1" customWidth="1"/>
    <col min="17" max="17" width="12.44140625" style="53" bestFit="1" customWidth="1"/>
    <col min="18" max="16384" width="11.5546875" style="53"/>
  </cols>
  <sheetData>
    <row r="2" spans="3:11" x14ac:dyDescent="0.25">
      <c r="C2" s="630" t="s">
        <v>260</v>
      </c>
      <c r="D2" s="630"/>
      <c r="E2" s="630"/>
      <c r="F2" s="630"/>
      <c r="G2" s="630"/>
      <c r="H2" s="630"/>
      <c r="I2" s="336"/>
      <c r="J2" s="53" t="s">
        <v>232</v>
      </c>
    </row>
    <row r="3" spans="3:11" x14ac:dyDescent="0.25">
      <c r="C3" s="631" t="s">
        <v>469</v>
      </c>
      <c r="D3" s="631"/>
      <c r="E3" s="631"/>
      <c r="F3" s="631"/>
      <c r="G3" s="631"/>
      <c r="H3" s="631"/>
      <c r="J3" s="53" t="s">
        <v>232</v>
      </c>
    </row>
    <row r="4" spans="3:11" x14ac:dyDescent="0.25">
      <c r="D4" s="337">
        <f ca="1">TODAY()</f>
        <v>42563</v>
      </c>
      <c r="I4" s="336"/>
      <c r="J4" s="53" t="s">
        <v>232</v>
      </c>
    </row>
    <row r="5" spans="3:11" x14ac:dyDescent="0.25">
      <c r="C5" s="364" t="s">
        <v>67</v>
      </c>
      <c r="D5" s="364" t="s">
        <v>2</v>
      </c>
      <c r="E5" s="364" t="s">
        <v>9</v>
      </c>
      <c r="F5" s="492" t="s">
        <v>618</v>
      </c>
      <c r="G5" s="340" t="s">
        <v>146</v>
      </c>
      <c r="H5" s="341" t="s">
        <v>68</v>
      </c>
      <c r="I5" s="341" t="s">
        <v>261</v>
      </c>
      <c r="K5" s="53" t="s">
        <v>232</v>
      </c>
    </row>
    <row r="6" spans="3:11" x14ac:dyDescent="0.25">
      <c r="C6" s="338">
        <v>42430</v>
      </c>
      <c r="D6" s="339" t="s">
        <v>176</v>
      </c>
      <c r="E6" s="339" t="s">
        <v>262</v>
      </c>
      <c r="F6" s="339"/>
      <c r="G6" s="340"/>
      <c r="H6" s="341"/>
      <c r="I6" s="342">
        <f>3518060+870427</f>
        <v>4388487</v>
      </c>
      <c r="J6" s="336"/>
      <c r="K6" s="53" t="s">
        <v>232</v>
      </c>
    </row>
    <row r="7" spans="3:11" x14ac:dyDescent="0.25">
      <c r="C7" s="338">
        <v>42492</v>
      </c>
      <c r="D7" s="339" t="s">
        <v>176</v>
      </c>
      <c r="E7" s="339" t="s">
        <v>263</v>
      </c>
      <c r="F7" s="339"/>
      <c r="G7" s="340">
        <v>2613246</v>
      </c>
      <c r="H7" s="341"/>
      <c r="I7" s="342">
        <f>+I6+Tabla26[[#This Row],[DEBITO]]-Tabla26[[#This Row],[CREDITO]]</f>
        <v>7001733</v>
      </c>
      <c r="K7" s="53" t="s">
        <v>232</v>
      </c>
    </row>
    <row r="8" spans="3:11" x14ac:dyDescent="0.25">
      <c r="C8" s="343">
        <v>42492</v>
      </c>
      <c r="D8" s="344" t="s">
        <v>264</v>
      </c>
      <c r="E8" s="345" t="s">
        <v>387</v>
      </c>
      <c r="F8" s="546" t="s">
        <v>626</v>
      </c>
      <c r="G8" s="346"/>
      <c r="H8" s="347">
        <v>9250</v>
      </c>
      <c r="I8" s="348">
        <f>+I7+Tabla26[[#This Row],[DEBITO]]-Tabla26[[#This Row],[CREDITO]]</f>
        <v>6992483</v>
      </c>
      <c r="J8" s="336"/>
      <c r="K8" s="336"/>
    </row>
    <row r="9" spans="3:11" x14ac:dyDescent="0.25">
      <c r="C9" s="343">
        <v>42492</v>
      </c>
      <c r="D9" s="344" t="s">
        <v>264</v>
      </c>
      <c r="E9" s="345" t="s">
        <v>266</v>
      </c>
      <c r="F9" s="546" t="s">
        <v>626</v>
      </c>
      <c r="G9" s="349"/>
      <c r="H9" s="347">
        <v>10000</v>
      </c>
      <c r="I9" s="348">
        <f>+I8+Tabla26[[#This Row],[DEBITO]]-Tabla26[[#This Row],[CREDITO]]</f>
        <v>6982483</v>
      </c>
      <c r="K9" s="53" t="s">
        <v>232</v>
      </c>
    </row>
    <row r="10" spans="3:11" x14ac:dyDescent="0.25">
      <c r="C10" s="343">
        <v>42492</v>
      </c>
      <c r="D10" s="344" t="s">
        <v>264</v>
      </c>
      <c r="E10" s="345" t="s">
        <v>388</v>
      </c>
      <c r="F10" s="546" t="s">
        <v>626</v>
      </c>
      <c r="G10" s="351"/>
      <c r="H10" s="352">
        <v>28000</v>
      </c>
      <c r="I10" s="348">
        <f>+I9+Tabla26[[#This Row],[DEBITO]]-Tabla26[[#This Row],[CREDITO]]</f>
        <v>6954483</v>
      </c>
      <c r="J10" s="336"/>
      <c r="K10" s="53" t="s">
        <v>232</v>
      </c>
    </row>
    <row r="11" spans="3:11" x14ac:dyDescent="0.25">
      <c r="C11" s="343">
        <v>42492</v>
      </c>
      <c r="D11" s="344" t="s">
        <v>264</v>
      </c>
      <c r="E11" s="345" t="s">
        <v>389</v>
      </c>
      <c r="F11" s="546" t="s">
        <v>626</v>
      </c>
      <c r="G11" s="349"/>
      <c r="H11" s="347">
        <v>30000</v>
      </c>
      <c r="I11" s="348">
        <f>+I10+Tabla26[[#This Row],[DEBITO]]-Tabla26[[#This Row],[CREDITO]]</f>
        <v>6924483</v>
      </c>
      <c r="J11" s="434"/>
      <c r="K11" s="53" t="s">
        <v>232</v>
      </c>
    </row>
    <row r="12" spans="3:11" x14ac:dyDescent="0.25">
      <c r="C12" s="343">
        <v>42492</v>
      </c>
      <c r="D12" s="344" t="s">
        <v>264</v>
      </c>
      <c r="E12" s="345" t="s">
        <v>294</v>
      </c>
      <c r="F12" s="546" t="s">
        <v>626</v>
      </c>
      <c r="G12" s="355"/>
      <c r="H12" s="435">
        <v>50000</v>
      </c>
      <c r="I12" s="348">
        <f>+I11+Tabla26[[#This Row],[DEBITO]]-Tabla26[[#This Row],[CREDITO]]</f>
        <v>6874483</v>
      </c>
      <c r="J12" s="336"/>
      <c r="K12" s="53" t="s">
        <v>232</v>
      </c>
    </row>
    <row r="13" spans="3:11" x14ac:dyDescent="0.25">
      <c r="C13" s="343">
        <v>42492</v>
      </c>
      <c r="D13" s="344" t="s">
        <v>264</v>
      </c>
      <c r="E13" s="345" t="s">
        <v>390</v>
      </c>
      <c r="F13" s="546" t="s">
        <v>626</v>
      </c>
      <c r="G13" s="346"/>
      <c r="H13" s="347">
        <v>52000</v>
      </c>
      <c r="I13" s="348">
        <f>+I12+Tabla26[[#This Row],[DEBITO]]-Tabla26[[#This Row],[CREDITO]]</f>
        <v>6822483</v>
      </c>
      <c r="K13" s="53" t="s">
        <v>232</v>
      </c>
    </row>
    <row r="14" spans="3:11" x14ac:dyDescent="0.25">
      <c r="C14" s="343">
        <v>42492</v>
      </c>
      <c r="D14" s="344" t="s">
        <v>264</v>
      </c>
      <c r="E14" s="345" t="s">
        <v>628</v>
      </c>
      <c r="F14" s="546" t="s">
        <v>626</v>
      </c>
      <c r="G14" s="346"/>
      <c r="H14" s="347">
        <v>318000</v>
      </c>
      <c r="I14" s="348">
        <f>+I13+Tabla26[[#This Row],[DEBITO]]-Tabla26[[#This Row],[CREDITO]]</f>
        <v>6504483</v>
      </c>
      <c r="J14" s="336"/>
      <c r="K14" s="53" t="s">
        <v>232</v>
      </c>
    </row>
    <row r="15" spans="3:11" x14ac:dyDescent="0.25">
      <c r="C15" s="343">
        <v>42492</v>
      </c>
      <c r="D15" s="344" t="s">
        <v>264</v>
      </c>
      <c r="E15" s="345" t="s">
        <v>391</v>
      </c>
      <c r="F15" s="546" t="s">
        <v>626</v>
      </c>
      <c r="G15" s="346"/>
      <c r="H15" s="347">
        <v>1891841</v>
      </c>
      <c r="I15" s="348">
        <f>+I14+Tabla26[[#This Row],[DEBITO]]-Tabla26[[#This Row],[CREDITO]]</f>
        <v>4612642</v>
      </c>
      <c r="K15" s="53" t="s">
        <v>232</v>
      </c>
    </row>
    <row r="16" spans="3:11" x14ac:dyDescent="0.25">
      <c r="C16" s="353">
        <v>42493</v>
      </c>
      <c r="D16" s="354" t="s">
        <v>176</v>
      </c>
      <c r="E16" s="354" t="s">
        <v>392</v>
      </c>
      <c r="F16" s="354"/>
      <c r="G16" s="355">
        <v>2324792</v>
      </c>
      <c r="H16" s="356">
        <v>0</v>
      </c>
      <c r="I16" s="348">
        <f>+I15+Tabla26[[#This Row],[DEBITO]]-Tabla26[[#This Row],[CREDITO]]</f>
        <v>6937434</v>
      </c>
      <c r="J16" s="336"/>
      <c r="K16" s="53" t="s">
        <v>232</v>
      </c>
    </row>
    <row r="17" spans="3:11" x14ac:dyDescent="0.25">
      <c r="C17" s="436">
        <v>42493</v>
      </c>
      <c r="D17" s="345" t="s">
        <v>264</v>
      </c>
      <c r="E17" s="345" t="s">
        <v>393</v>
      </c>
      <c r="F17" s="546" t="s">
        <v>626</v>
      </c>
      <c r="G17" s="355"/>
      <c r="H17" s="435">
        <v>560669</v>
      </c>
      <c r="I17" s="348">
        <f>+I16+Tabla26[[#This Row],[DEBITO]]-Tabla26[[#This Row],[CREDITO]]</f>
        <v>6376765</v>
      </c>
      <c r="K17" s="53" t="s">
        <v>232</v>
      </c>
    </row>
    <row r="18" spans="3:11" x14ac:dyDescent="0.25">
      <c r="C18" s="436">
        <v>42493</v>
      </c>
      <c r="D18" s="345" t="s">
        <v>264</v>
      </c>
      <c r="E18" s="345" t="s">
        <v>394</v>
      </c>
      <c r="F18" s="546" t="s">
        <v>136</v>
      </c>
      <c r="G18" s="346"/>
      <c r="H18" s="347">
        <v>225000</v>
      </c>
      <c r="I18" s="348">
        <f>+I17+Tabla26[[#This Row],[DEBITO]]-Tabla26[[#This Row],[CREDITO]]</f>
        <v>6151765</v>
      </c>
      <c r="J18" s="336"/>
      <c r="K18" s="53" t="s">
        <v>232</v>
      </c>
    </row>
    <row r="19" spans="3:11" x14ac:dyDescent="0.25">
      <c r="C19" s="436">
        <v>42493</v>
      </c>
      <c r="D19" s="345" t="s">
        <v>264</v>
      </c>
      <c r="E19" s="345" t="s">
        <v>395</v>
      </c>
      <c r="F19" s="546" t="s">
        <v>136</v>
      </c>
      <c r="G19" s="351"/>
      <c r="H19" s="352">
        <v>200000</v>
      </c>
      <c r="I19" s="348">
        <f>+I18+Tabla26[[#This Row],[DEBITO]]-Tabla26[[#This Row],[CREDITO]]</f>
        <v>5951765</v>
      </c>
      <c r="K19" s="53" t="s">
        <v>232</v>
      </c>
    </row>
    <row r="20" spans="3:11" x14ac:dyDescent="0.25">
      <c r="C20" s="436">
        <v>42493</v>
      </c>
      <c r="D20" s="345" t="s">
        <v>264</v>
      </c>
      <c r="E20" s="345" t="s">
        <v>396</v>
      </c>
      <c r="F20" s="546" t="s">
        <v>136</v>
      </c>
      <c r="G20" s="351"/>
      <c r="H20" s="352">
        <v>100000</v>
      </c>
      <c r="I20" s="348">
        <f>+I19+Tabla26[[#This Row],[DEBITO]]-Tabla26[[#This Row],[CREDITO]]</f>
        <v>5851765</v>
      </c>
      <c r="J20" s="336"/>
      <c r="K20" s="53" t="s">
        <v>232</v>
      </c>
    </row>
    <row r="21" spans="3:11" x14ac:dyDescent="0.25">
      <c r="C21" s="436">
        <v>42493</v>
      </c>
      <c r="D21" s="345" t="s">
        <v>264</v>
      </c>
      <c r="E21" s="345" t="s">
        <v>294</v>
      </c>
      <c r="F21" s="546" t="s">
        <v>626</v>
      </c>
      <c r="G21" s="351"/>
      <c r="H21" s="352">
        <v>50000</v>
      </c>
      <c r="I21" s="348">
        <f>+I20+Tabla26[[#This Row],[DEBITO]]-Tabla26[[#This Row],[CREDITO]]</f>
        <v>5801765</v>
      </c>
      <c r="K21" s="53" t="s">
        <v>232</v>
      </c>
    </row>
    <row r="22" spans="3:11" x14ac:dyDescent="0.25">
      <c r="C22" s="436">
        <v>42493</v>
      </c>
      <c r="D22" s="345" t="s">
        <v>264</v>
      </c>
      <c r="E22" s="345" t="s">
        <v>397</v>
      </c>
      <c r="F22" s="546" t="s">
        <v>626</v>
      </c>
      <c r="G22" s="351"/>
      <c r="H22" s="352">
        <v>52000</v>
      </c>
      <c r="I22" s="348">
        <f>+I21+Tabla26[[#This Row],[DEBITO]]-Tabla26[[#This Row],[CREDITO]]</f>
        <v>5749765</v>
      </c>
      <c r="J22" s="336"/>
      <c r="K22" s="53" t="s">
        <v>232</v>
      </c>
    </row>
    <row r="23" spans="3:11" x14ac:dyDescent="0.25">
      <c r="C23" s="436">
        <v>42493</v>
      </c>
      <c r="D23" s="345" t="s">
        <v>264</v>
      </c>
      <c r="E23" s="345" t="s">
        <v>398</v>
      </c>
      <c r="F23" s="546" t="s">
        <v>136</v>
      </c>
      <c r="G23" s="351"/>
      <c r="H23" s="352">
        <v>10000</v>
      </c>
      <c r="I23" s="348">
        <f>+I22+Tabla26[[#This Row],[DEBITO]]-Tabla26[[#This Row],[CREDITO]]</f>
        <v>5739765</v>
      </c>
      <c r="K23" s="53" t="s">
        <v>232</v>
      </c>
    </row>
    <row r="24" spans="3:11" x14ac:dyDescent="0.25">
      <c r="C24" s="436">
        <v>42493</v>
      </c>
      <c r="D24" s="345" t="s">
        <v>264</v>
      </c>
      <c r="E24" s="345" t="s">
        <v>399</v>
      </c>
      <c r="F24" s="546" t="s">
        <v>626</v>
      </c>
      <c r="G24" s="340"/>
      <c r="H24" s="360">
        <v>9250</v>
      </c>
      <c r="I24" s="348">
        <f>+I23+Tabla26[[#This Row],[DEBITO]]-Tabla26[[#This Row],[CREDITO]]</f>
        <v>5730515</v>
      </c>
      <c r="J24" s="336"/>
      <c r="K24" s="53" t="s">
        <v>232</v>
      </c>
    </row>
    <row r="25" spans="3:11" x14ac:dyDescent="0.25">
      <c r="C25" s="357">
        <v>42494</v>
      </c>
      <c r="D25" s="339" t="s">
        <v>176</v>
      </c>
      <c r="E25" s="339" t="s">
        <v>265</v>
      </c>
      <c r="F25" s="339"/>
      <c r="G25" s="340">
        <v>2998244</v>
      </c>
      <c r="H25" s="360">
        <v>0</v>
      </c>
      <c r="I25" s="348">
        <f>+I24+Tabla26[[#This Row],[DEBITO]]-Tabla26[[#This Row],[CREDITO]]</f>
        <v>8728759</v>
      </c>
      <c r="K25" s="53" t="s">
        <v>232</v>
      </c>
    </row>
    <row r="26" spans="3:11" x14ac:dyDescent="0.25">
      <c r="C26" s="359">
        <v>42494</v>
      </c>
      <c r="D26" s="350" t="s">
        <v>264</v>
      </c>
      <c r="E26" s="345" t="s">
        <v>267</v>
      </c>
      <c r="F26" s="546" t="s">
        <v>626</v>
      </c>
      <c r="G26" s="351"/>
      <c r="H26" s="352">
        <v>9250</v>
      </c>
      <c r="I26" s="348">
        <f>+I25+Tabla26[[#This Row],[DEBITO]]-Tabla26[[#This Row],[CREDITO]]</f>
        <v>8719509</v>
      </c>
      <c r="J26" s="336"/>
      <c r="K26" s="53" t="s">
        <v>232</v>
      </c>
    </row>
    <row r="27" spans="3:11" x14ac:dyDescent="0.25">
      <c r="C27" s="359">
        <v>42494</v>
      </c>
      <c r="D27" s="350" t="s">
        <v>264</v>
      </c>
      <c r="E27" s="345" t="s">
        <v>400</v>
      </c>
      <c r="F27" s="546" t="s">
        <v>136</v>
      </c>
      <c r="G27" s="351"/>
      <c r="H27" s="352">
        <v>10000</v>
      </c>
      <c r="I27" s="348">
        <f>+I26+Tabla26[[#This Row],[DEBITO]]-Tabla26[[#This Row],[CREDITO]]</f>
        <v>8709509</v>
      </c>
      <c r="K27" s="53" t="s">
        <v>232</v>
      </c>
    </row>
    <row r="28" spans="3:11" x14ac:dyDescent="0.25">
      <c r="C28" s="359">
        <v>42494</v>
      </c>
      <c r="D28" s="350" t="s">
        <v>264</v>
      </c>
      <c r="E28" s="345" t="s">
        <v>401</v>
      </c>
      <c r="F28" s="546" t="s">
        <v>626</v>
      </c>
      <c r="G28" s="351"/>
      <c r="H28" s="352">
        <v>35000</v>
      </c>
      <c r="I28" s="348">
        <f>+I27+Tabla26[[#This Row],[DEBITO]]-Tabla26[[#This Row],[CREDITO]]</f>
        <v>8674509</v>
      </c>
      <c r="K28" s="53" t="s">
        <v>232</v>
      </c>
    </row>
    <row r="29" spans="3:11" x14ac:dyDescent="0.25">
      <c r="C29" s="359">
        <v>42494</v>
      </c>
      <c r="D29" s="350" t="s">
        <v>264</v>
      </c>
      <c r="E29" s="345" t="s">
        <v>402</v>
      </c>
      <c r="F29" s="546" t="s">
        <v>626</v>
      </c>
      <c r="G29" s="351"/>
      <c r="H29" s="352">
        <v>38000</v>
      </c>
      <c r="I29" s="348">
        <f>+I28+Tabla26[[#This Row],[DEBITO]]-Tabla26[[#This Row],[CREDITO]]</f>
        <v>8636509</v>
      </c>
      <c r="K29" s="53" t="s">
        <v>232</v>
      </c>
    </row>
    <row r="30" spans="3:11" x14ac:dyDescent="0.25">
      <c r="C30" s="359">
        <v>42494</v>
      </c>
      <c r="D30" s="350" t="s">
        <v>264</v>
      </c>
      <c r="E30" s="345" t="s">
        <v>403</v>
      </c>
      <c r="F30" s="546" t="s">
        <v>626</v>
      </c>
      <c r="G30" s="351"/>
      <c r="H30" s="352">
        <v>100000</v>
      </c>
      <c r="I30" s="348">
        <f>+I29+Tabla26[[#This Row],[DEBITO]]-Tabla26[[#This Row],[CREDITO]]</f>
        <v>8536509</v>
      </c>
    </row>
    <row r="31" spans="3:11" x14ac:dyDescent="0.25">
      <c r="C31" s="359">
        <v>42494</v>
      </c>
      <c r="D31" s="350" t="s">
        <v>264</v>
      </c>
      <c r="E31" s="345" t="s">
        <v>404</v>
      </c>
      <c r="F31" s="546" t="s">
        <v>626</v>
      </c>
      <c r="G31" s="340"/>
      <c r="H31" s="360">
        <v>140000</v>
      </c>
      <c r="I31" s="348">
        <f>+I30+Tabla26[[#This Row],[DEBITO]]-Tabla26[[#This Row],[CREDITO]]</f>
        <v>8396509</v>
      </c>
    </row>
    <row r="32" spans="3:11" x14ac:dyDescent="0.25">
      <c r="C32" s="359">
        <v>42494</v>
      </c>
      <c r="D32" s="350" t="s">
        <v>264</v>
      </c>
      <c r="E32" s="345" t="s">
        <v>405</v>
      </c>
      <c r="F32" s="546" t="s">
        <v>136</v>
      </c>
      <c r="G32" s="351"/>
      <c r="H32" s="352">
        <v>200000</v>
      </c>
      <c r="I32" s="348">
        <f>+I31+Tabla26[[#This Row],[DEBITO]]-Tabla26[[#This Row],[CREDITO]]</f>
        <v>8196509</v>
      </c>
    </row>
    <row r="33" spans="3:11" x14ac:dyDescent="0.25">
      <c r="C33" s="357">
        <v>42495</v>
      </c>
      <c r="D33" s="339" t="s">
        <v>176</v>
      </c>
      <c r="E33" s="354" t="s">
        <v>268</v>
      </c>
      <c r="F33" s="354"/>
      <c r="G33" s="340">
        <v>2551554</v>
      </c>
      <c r="H33" s="341">
        <v>0</v>
      </c>
      <c r="I33" s="348">
        <f>+I32+Tabla26[[#This Row],[DEBITO]]-Tabla26[[#This Row],[CREDITO]]</f>
        <v>10748063</v>
      </c>
    </row>
    <row r="34" spans="3:11" x14ac:dyDescent="0.25">
      <c r="C34" s="359">
        <v>42495</v>
      </c>
      <c r="D34" s="350" t="s">
        <v>264</v>
      </c>
      <c r="E34" s="437" t="s">
        <v>272</v>
      </c>
      <c r="F34" s="547" t="s">
        <v>626</v>
      </c>
      <c r="G34" s="351"/>
      <c r="H34" s="352">
        <v>9250</v>
      </c>
      <c r="I34" s="348">
        <f>+I33+Tabla26[[#This Row],[DEBITO]]-Tabla26[[#This Row],[CREDITO]]</f>
        <v>10738813</v>
      </c>
    </row>
    <row r="35" spans="3:11" x14ac:dyDescent="0.25">
      <c r="C35" s="359">
        <v>42495</v>
      </c>
      <c r="D35" s="350" t="s">
        <v>264</v>
      </c>
      <c r="E35" s="358" t="s">
        <v>406</v>
      </c>
      <c r="F35" s="548" t="s">
        <v>626</v>
      </c>
      <c r="G35" s="351"/>
      <c r="H35" s="352">
        <v>52000</v>
      </c>
      <c r="I35" s="348">
        <f>+I34+Tabla26[[#This Row],[DEBITO]]-Tabla26[[#This Row],[CREDITO]]</f>
        <v>10686813</v>
      </c>
      <c r="K35" s="336"/>
    </row>
    <row r="36" spans="3:11" x14ac:dyDescent="0.25">
      <c r="C36" s="359">
        <v>42495</v>
      </c>
      <c r="D36" s="350" t="s">
        <v>264</v>
      </c>
      <c r="E36" s="358" t="s">
        <v>266</v>
      </c>
      <c r="F36" s="548" t="s">
        <v>626</v>
      </c>
      <c r="G36" s="351"/>
      <c r="H36" s="352">
        <v>10000</v>
      </c>
      <c r="I36" s="348">
        <f>+I35+Tabla26[[#This Row],[DEBITO]]-Tabla26[[#This Row],[CREDITO]]</f>
        <v>10676813</v>
      </c>
    </row>
    <row r="37" spans="3:11" x14ac:dyDescent="0.25">
      <c r="C37" s="359">
        <v>42495</v>
      </c>
      <c r="D37" s="350" t="s">
        <v>264</v>
      </c>
      <c r="E37" s="345" t="s">
        <v>407</v>
      </c>
      <c r="F37" s="546" t="s">
        <v>626</v>
      </c>
      <c r="G37" s="351"/>
      <c r="H37" s="352">
        <v>50000</v>
      </c>
      <c r="I37" s="348">
        <f>+I36+Tabla26[[#This Row],[DEBITO]]-Tabla26[[#This Row],[CREDITO]]</f>
        <v>10626813</v>
      </c>
    </row>
    <row r="38" spans="3:11" x14ac:dyDescent="0.25">
      <c r="C38" s="359">
        <v>42495</v>
      </c>
      <c r="D38" s="350" t="s">
        <v>264</v>
      </c>
      <c r="E38" s="345" t="s">
        <v>408</v>
      </c>
      <c r="F38" s="546" t="s">
        <v>626</v>
      </c>
      <c r="G38" s="351"/>
      <c r="H38" s="352">
        <v>1438725</v>
      </c>
      <c r="I38" s="348">
        <f>+I37+Tabla26[[#This Row],[DEBITO]]-Tabla26[[#This Row],[CREDITO]]</f>
        <v>9188088</v>
      </c>
    </row>
    <row r="39" spans="3:11" x14ac:dyDescent="0.25">
      <c r="C39" s="357">
        <v>42496</v>
      </c>
      <c r="D39" s="339" t="s">
        <v>176</v>
      </c>
      <c r="E39" s="354" t="s">
        <v>269</v>
      </c>
      <c r="F39" s="354"/>
      <c r="G39" s="340">
        <v>3435046</v>
      </c>
      <c r="H39" s="341">
        <v>0</v>
      </c>
      <c r="I39" s="348">
        <f>+I38+Tabla26[[#This Row],[DEBITO]]-Tabla26[[#This Row],[CREDITO]]</f>
        <v>12623134</v>
      </c>
    </row>
    <row r="40" spans="3:11" x14ac:dyDescent="0.25">
      <c r="C40" s="359">
        <v>42496</v>
      </c>
      <c r="D40" s="438" t="s">
        <v>264</v>
      </c>
      <c r="E40" s="345" t="s">
        <v>272</v>
      </c>
      <c r="F40" s="546" t="s">
        <v>626</v>
      </c>
      <c r="G40" s="340"/>
      <c r="H40" s="360">
        <v>9250</v>
      </c>
      <c r="I40" s="348">
        <f>+I39+Tabla26[[#This Row],[DEBITO]]-Tabla26[[#This Row],[CREDITO]]</f>
        <v>12613884</v>
      </c>
    </row>
    <row r="41" spans="3:11" x14ac:dyDescent="0.25">
      <c r="C41" s="359">
        <v>42496</v>
      </c>
      <c r="D41" s="438" t="s">
        <v>264</v>
      </c>
      <c r="E41" s="345" t="s">
        <v>294</v>
      </c>
      <c r="F41" s="546" t="s">
        <v>626</v>
      </c>
      <c r="G41" s="351"/>
      <c r="H41" s="352">
        <v>50000</v>
      </c>
      <c r="I41" s="348">
        <f>+I40+Tabla26[[#This Row],[DEBITO]]-Tabla26[[#This Row],[CREDITO]]</f>
        <v>12563884</v>
      </c>
      <c r="K41" s="336"/>
    </row>
    <row r="42" spans="3:11" x14ac:dyDescent="0.25">
      <c r="C42" s="359">
        <v>42496</v>
      </c>
      <c r="D42" s="438" t="s">
        <v>264</v>
      </c>
      <c r="E42" s="345" t="s">
        <v>409</v>
      </c>
      <c r="F42" s="546" t="s">
        <v>626</v>
      </c>
      <c r="G42" s="351"/>
      <c r="H42" s="352">
        <v>52000</v>
      </c>
      <c r="I42" s="348">
        <f>+I41+Tabla26[[#This Row],[DEBITO]]-Tabla26[[#This Row],[CREDITO]]</f>
        <v>12511884</v>
      </c>
    </row>
    <row r="43" spans="3:11" x14ac:dyDescent="0.25">
      <c r="C43" s="357">
        <v>42497</v>
      </c>
      <c r="D43" s="339" t="s">
        <v>176</v>
      </c>
      <c r="E43" s="354" t="s">
        <v>410</v>
      </c>
      <c r="F43" s="354"/>
      <c r="G43" s="340">
        <v>1077020</v>
      </c>
      <c r="H43" s="341">
        <v>0</v>
      </c>
      <c r="I43" s="348">
        <f>+I42+Tabla26[[#This Row],[DEBITO]]-Tabla26[[#This Row],[CREDITO]]</f>
        <v>13588904</v>
      </c>
    </row>
    <row r="44" spans="3:11" x14ac:dyDescent="0.25">
      <c r="C44" s="359">
        <v>42497</v>
      </c>
      <c r="D44" s="350" t="s">
        <v>264</v>
      </c>
      <c r="E44" s="345" t="s">
        <v>267</v>
      </c>
      <c r="F44" s="546" t="s">
        <v>626</v>
      </c>
      <c r="G44" s="351"/>
      <c r="H44" s="352">
        <v>9250</v>
      </c>
      <c r="I44" s="348">
        <f>+I43+Tabla26[[#This Row],[DEBITO]]-Tabla26[[#This Row],[CREDITO]]</f>
        <v>13579654</v>
      </c>
    </row>
    <row r="45" spans="3:11" x14ac:dyDescent="0.25">
      <c r="C45" s="359">
        <v>42497</v>
      </c>
      <c r="D45" s="350" t="s">
        <v>264</v>
      </c>
      <c r="E45" s="345" t="s">
        <v>411</v>
      </c>
      <c r="F45" s="546" t="s">
        <v>626</v>
      </c>
      <c r="G45" s="351"/>
      <c r="H45" s="352">
        <v>21000</v>
      </c>
      <c r="I45" s="348">
        <f>+I44+Tabla26[[#This Row],[DEBITO]]-Tabla26[[#This Row],[CREDITO]]</f>
        <v>13558654</v>
      </c>
    </row>
    <row r="46" spans="3:11" x14ac:dyDescent="0.25">
      <c r="C46" s="359">
        <v>42497</v>
      </c>
      <c r="D46" s="350" t="s">
        <v>264</v>
      </c>
      <c r="E46" s="345" t="s">
        <v>412</v>
      </c>
      <c r="F46" s="546" t="s">
        <v>626</v>
      </c>
      <c r="G46" s="351"/>
      <c r="H46" s="352">
        <v>50000</v>
      </c>
      <c r="I46" s="348">
        <f>+I45+Tabla26[[#This Row],[DEBITO]]-Tabla26[[#This Row],[CREDITO]]</f>
        <v>13508654</v>
      </c>
    </row>
    <row r="47" spans="3:11" x14ac:dyDescent="0.25">
      <c r="C47" s="359">
        <v>42497</v>
      </c>
      <c r="D47" s="350" t="s">
        <v>264</v>
      </c>
      <c r="E47" s="345" t="s">
        <v>413</v>
      </c>
      <c r="F47" s="546" t="s">
        <v>626</v>
      </c>
      <c r="G47" s="351"/>
      <c r="H47" s="352">
        <v>100000</v>
      </c>
      <c r="I47" s="348">
        <f>+I46+Tabla26[[#This Row],[DEBITO]]-Tabla26[[#This Row],[CREDITO]]</f>
        <v>13408654</v>
      </c>
    </row>
    <row r="48" spans="3:11" x14ac:dyDescent="0.25">
      <c r="C48" s="359">
        <v>42497</v>
      </c>
      <c r="D48" s="350" t="s">
        <v>264</v>
      </c>
      <c r="E48" s="345" t="s">
        <v>414</v>
      </c>
      <c r="F48" s="546" t="s">
        <v>626</v>
      </c>
      <c r="G48" s="340"/>
      <c r="H48" s="360">
        <v>1355458</v>
      </c>
      <c r="I48" s="348">
        <f>+I47+Tabla26[[#This Row],[DEBITO]]-Tabla26[[#This Row],[CREDITO]]</f>
        <v>12053196</v>
      </c>
    </row>
    <row r="49" spans="3:9" x14ac:dyDescent="0.25">
      <c r="C49" s="357">
        <v>42500</v>
      </c>
      <c r="D49" s="339" t="s">
        <v>176</v>
      </c>
      <c r="E49" s="354" t="s">
        <v>415</v>
      </c>
      <c r="F49" s="354"/>
      <c r="G49" s="340">
        <v>2508852</v>
      </c>
      <c r="H49" s="341">
        <v>0</v>
      </c>
      <c r="I49" s="348">
        <f>+I48+Tabla26[[#This Row],[DEBITO]]-Tabla26[[#This Row],[CREDITO]]</f>
        <v>14562048</v>
      </c>
    </row>
    <row r="50" spans="3:9" x14ac:dyDescent="0.25">
      <c r="C50" s="359">
        <v>42500</v>
      </c>
      <c r="D50" s="350" t="s">
        <v>264</v>
      </c>
      <c r="E50" s="345" t="s">
        <v>283</v>
      </c>
      <c r="F50" s="546" t="s">
        <v>626</v>
      </c>
      <c r="G50" s="351"/>
      <c r="H50" s="352">
        <v>9250</v>
      </c>
      <c r="I50" s="348">
        <f>+I49+Tabla26[[#This Row],[DEBITO]]-Tabla26[[#This Row],[CREDITO]]</f>
        <v>14552798</v>
      </c>
    </row>
    <row r="51" spans="3:9" x14ac:dyDescent="0.25">
      <c r="C51" s="359">
        <v>42500</v>
      </c>
      <c r="D51" s="350" t="s">
        <v>264</v>
      </c>
      <c r="E51" s="345" t="s">
        <v>284</v>
      </c>
      <c r="F51" s="546" t="s">
        <v>626</v>
      </c>
      <c r="G51" s="351"/>
      <c r="H51" s="352">
        <v>30000</v>
      </c>
      <c r="I51" s="348">
        <f>+I50+Tabla26[[#This Row],[DEBITO]]-Tabla26[[#This Row],[CREDITO]]</f>
        <v>14522798</v>
      </c>
    </row>
    <row r="52" spans="3:9" x14ac:dyDescent="0.25">
      <c r="C52" s="359">
        <v>42500</v>
      </c>
      <c r="D52" s="350" t="s">
        <v>264</v>
      </c>
      <c r="E52" s="345" t="s">
        <v>287</v>
      </c>
      <c r="F52" s="546" t="s">
        <v>626</v>
      </c>
      <c r="G52" s="351"/>
      <c r="H52" s="352">
        <v>45000</v>
      </c>
      <c r="I52" s="348">
        <f>+I51+Tabla26[[#This Row],[DEBITO]]-Tabla26[[#This Row],[CREDITO]]</f>
        <v>14477798</v>
      </c>
    </row>
    <row r="53" spans="3:9" x14ac:dyDescent="0.25">
      <c r="C53" s="359">
        <v>42500</v>
      </c>
      <c r="D53" s="350" t="s">
        <v>264</v>
      </c>
      <c r="E53" s="345" t="s">
        <v>416</v>
      </c>
      <c r="F53" s="546" t="s">
        <v>626</v>
      </c>
      <c r="G53" s="351"/>
      <c r="H53" s="352">
        <v>50000</v>
      </c>
      <c r="I53" s="348">
        <f>+I52+Tabla26[[#This Row],[DEBITO]]-Tabla26[[#This Row],[CREDITO]]</f>
        <v>14427798</v>
      </c>
    </row>
    <row r="54" spans="3:9" x14ac:dyDescent="0.25">
      <c r="C54" s="359">
        <v>42500</v>
      </c>
      <c r="D54" s="350" t="s">
        <v>264</v>
      </c>
      <c r="E54" s="345" t="s">
        <v>417</v>
      </c>
      <c r="F54" s="546" t="s">
        <v>136</v>
      </c>
      <c r="G54" s="351"/>
      <c r="H54" s="352">
        <v>1000000</v>
      </c>
      <c r="I54" s="348">
        <f>+I53+Tabla26[[#This Row],[DEBITO]]-Tabla26[[#This Row],[CREDITO]]</f>
        <v>13427798</v>
      </c>
    </row>
    <row r="55" spans="3:9" x14ac:dyDescent="0.25">
      <c r="C55" s="357">
        <v>42501</v>
      </c>
      <c r="D55" s="339" t="s">
        <v>176</v>
      </c>
      <c r="E55" s="354" t="s">
        <v>273</v>
      </c>
      <c r="F55" s="354"/>
      <c r="G55" s="340">
        <v>2504464</v>
      </c>
      <c r="H55" s="341">
        <v>0</v>
      </c>
      <c r="I55" s="348">
        <f>+I54+Tabla26[[#This Row],[DEBITO]]-Tabla26[[#This Row],[CREDITO]]</f>
        <v>15932262</v>
      </c>
    </row>
    <row r="56" spans="3:9" x14ac:dyDescent="0.25">
      <c r="C56" s="359">
        <v>42501</v>
      </c>
      <c r="D56" s="438" t="s">
        <v>264</v>
      </c>
      <c r="E56" s="345" t="s">
        <v>418</v>
      </c>
      <c r="F56" s="546" t="s">
        <v>626</v>
      </c>
      <c r="G56" s="340"/>
      <c r="H56" s="360">
        <v>946726</v>
      </c>
      <c r="I56" s="348">
        <f>+I55+Tabla26[[#This Row],[DEBITO]]-Tabla26[[#This Row],[CREDITO]]</f>
        <v>14985536</v>
      </c>
    </row>
    <row r="57" spans="3:9" x14ac:dyDescent="0.25">
      <c r="C57" s="359">
        <v>42501</v>
      </c>
      <c r="D57" s="438" t="s">
        <v>264</v>
      </c>
      <c r="E57" s="345" t="s">
        <v>419</v>
      </c>
      <c r="F57" s="546" t="s">
        <v>626</v>
      </c>
      <c r="G57" s="351"/>
      <c r="H57" s="352">
        <v>45000</v>
      </c>
      <c r="I57" s="348">
        <f>+I56+Tabla26[[#This Row],[DEBITO]]-Tabla26[[#This Row],[CREDITO]]</f>
        <v>14940536</v>
      </c>
    </row>
    <row r="58" spans="3:9" x14ac:dyDescent="0.25">
      <c r="C58" s="359">
        <v>42501</v>
      </c>
      <c r="D58" s="438" t="s">
        <v>264</v>
      </c>
      <c r="E58" s="345" t="s">
        <v>420</v>
      </c>
      <c r="F58" s="546" t="s">
        <v>626</v>
      </c>
      <c r="G58" s="351"/>
      <c r="H58" s="352">
        <v>9250</v>
      </c>
      <c r="I58" s="348">
        <f>+I57+Tabla26[[#This Row],[DEBITO]]-Tabla26[[#This Row],[CREDITO]]</f>
        <v>14931286</v>
      </c>
    </row>
    <row r="59" spans="3:9" x14ac:dyDescent="0.25">
      <c r="C59" s="357">
        <v>42502</v>
      </c>
      <c r="D59" s="339" t="s">
        <v>176</v>
      </c>
      <c r="E59" s="354" t="s">
        <v>274</v>
      </c>
      <c r="F59" s="354"/>
      <c r="G59" s="340">
        <v>3432494</v>
      </c>
      <c r="H59" s="341">
        <v>0</v>
      </c>
      <c r="I59" s="348">
        <f>+I58+Tabla26[[#This Row],[DEBITO]]-Tabla26[[#This Row],[CREDITO]]</f>
        <v>18363780</v>
      </c>
    </row>
    <row r="60" spans="3:9" x14ac:dyDescent="0.25">
      <c r="C60" s="359">
        <v>42502</v>
      </c>
      <c r="D60" s="350" t="s">
        <v>264</v>
      </c>
      <c r="E60" s="358" t="s">
        <v>421</v>
      </c>
      <c r="F60" s="548" t="s">
        <v>626</v>
      </c>
      <c r="G60" s="351"/>
      <c r="H60" s="352">
        <v>45000</v>
      </c>
      <c r="I60" s="348">
        <f>+I59+Tabla26[[#This Row],[DEBITO]]-Tabla26[[#This Row],[CREDITO]]</f>
        <v>18318780</v>
      </c>
    </row>
    <row r="61" spans="3:9" x14ac:dyDescent="0.25">
      <c r="C61" s="359">
        <v>42502</v>
      </c>
      <c r="D61" s="350" t="s">
        <v>264</v>
      </c>
      <c r="E61" s="358" t="s">
        <v>271</v>
      </c>
      <c r="F61" s="548" t="s">
        <v>626</v>
      </c>
      <c r="G61" s="351"/>
      <c r="H61" s="352">
        <v>10000</v>
      </c>
      <c r="I61" s="348">
        <f>+I60+Tabla26[[#This Row],[DEBITO]]-Tabla26[[#This Row],[CREDITO]]</f>
        <v>18308780</v>
      </c>
    </row>
    <row r="62" spans="3:9" x14ac:dyDescent="0.25">
      <c r="C62" s="359">
        <v>42502</v>
      </c>
      <c r="D62" s="350" t="s">
        <v>264</v>
      </c>
      <c r="E62" s="358" t="s">
        <v>422</v>
      </c>
      <c r="F62" s="548" t="s">
        <v>626</v>
      </c>
      <c r="G62" s="340"/>
      <c r="H62" s="360">
        <v>9250</v>
      </c>
      <c r="I62" s="348">
        <f>+I61+Tabla26[[#This Row],[DEBITO]]-Tabla26[[#This Row],[CREDITO]]</f>
        <v>18299530</v>
      </c>
    </row>
    <row r="63" spans="3:9" x14ac:dyDescent="0.25">
      <c r="C63" s="357">
        <v>42503</v>
      </c>
      <c r="D63" s="339" t="s">
        <v>176</v>
      </c>
      <c r="E63" s="354" t="s">
        <v>276</v>
      </c>
      <c r="F63" s="354"/>
      <c r="G63" s="340">
        <v>3407622</v>
      </c>
      <c r="H63" s="341">
        <v>0</v>
      </c>
      <c r="I63" s="348">
        <f>+I62+Tabla26[[#This Row],[DEBITO]]-Tabla26[[#This Row],[CREDITO]]</f>
        <v>21707152</v>
      </c>
    </row>
    <row r="64" spans="3:9" x14ac:dyDescent="0.25">
      <c r="C64" s="359">
        <v>42503</v>
      </c>
      <c r="D64" s="350" t="s">
        <v>264</v>
      </c>
      <c r="E64" s="361" t="s">
        <v>423</v>
      </c>
      <c r="F64" s="549" t="s">
        <v>626</v>
      </c>
      <c r="G64" s="351"/>
      <c r="H64" s="352">
        <v>2174190</v>
      </c>
      <c r="I64" s="348">
        <f>+I63+Tabla26[[#This Row],[DEBITO]]-Tabla26[[#This Row],[CREDITO]]</f>
        <v>19532962</v>
      </c>
    </row>
    <row r="65" spans="3:9" x14ac:dyDescent="0.25">
      <c r="C65" s="359">
        <v>42503</v>
      </c>
      <c r="D65" s="350" t="s">
        <v>264</v>
      </c>
      <c r="E65" s="361" t="s">
        <v>424</v>
      </c>
      <c r="F65" s="549" t="s">
        <v>626</v>
      </c>
      <c r="G65" s="351"/>
      <c r="H65" s="352">
        <v>150000</v>
      </c>
      <c r="I65" s="348">
        <f>+I64+Tabla26[[#This Row],[DEBITO]]-Tabla26[[#This Row],[CREDITO]]</f>
        <v>19382962</v>
      </c>
    </row>
    <row r="66" spans="3:9" x14ac:dyDescent="0.25">
      <c r="C66" s="359">
        <v>42503</v>
      </c>
      <c r="D66" s="350" t="s">
        <v>264</v>
      </c>
      <c r="E66" s="361" t="s">
        <v>425</v>
      </c>
      <c r="F66" s="549" t="s">
        <v>626</v>
      </c>
      <c r="G66" s="351"/>
      <c r="H66" s="352">
        <v>52000</v>
      </c>
      <c r="I66" s="348">
        <f>+I65+Tabla26[[#This Row],[DEBITO]]-Tabla26[[#This Row],[CREDITO]]</f>
        <v>19330962</v>
      </c>
    </row>
    <row r="67" spans="3:9" x14ac:dyDescent="0.25">
      <c r="C67" s="359">
        <v>42503</v>
      </c>
      <c r="D67" s="350" t="s">
        <v>264</v>
      </c>
      <c r="E67" s="345" t="s">
        <v>272</v>
      </c>
      <c r="F67" s="546" t="s">
        <v>626</v>
      </c>
      <c r="G67" s="351"/>
      <c r="H67" s="352">
        <v>9250</v>
      </c>
      <c r="I67" s="348">
        <f>+I66+Tabla26[[#This Row],[DEBITO]]-Tabla26[[#This Row],[CREDITO]]</f>
        <v>19321712</v>
      </c>
    </row>
    <row r="68" spans="3:9" x14ac:dyDescent="0.25">
      <c r="C68" s="357">
        <v>42504</v>
      </c>
      <c r="D68" s="339" t="s">
        <v>176</v>
      </c>
      <c r="E68" s="354" t="s">
        <v>277</v>
      </c>
      <c r="F68" s="354"/>
      <c r="G68" s="340">
        <v>1933180</v>
      </c>
      <c r="H68" s="341">
        <v>0</v>
      </c>
      <c r="I68" s="348">
        <f>+I67+Tabla26[[#This Row],[DEBITO]]-Tabla26[[#This Row],[CREDITO]]</f>
        <v>21254892</v>
      </c>
    </row>
    <row r="69" spans="3:9" x14ac:dyDescent="0.25">
      <c r="C69" s="359">
        <v>42504</v>
      </c>
      <c r="D69" s="438" t="s">
        <v>264</v>
      </c>
      <c r="E69" s="345" t="s">
        <v>426</v>
      </c>
      <c r="F69" s="546" t="s">
        <v>136</v>
      </c>
      <c r="G69" s="340"/>
      <c r="H69" s="360">
        <v>500000</v>
      </c>
      <c r="I69" s="348">
        <f>+I68+Tabla26[[#This Row],[DEBITO]]-Tabla26[[#This Row],[CREDITO]]</f>
        <v>20754892</v>
      </c>
    </row>
    <row r="70" spans="3:9" x14ac:dyDescent="0.25">
      <c r="C70" s="359">
        <v>42504</v>
      </c>
      <c r="D70" s="438" t="s">
        <v>264</v>
      </c>
      <c r="E70" s="345" t="s">
        <v>427</v>
      </c>
      <c r="F70" s="546" t="s">
        <v>626</v>
      </c>
      <c r="G70" s="340"/>
      <c r="H70" s="360">
        <v>100000</v>
      </c>
      <c r="I70" s="348">
        <f>+I69+Tabla26[[#This Row],[DEBITO]]-Tabla26[[#This Row],[CREDITO]]</f>
        <v>20654892</v>
      </c>
    </row>
    <row r="71" spans="3:9" x14ac:dyDescent="0.25">
      <c r="C71" s="359">
        <v>42504</v>
      </c>
      <c r="D71" s="438" t="s">
        <v>264</v>
      </c>
      <c r="E71" s="345" t="s">
        <v>389</v>
      </c>
      <c r="F71" s="546" t="s">
        <v>626</v>
      </c>
      <c r="G71" s="351"/>
      <c r="H71" s="352">
        <v>30000</v>
      </c>
      <c r="I71" s="348">
        <f>+I70+Tabla26[[#This Row],[DEBITO]]-Tabla26[[#This Row],[CREDITO]]</f>
        <v>20624892</v>
      </c>
    </row>
    <row r="72" spans="3:9" x14ac:dyDescent="0.25">
      <c r="C72" s="359">
        <v>42504</v>
      </c>
      <c r="D72" s="438" t="s">
        <v>264</v>
      </c>
      <c r="E72" s="345" t="s">
        <v>428</v>
      </c>
      <c r="F72" s="546" t="s">
        <v>626</v>
      </c>
      <c r="G72" s="351"/>
      <c r="H72" s="352">
        <v>14000</v>
      </c>
      <c r="I72" s="348">
        <f>+I71+Tabla26[[#This Row],[DEBITO]]-Tabla26[[#This Row],[CREDITO]]</f>
        <v>20610892</v>
      </c>
    </row>
    <row r="73" spans="3:9" x14ac:dyDescent="0.25">
      <c r="C73" s="359">
        <v>42504</v>
      </c>
      <c r="D73" s="438" t="s">
        <v>264</v>
      </c>
      <c r="E73" s="345" t="s">
        <v>429</v>
      </c>
      <c r="F73" s="546" t="s">
        <v>626</v>
      </c>
      <c r="G73" s="351"/>
      <c r="H73" s="352">
        <v>9250</v>
      </c>
      <c r="I73" s="348">
        <f>+I72+Tabla26[[#This Row],[DEBITO]]-Tabla26[[#This Row],[CREDITO]]</f>
        <v>20601642</v>
      </c>
    </row>
    <row r="74" spans="3:9" x14ac:dyDescent="0.25">
      <c r="C74" s="359">
        <v>42504</v>
      </c>
      <c r="D74" s="438" t="s">
        <v>264</v>
      </c>
      <c r="E74" s="345" t="s">
        <v>430</v>
      </c>
      <c r="F74" s="546" t="s">
        <v>626</v>
      </c>
      <c r="G74" s="340"/>
      <c r="H74" s="360">
        <v>150000</v>
      </c>
      <c r="I74" s="348">
        <f>+I73+Tabla26[[#This Row],[DEBITO]]-Tabla26[[#This Row],[CREDITO]]</f>
        <v>20451642</v>
      </c>
    </row>
    <row r="75" spans="3:9" x14ac:dyDescent="0.25">
      <c r="C75" s="359">
        <v>42504</v>
      </c>
      <c r="D75" s="438" t="s">
        <v>264</v>
      </c>
      <c r="E75" s="345" t="s">
        <v>431</v>
      </c>
      <c r="F75" s="546" t="s">
        <v>626</v>
      </c>
      <c r="G75" s="351"/>
      <c r="H75" s="352">
        <v>100000</v>
      </c>
      <c r="I75" s="348">
        <f>+I74+Tabla26[[#This Row],[DEBITO]]-Tabla26[[#This Row],[CREDITO]]</f>
        <v>20351642</v>
      </c>
    </row>
    <row r="76" spans="3:9" x14ac:dyDescent="0.25">
      <c r="C76" s="357">
        <v>42506</v>
      </c>
      <c r="D76" s="339" t="s">
        <v>176</v>
      </c>
      <c r="E76" s="439" t="s">
        <v>280</v>
      </c>
      <c r="F76" s="439"/>
      <c r="G76" s="340">
        <v>2451340</v>
      </c>
      <c r="H76" s="341">
        <v>0</v>
      </c>
      <c r="I76" s="348">
        <f>+I75+Tabla26[[#This Row],[DEBITO]]-Tabla26[[#This Row],[CREDITO]]</f>
        <v>22802982</v>
      </c>
    </row>
    <row r="77" spans="3:9" x14ac:dyDescent="0.25">
      <c r="C77" s="359">
        <v>42506</v>
      </c>
      <c r="D77" s="350" t="s">
        <v>264</v>
      </c>
      <c r="E77" s="345" t="s">
        <v>270</v>
      </c>
      <c r="F77" s="546" t="s">
        <v>626</v>
      </c>
      <c r="G77" s="351"/>
      <c r="H77" s="352">
        <v>38000</v>
      </c>
      <c r="I77" s="348">
        <f>+I76+Tabla26[[#This Row],[DEBITO]]-Tabla26[[#This Row],[CREDITO]]</f>
        <v>22764982</v>
      </c>
    </row>
    <row r="78" spans="3:9" x14ac:dyDescent="0.25">
      <c r="C78" s="359">
        <v>42506</v>
      </c>
      <c r="D78" s="350" t="s">
        <v>264</v>
      </c>
      <c r="E78" s="345" t="s">
        <v>432</v>
      </c>
      <c r="F78" s="546" t="s">
        <v>626</v>
      </c>
      <c r="G78" s="351"/>
      <c r="H78" s="352">
        <v>30000</v>
      </c>
      <c r="I78" s="348">
        <f>+I77+Tabla26[[#This Row],[DEBITO]]-Tabla26[[#This Row],[CREDITO]]</f>
        <v>22734982</v>
      </c>
    </row>
    <row r="79" spans="3:9" x14ac:dyDescent="0.25">
      <c r="C79" s="359">
        <v>42506</v>
      </c>
      <c r="D79" s="350" t="s">
        <v>264</v>
      </c>
      <c r="E79" s="345" t="s">
        <v>266</v>
      </c>
      <c r="F79" s="546" t="s">
        <v>626</v>
      </c>
      <c r="G79" s="351"/>
      <c r="H79" s="352">
        <v>10000</v>
      </c>
      <c r="I79" s="348">
        <f>+I78+Tabla26[[#This Row],[DEBITO]]-Tabla26[[#This Row],[CREDITO]]</f>
        <v>22724982</v>
      </c>
    </row>
    <row r="80" spans="3:9" x14ac:dyDescent="0.25">
      <c r="C80" s="359">
        <v>42506</v>
      </c>
      <c r="D80" s="350" t="s">
        <v>264</v>
      </c>
      <c r="E80" s="345" t="s">
        <v>387</v>
      </c>
      <c r="F80" s="546" t="s">
        <v>626</v>
      </c>
      <c r="G80" s="351"/>
      <c r="H80" s="352">
        <v>9250</v>
      </c>
      <c r="I80" s="348">
        <f>+I79+Tabla26[[#This Row],[DEBITO]]-Tabla26[[#This Row],[CREDITO]]</f>
        <v>22715732</v>
      </c>
    </row>
    <row r="81" spans="3:9" x14ac:dyDescent="0.25">
      <c r="C81" s="357">
        <v>42507</v>
      </c>
      <c r="D81" s="339" t="s">
        <v>176</v>
      </c>
      <c r="E81" s="354" t="s">
        <v>433</v>
      </c>
      <c r="F81" s="354"/>
      <c r="G81" s="340">
        <v>4023038</v>
      </c>
      <c r="H81" s="341">
        <v>0</v>
      </c>
      <c r="I81" s="348">
        <f>+I80+Tabla26[[#This Row],[DEBITO]]-Tabla26[[#This Row],[CREDITO]]</f>
        <v>26738770</v>
      </c>
    </row>
    <row r="82" spans="3:9" x14ac:dyDescent="0.25">
      <c r="C82" s="359">
        <v>42507</v>
      </c>
      <c r="D82" s="438" t="s">
        <v>264</v>
      </c>
      <c r="E82" s="345" t="s">
        <v>434</v>
      </c>
      <c r="F82" s="546" t="s">
        <v>626</v>
      </c>
      <c r="G82" s="340"/>
      <c r="H82" s="360">
        <v>1051089</v>
      </c>
      <c r="I82" s="348">
        <f>+I81+Tabla26[[#This Row],[DEBITO]]-Tabla26[[#This Row],[CREDITO]]</f>
        <v>25687681</v>
      </c>
    </row>
    <row r="83" spans="3:9" x14ac:dyDescent="0.25">
      <c r="C83" s="359">
        <v>42507</v>
      </c>
      <c r="D83" s="438" t="s">
        <v>264</v>
      </c>
      <c r="E83" s="345" t="s">
        <v>267</v>
      </c>
      <c r="F83" s="546" t="s">
        <v>626</v>
      </c>
      <c r="G83" s="346"/>
      <c r="H83" s="352">
        <v>9250</v>
      </c>
      <c r="I83" s="348">
        <f>+I82+Tabla26[[#This Row],[DEBITO]]-Tabla26[[#This Row],[CREDITO]]</f>
        <v>25678431</v>
      </c>
    </row>
    <row r="84" spans="3:9" x14ac:dyDescent="0.25">
      <c r="C84" s="359">
        <v>42507</v>
      </c>
      <c r="D84" s="438" t="s">
        <v>264</v>
      </c>
      <c r="E84" s="345" t="s">
        <v>435</v>
      </c>
      <c r="F84" s="546" t="s">
        <v>626</v>
      </c>
      <c r="G84" s="346"/>
      <c r="H84" s="352">
        <v>38000</v>
      </c>
      <c r="I84" s="348">
        <f>+I83+Tabla26[[#This Row],[DEBITO]]-Tabla26[[#This Row],[CREDITO]]</f>
        <v>25640431</v>
      </c>
    </row>
    <row r="85" spans="3:9" x14ac:dyDescent="0.25">
      <c r="C85" s="357">
        <v>42508</v>
      </c>
      <c r="D85" s="339" t="s">
        <v>176</v>
      </c>
      <c r="E85" s="354" t="s">
        <v>282</v>
      </c>
      <c r="F85" s="354"/>
      <c r="G85" s="355">
        <v>3757088</v>
      </c>
      <c r="H85" s="341">
        <v>0</v>
      </c>
      <c r="I85" s="348">
        <f>+I84+Tabla26[[#This Row],[DEBITO]]-Tabla26[[#This Row],[CREDITO]]</f>
        <v>29397519</v>
      </c>
    </row>
    <row r="86" spans="3:9" x14ac:dyDescent="0.25">
      <c r="C86" s="359">
        <v>42508</v>
      </c>
      <c r="D86" s="438" t="s">
        <v>264</v>
      </c>
      <c r="E86" s="345" t="s">
        <v>436</v>
      </c>
      <c r="F86" s="546" t="s">
        <v>626</v>
      </c>
      <c r="G86" s="355"/>
      <c r="H86" s="360">
        <v>38000</v>
      </c>
      <c r="I86" s="348">
        <f>+I85+Tabla26[[#This Row],[DEBITO]]-Tabla26[[#This Row],[CREDITO]]</f>
        <v>29359519</v>
      </c>
    </row>
    <row r="87" spans="3:9" x14ac:dyDescent="0.25">
      <c r="C87" s="359">
        <v>42508</v>
      </c>
      <c r="D87" s="438" t="s">
        <v>264</v>
      </c>
      <c r="E87" s="345" t="s">
        <v>420</v>
      </c>
      <c r="F87" s="546" t="s">
        <v>626</v>
      </c>
      <c r="G87" s="355"/>
      <c r="H87" s="360">
        <v>9250</v>
      </c>
      <c r="I87" s="348">
        <f>+I86+Tabla26[[#This Row],[DEBITO]]-Tabla26[[#This Row],[CREDITO]]</f>
        <v>29350269</v>
      </c>
    </row>
    <row r="88" spans="3:9" x14ac:dyDescent="0.25">
      <c r="C88" s="357">
        <v>42509</v>
      </c>
      <c r="D88" s="339" t="s">
        <v>176</v>
      </c>
      <c r="E88" s="354" t="s">
        <v>285</v>
      </c>
      <c r="F88" s="354"/>
      <c r="G88" s="355">
        <v>3787694</v>
      </c>
      <c r="H88" s="360">
        <v>0</v>
      </c>
      <c r="I88" s="348">
        <f>+I87+Tabla26[[#This Row],[DEBITO]]-Tabla26[[#This Row],[CREDITO]]</f>
        <v>33137963</v>
      </c>
    </row>
    <row r="89" spans="3:9" x14ac:dyDescent="0.25">
      <c r="C89" s="359">
        <v>42509</v>
      </c>
      <c r="D89" s="438" t="s">
        <v>264</v>
      </c>
      <c r="E89" s="345" t="s">
        <v>437</v>
      </c>
      <c r="F89" s="546" t="s">
        <v>626</v>
      </c>
      <c r="G89" s="355"/>
      <c r="H89" s="360">
        <v>1602725</v>
      </c>
      <c r="I89" s="348">
        <f>+I88+Tabla26[[#This Row],[DEBITO]]-Tabla26[[#This Row],[CREDITO]]</f>
        <v>31535238</v>
      </c>
    </row>
    <row r="90" spans="3:9" x14ac:dyDescent="0.25">
      <c r="C90" s="359">
        <v>42509</v>
      </c>
      <c r="D90" s="438" t="s">
        <v>264</v>
      </c>
      <c r="E90" s="345" t="s">
        <v>438</v>
      </c>
      <c r="F90" s="546" t="s">
        <v>626</v>
      </c>
      <c r="G90" s="355"/>
      <c r="H90" s="360">
        <v>38000</v>
      </c>
      <c r="I90" s="348">
        <f>+I89+Tabla26[[#This Row],[DEBITO]]-Tabla26[[#This Row],[CREDITO]]</f>
        <v>31497238</v>
      </c>
    </row>
    <row r="91" spans="3:9" x14ac:dyDescent="0.25">
      <c r="C91" s="359">
        <v>42509</v>
      </c>
      <c r="D91" s="438" t="s">
        <v>264</v>
      </c>
      <c r="E91" s="345" t="s">
        <v>439</v>
      </c>
      <c r="F91" s="546" t="s">
        <v>626</v>
      </c>
      <c r="G91" s="355"/>
      <c r="H91" s="360">
        <v>35000</v>
      </c>
      <c r="I91" s="348">
        <f>+I90+Tabla26[[#This Row],[DEBITO]]-Tabla26[[#This Row],[CREDITO]]</f>
        <v>31462238</v>
      </c>
    </row>
    <row r="92" spans="3:9" x14ac:dyDescent="0.25">
      <c r="C92" s="359">
        <v>42509</v>
      </c>
      <c r="D92" s="438" t="s">
        <v>264</v>
      </c>
      <c r="E92" s="345" t="s">
        <v>267</v>
      </c>
      <c r="F92" s="546" t="s">
        <v>626</v>
      </c>
      <c r="G92" s="355"/>
      <c r="H92" s="360">
        <v>9250</v>
      </c>
      <c r="I92" s="348">
        <f>+I91+Tabla26[[#This Row],[DEBITO]]-Tabla26[[#This Row],[CREDITO]]</f>
        <v>31452988</v>
      </c>
    </row>
    <row r="93" spans="3:9" x14ac:dyDescent="0.25">
      <c r="C93" s="357">
        <v>42510</v>
      </c>
      <c r="D93" s="339" t="s">
        <v>176</v>
      </c>
      <c r="E93" s="354" t="s">
        <v>286</v>
      </c>
      <c r="F93" s="354"/>
      <c r="G93" s="355">
        <v>2926888</v>
      </c>
      <c r="H93" s="360">
        <v>0</v>
      </c>
      <c r="I93" s="348">
        <f>+I92+Tabla26[[#This Row],[DEBITO]]-Tabla26[[#This Row],[CREDITO]]</f>
        <v>34379876</v>
      </c>
    </row>
    <row r="94" spans="3:9" x14ac:dyDescent="0.25">
      <c r="C94" s="359">
        <v>42510</v>
      </c>
      <c r="D94" s="438" t="s">
        <v>264</v>
      </c>
      <c r="E94" s="345" t="s">
        <v>440</v>
      </c>
      <c r="F94" s="546" t="s">
        <v>626</v>
      </c>
      <c r="G94" s="440"/>
      <c r="H94" s="441">
        <v>38000</v>
      </c>
      <c r="I94" s="348">
        <f>+I93+Tabla26[[#This Row],[DEBITO]]-Tabla26[[#This Row],[CREDITO]]</f>
        <v>34341876</v>
      </c>
    </row>
    <row r="95" spans="3:9" x14ac:dyDescent="0.25">
      <c r="C95" s="359">
        <v>42510</v>
      </c>
      <c r="D95" s="438" t="s">
        <v>264</v>
      </c>
      <c r="E95" s="345" t="s">
        <v>267</v>
      </c>
      <c r="F95" s="546" t="s">
        <v>626</v>
      </c>
      <c r="G95" s="440"/>
      <c r="H95" s="441">
        <v>9250</v>
      </c>
      <c r="I95" s="348">
        <f>+I94+Tabla26[[#This Row],[DEBITO]]-Tabla26[[#This Row],[CREDITO]]</f>
        <v>34332626</v>
      </c>
    </row>
    <row r="96" spans="3:9" x14ac:dyDescent="0.25">
      <c r="C96" s="357">
        <v>42511</v>
      </c>
      <c r="D96" s="339" t="s">
        <v>176</v>
      </c>
      <c r="E96" s="354" t="s">
        <v>288</v>
      </c>
      <c r="F96" s="354"/>
      <c r="G96" s="355">
        <v>1718242</v>
      </c>
      <c r="H96" s="341">
        <v>0</v>
      </c>
      <c r="I96" s="348">
        <f>+I95+Tabla26[[#This Row],[DEBITO]]-Tabla26[[#This Row],[CREDITO]]</f>
        <v>36050868</v>
      </c>
    </row>
    <row r="97" spans="3:9" x14ac:dyDescent="0.25">
      <c r="C97" s="359">
        <v>42511</v>
      </c>
      <c r="D97" s="438" t="s">
        <v>264</v>
      </c>
      <c r="E97" s="345" t="s">
        <v>441</v>
      </c>
      <c r="F97" s="546" t="s">
        <v>626</v>
      </c>
      <c r="G97" s="440"/>
      <c r="H97" s="441">
        <v>20000</v>
      </c>
      <c r="I97" s="348">
        <f>+I96+Tabla26[[#This Row],[DEBITO]]-Tabla26[[#This Row],[CREDITO]]</f>
        <v>36030868</v>
      </c>
    </row>
    <row r="98" spans="3:9" x14ac:dyDescent="0.25">
      <c r="C98" s="359">
        <v>42511</v>
      </c>
      <c r="D98" s="438" t="s">
        <v>264</v>
      </c>
      <c r="E98" s="345" t="s">
        <v>442</v>
      </c>
      <c r="F98" s="546" t="s">
        <v>626</v>
      </c>
      <c r="G98" s="440"/>
      <c r="H98" s="442">
        <v>30000</v>
      </c>
      <c r="I98" s="348">
        <f>+I97+Tabla26[[#This Row],[DEBITO]]-Tabla26[[#This Row],[CREDITO]]</f>
        <v>36000868</v>
      </c>
    </row>
    <row r="99" spans="3:9" x14ac:dyDescent="0.25">
      <c r="C99" s="359">
        <v>42511</v>
      </c>
      <c r="D99" s="438" t="s">
        <v>264</v>
      </c>
      <c r="E99" s="345" t="s">
        <v>443</v>
      </c>
      <c r="F99" s="546" t="s">
        <v>626</v>
      </c>
      <c r="G99" s="440"/>
      <c r="H99" s="441">
        <v>10000</v>
      </c>
      <c r="I99" s="348">
        <f>+I98+Tabla26[[#This Row],[DEBITO]]-Tabla26[[#This Row],[CREDITO]]</f>
        <v>35990868</v>
      </c>
    </row>
    <row r="100" spans="3:9" x14ac:dyDescent="0.25">
      <c r="C100" s="359">
        <v>42511</v>
      </c>
      <c r="D100" s="438" t="s">
        <v>264</v>
      </c>
      <c r="E100" s="345" t="s">
        <v>444</v>
      </c>
      <c r="F100" s="546" t="s">
        <v>626</v>
      </c>
      <c r="G100" s="440"/>
      <c r="H100" s="441">
        <v>14000</v>
      </c>
      <c r="I100" s="348">
        <f>+I99+Tabla26[[#This Row],[DEBITO]]-Tabla26[[#This Row],[CREDITO]]</f>
        <v>35976868</v>
      </c>
    </row>
    <row r="101" spans="3:9" x14ac:dyDescent="0.25">
      <c r="C101" s="359">
        <v>42511</v>
      </c>
      <c r="D101" s="438" t="s">
        <v>264</v>
      </c>
      <c r="E101" s="345" t="s">
        <v>275</v>
      </c>
      <c r="F101" s="546" t="s">
        <v>626</v>
      </c>
      <c r="G101" s="440"/>
      <c r="H101" s="441">
        <v>9250</v>
      </c>
      <c r="I101" s="348">
        <f>+I100+Tabla26[[#This Row],[DEBITO]]-Tabla26[[#This Row],[CREDITO]]</f>
        <v>35967618</v>
      </c>
    </row>
    <row r="102" spans="3:9" x14ac:dyDescent="0.25">
      <c r="C102" s="359">
        <v>42511</v>
      </c>
      <c r="D102" s="438" t="s">
        <v>264</v>
      </c>
      <c r="E102" s="345" t="s">
        <v>445</v>
      </c>
      <c r="F102" s="546" t="s">
        <v>626</v>
      </c>
      <c r="G102" s="440"/>
      <c r="H102" s="441">
        <v>50000</v>
      </c>
      <c r="I102" s="348">
        <f>+I101+Tabla26[[#This Row],[DEBITO]]-Tabla26[[#This Row],[CREDITO]]</f>
        <v>35917618</v>
      </c>
    </row>
    <row r="103" spans="3:9" x14ac:dyDescent="0.25">
      <c r="C103" s="357">
        <v>42513</v>
      </c>
      <c r="D103" s="339" t="s">
        <v>176</v>
      </c>
      <c r="E103" s="354" t="s">
        <v>289</v>
      </c>
      <c r="F103" s="354"/>
      <c r="G103" s="355">
        <v>3189660</v>
      </c>
      <c r="H103" s="341">
        <v>0</v>
      </c>
      <c r="I103" s="348">
        <f>+I102+Tabla26[[#This Row],[DEBITO]]-Tabla26[[#This Row],[CREDITO]]</f>
        <v>39107278</v>
      </c>
    </row>
    <row r="104" spans="3:9" x14ac:dyDescent="0.25">
      <c r="C104" s="359">
        <v>42513</v>
      </c>
      <c r="D104" s="438" t="s">
        <v>264</v>
      </c>
      <c r="E104" s="345" t="s">
        <v>446</v>
      </c>
      <c r="F104" s="546" t="s">
        <v>626</v>
      </c>
      <c r="G104" s="440"/>
      <c r="H104" s="441">
        <v>1446180</v>
      </c>
      <c r="I104" s="348">
        <f>+I103+Tabla26[[#This Row],[DEBITO]]-Tabla26[[#This Row],[CREDITO]]</f>
        <v>37661098</v>
      </c>
    </row>
    <row r="105" spans="3:9" x14ac:dyDescent="0.25">
      <c r="C105" s="359">
        <v>42513</v>
      </c>
      <c r="D105" s="438" t="s">
        <v>264</v>
      </c>
      <c r="E105" s="345" t="s">
        <v>447</v>
      </c>
      <c r="F105" s="546" t="s">
        <v>136</v>
      </c>
      <c r="G105" s="440"/>
      <c r="H105" s="442">
        <v>1000000</v>
      </c>
      <c r="I105" s="348">
        <f>+I104+Tabla26[[#This Row],[DEBITO]]-Tabla26[[#This Row],[CREDITO]]</f>
        <v>36661098</v>
      </c>
    </row>
    <row r="106" spans="3:9" x14ac:dyDescent="0.25">
      <c r="C106" s="359">
        <v>42513</v>
      </c>
      <c r="D106" s="438" t="s">
        <v>264</v>
      </c>
      <c r="E106" s="345" t="s">
        <v>448</v>
      </c>
      <c r="F106" s="546" t="s">
        <v>626</v>
      </c>
      <c r="G106" s="440"/>
      <c r="H106" s="441">
        <v>38000</v>
      </c>
      <c r="I106" s="348">
        <f>+I105+Tabla26[[#This Row],[DEBITO]]-Tabla26[[#This Row],[CREDITO]]</f>
        <v>36623098</v>
      </c>
    </row>
    <row r="107" spans="3:9" x14ac:dyDescent="0.25">
      <c r="C107" s="359">
        <v>42513</v>
      </c>
      <c r="D107" s="438" t="s">
        <v>264</v>
      </c>
      <c r="E107" s="345" t="s">
        <v>442</v>
      </c>
      <c r="F107" s="546" t="s">
        <v>626</v>
      </c>
      <c r="G107" s="440"/>
      <c r="H107" s="441">
        <v>30000</v>
      </c>
      <c r="I107" s="348">
        <f>+I106+Tabla26[[#This Row],[DEBITO]]-Tabla26[[#This Row],[CREDITO]]</f>
        <v>36593098</v>
      </c>
    </row>
    <row r="108" spans="3:9" x14ac:dyDescent="0.25">
      <c r="C108" s="359">
        <v>42513</v>
      </c>
      <c r="D108" s="438" t="s">
        <v>264</v>
      </c>
      <c r="E108" s="345" t="s">
        <v>266</v>
      </c>
      <c r="F108" s="546" t="s">
        <v>626</v>
      </c>
      <c r="G108" s="440"/>
      <c r="H108" s="441">
        <v>10000</v>
      </c>
      <c r="I108" s="348">
        <f>+I107+Tabla26[[#This Row],[DEBITO]]-Tabla26[[#This Row],[CREDITO]]</f>
        <v>36583098</v>
      </c>
    </row>
    <row r="109" spans="3:9" x14ac:dyDescent="0.25">
      <c r="C109" s="359">
        <v>42513</v>
      </c>
      <c r="D109" s="438" t="s">
        <v>264</v>
      </c>
      <c r="E109" s="345" t="s">
        <v>449</v>
      </c>
      <c r="F109" s="546" t="s">
        <v>627</v>
      </c>
      <c r="G109" s="440"/>
      <c r="H109" s="441">
        <v>250000</v>
      </c>
      <c r="I109" s="348">
        <f>+I108+Tabla26[[#This Row],[DEBITO]]-Tabla26[[#This Row],[CREDITO]]</f>
        <v>36333098</v>
      </c>
    </row>
    <row r="110" spans="3:9" x14ac:dyDescent="0.25">
      <c r="C110" s="359">
        <v>42513</v>
      </c>
      <c r="D110" s="438" t="s">
        <v>264</v>
      </c>
      <c r="E110" s="345" t="s">
        <v>275</v>
      </c>
      <c r="F110" s="546" t="s">
        <v>626</v>
      </c>
      <c r="G110" s="440"/>
      <c r="H110" s="441">
        <v>9250</v>
      </c>
      <c r="I110" s="348">
        <f>+I109+Tabla26[[#This Row],[DEBITO]]-Tabla26[[#This Row],[CREDITO]]</f>
        <v>36323848</v>
      </c>
    </row>
    <row r="111" spans="3:9" x14ac:dyDescent="0.25">
      <c r="C111" s="357">
        <v>42514</v>
      </c>
      <c r="D111" s="339" t="s">
        <v>176</v>
      </c>
      <c r="E111" s="354" t="s">
        <v>450</v>
      </c>
      <c r="F111" s="354"/>
      <c r="G111" s="355">
        <v>3269936</v>
      </c>
      <c r="H111" s="341">
        <v>0</v>
      </c>
      <c r="I111" s="348">
        <f>+I110+Tabla26[[#This Row],[DEBITO]]-Tabla26[[#This Row],[CREDITO]]</f>
        <v>39593784</v>
      </c>
    </row>
    <row r="112" spans="3:9" x14ac:dyDescent="0.25">
      <c r="C112" s="359">
        <v>42514</v>
      </c>
      <c r="D112" s="438" t="s">
        <v>264</v>
      </c>
      <c r="E112" s="345" t="s">
        <v>270</v>
      </c>
      <c r="F112" s="546" t="s">
        <v>626</v>
      </c>
      <c r="G112" s="440"/>
      <c r="H112" s="441">
        <v>38000</v>
      </c>
      <c r="I112" s="348">
        <f>+I111+Tabla26[[#This Row],[DEBITO]]-Tabla26[[#This Row],[CREDITO]]</f>
        <v>39555784</v>
      </c>
    </row>
    <row r="113" spans="3:9" x14ac:dyDescent="0.25">
      <c r="C113" s="359">
        <v>42514</v>
      </c>
      <c r="D113" s="438" t="s">
        <v>264</v>
      </c>
      <c r="E113" s="345" t="s">
        <v>451</v>
      </c>
      <c r="F113" s="546" t="s">
        <v>626</v>
      </c>
      <c r="G113" s="440"/>
      <c r="H113" s="441">
        <v>30000</v>
      </c>
      <c r="I113" s="348">
        <f>+I112+Tabla26[[#This Row],[DEBITO]]-Tabla26[[#This Row],[CREDITO]]</f>
        <v>39525784</v>
      </c>
    </row>
    <row r="114" spans="3:9" x14ac:dyDescent="0.25">
      <c r="C114" s="359">
        <v>42514</v>
      </c>
      <c r="D114" s="438" t="s">
        <v>264</v>
      </c>
      <c r="E114" s="345" t="s">
        <v>452</v>
      </c>
      <c r="F114" s="546" t="s">
        <v>626</v>
      </c>
      <c r="G114" s="440"/>
      <c r="H114" s="441">
        <v>100000</v>
      </c>
      <c r="I114" s="348">
        <f>+I113+Tabla26[[#This Row],[DEBITO]]-Tabla26[[#This Row],[CREDITO]]</f>
        <v>39425784</v>
      </c>
    </row>
    <row r="115" spans="3:9" x14ac:dyDescent="0.25">
      <c r="C115" s="357">
        <v>42515</v>
      </c>
      <c r="D115" s="339" t="s">
        <v>176</v>
      </c>
      <c r="E115" s="354" t="s">
        <v>290</v>
      </c>
      <c r="F115" s="354"/>
      <c r="G115" s="355">
        <v>2864924</v>
      </c>
      <c r="H115" s="341">
        <v>0</v>
      </c>
      <c r="I115" s="348">
        <f>+I114+Tabla26[[#This Row],[DEBITO]]-Tabla26[[#This Row],[CREDITO]]</f>
        <v>42290708</v>
      </c>
    </row>
    <row r="116" spans="3:9" x14ac:dyDescent="0.25">
      <c r="C116" s="359">
        <v>42515</v>
      </c>
      <c r="D116" s="438" t="s">
        <v>264</v>
      </c>
      <c r="E116" s="345" t="s">
        <v>453</v>
      </c>
      <c r="F116" s="546" t="s">
        <v>626</v>
      </c>
      <c r="G116" s="440"/>
      <c r="H116" s="441">
        <v>1662511</v>
      </c>
      <c r="I116" s="348">
        <f>+I115+Tabla26[[#This Row],[DEBITO]]-Tabla26[[#This Row],[CREDITO]]</f>
        <v>40628197</v>
      </c>
    </row>
    <row r="117" spans="3:9" x14ac:dyDescent="0.25">
      <c r="C117" s="359">
        <v>42515</v>
      </c>
      <c r="D117" s="438" t="s">
        <v>264</v>
      </c>
      <c r="E117" s="345" t="s">
        <v>448</v>
      </c>
      <c r="F117" s="546" t="s">
        <v>626</v>
      </c>
      <c r="G117" s="440"/>
      <c r="H117" s="441">
        <v>38000</v>
      </c>
      <c r="I117" s="348">
        <f>+I116+Tabla26[[#This Row],[DEBITO]]-Tabla26[[#This Row],[CREDITO]]</f>
        <v>40590197</v>
      </c>
    </row>
    <row r="118" spans="3:9" x14ac:dyDescent="0.25">
      <c r="C118" s="359">
        <v>42515</v>
      </c>
      <c r="D118" s="438" t="s">
        <v>264</v>
      </c>
      <c r="E118" s="345" t="s">
        <v>454</v>
      </c>
      <c r="F118" s="546" t="s">
        <v>626</v>
      </c>
      <c r="G118" s="440"/>
      <c r="H118" s="441">
        <v>9250</v>
      </c>
      <c r="I118" s="348">
        <f>+I117+Tabla26[[#This Row],[DEBITO]]-Tabla26[[#This Row],[CREDITO]]</f>
        <v>40580947</v>
      </c>
    </row>
    <row r="119" spans="3:9" x14ac:dyDescent="0.25">
      <c r="C119" s="359">
        <v>42515</v>
      </c>
      <c r="D119" s="438" t="s">
        <v>264</v>
      </c>
      <c r="E119" s="345" t="s">
        <v>454</v>
      </c>
      <c r="F119" s="546" t="s">
        <v>626</v>
      </c>
      <c r="G119" s="440"/>
      <c r="H119" s="441">
        <v>9250</v>
      </c>
      <c r="I119" s="348">
        <f>+I118+Tabla26[[#This Row],[DEBITO]]-Tabla26[[#This Row],[CREDITO]]</f>
        <v>40571697</v>
      </c>
    </row>
    <row r="120" spans="3:9" x14ac:dyDescent="0.25">
      <c r="C120" s="357">
        <v>42516</v>
      </c>
      <c r="D120" s="339" t="s">
        <v>176</v>
      </c>
      <c r="E120" s="354" t="s">
        <v>292</v>
      </c>
      <c r="F120" s="354"/>
      <c r="G120" s="355">
        <v>2557108</v>
      </c>
      <c r="H120" s="341">
        <v>0</v>
      </c>
      <c r="I120" s="348">
        <f>+I119+Tabla26[[#This Row],[DEBITO]]-Tabla26[[#This Row],[CREDITO]]</f>
        <v>43128805</v>
      </c>
    </row>
    <row r="121" spans="3:9" x14ac:dyDescent="0.25">
      <c r="C121" s="359">
        <v>42516</v>
      </c>
      <c r="D121" s="438" t="s">
        <v>264</v>
      </c>
      <c r="E121" s="345" t="s">
        <v>455</v>
      </c>
      <c r="F121" s="546" t="s">
        <v>136</v>
      </c>
      <c r="G121" s="440"/>
      <c r="H121" s="441">
        <v>50000</v>
      </c>
      <c r="I121" s="348">
        <f>+I120+Tabla26[[#This Row],[DEBITO]]-Tabla26[[#This Row],[CREDITO]]</f>
        <v>43078805</v>
      </c>
    </row>
    <row r="122" spans="3:9" x14ac:dyDescent="0.25">
      <c r="C122" s="359">
        <v>42516</v>
      </c>
      <c r="D122" s="438" t="s">
        <v>264</v>
      </c>
      <c r="E122" s="345" t="s">
        <v>287</v>
      </c>
      <c r="F122" s="546" t="s">
        <v>626</v>
      </c>
      <c r="G122" s="440"/>
      <c r="H122" s="441">
        <v>45000</v>
      </c>
      <c r="I122" s="348">
        <f>+I121+Tabla26[[#This Row],[DEBITO]]-Tabla26[[#This Row],[CREDITO]]</f>
        <v>43033805</v>
      </c>
    </row>
    <row r="123" spans="3:9" x14ac:dyDescent="0.25">
      <c r="C123" s="359">
        <v>42516</v>
      </c>
      <c r="D123" s="438" t="s">
        <v>264</v>
      </c>
      <c r="E123" s="345" t="s">
        <v>456</v>
      </c>
      <c r="F123" s="546" t="s">
        <v>626</v>
      </c>
      <c r="G123" s="440"/>
      <c r="H123" s="441">
        <v>10000</v>
      </c>
      <c r="I123" s="348">
        <f>+I122+Tabla26[[#This Row],[DEBITO]]-Tabla26[[#This Row],[CREDITO]]</f>
        <v>43023805</v>
      </c>
    </row>
    <row r="124" spans="3:9" x14ac:dyDescent="0.25">
      <c r="C124" s="359">
        <v>42516</v>
      </c>
      <c r="D124" s="438" t="s">
        <v>264</v>
      </c>
      <c r="E124" s="345" t="s">
        <v>275</v>
      </c>
      <c r="F124" s="546" t="s">
        <v>626</v>
      </c>
      <c r="G124" s="440"/>
      <c r="H124" s="441">
        <v>9250</v>
      </c>
      <c r="I124" s="348">
        <f>+I123+Tabla26[[#This Row],[DEBITO]]-Tabla26[[#This Row],[CREDITO]]</f>
        <v>43014555</v>
      </c>
    </row>
    <row r="125" spans="3:9" x14ac:dyDescent="0.25">
      <c r="C125" s="357">
        <v>42517</v>
      </c>
      <c r="D125" s="339" t="s">
        <v>176</v>
      </c>
      <c r="E125" s="354" t="s">
        <v>293</v>
      </c>
      <c r="F125" s="354"/>
      <c r="G125" s="355">
        <v>3009144</v>
      </c>
      <c r="H125" s="341">
        <v>0</v>
      </c>
      <c r="I125" s="348">
        <f>+I124+Tabla26[[#This Row],[DEBITO]]-Tabla26[[#This Row],[CREDITO]]</f>
        <v>46023699</v>
      </c>
    </row>
    <row r="126" spans="3:9" x14ac:dyDescent="0.25">
      <c r="C126" s="359">
        <v>42517</v>
      </c>
      <c r="D126" s="438" t="s">
        <v>264</v>
      </c>
      <c r="E126" s="345" t="s">
        <v>287</v>
      </c>
      <c r="F126" s="546" t="s">
        <v>626</v>
      </c>
      <c r="G126" s="440"/>
      <c r="H126" s="441">
        <v>45000</v>
      </c>
      <c r="I126" s="348">
        <f>+I125+Tabla26[[#This Row],[DEBITO]]-Tabla26[[#This Row],[CREDITO]]</f>
        <v>45978699</v>
      </c>
    </row>
    <row r="127" spans="3:9" x14ac:dyDescent="0.25">
      <c r="C127" s="359">
        <v>42517</v>
      </c>
      <c r="D127" s="438" t="s">
        <v>264</v>
      </c>
      <c r="E127" s="345" t="s">
        <v>457</v>
      </c>
      <c r="F127" s="546" t="s">
        <v>626</v>
      </c>
      <c r="G127" s="440"/>
      <c r="H127" s="441">
        <v>9250</v>
      </c>
      <c r="I127" s="348">
        <f>+I126+Tabla26[[#This Row],[DEBITO]]-Tabla26[[#This Row],[CREDITO]]</f>
        <v>45969449</v>
      </c>
    </row>
    <row r="128" spans="3:9" x14ac:dyDescent="0.25">
      <c r="C128" s="357">
        <v>42518</v>
      </c>
      <c r="D128" s="339" t="s">
        <v>176</v>
      </c>
      <c r="E128" s="354" t="s">
        <v>296</v>
      </c>
      <c r="F128" s="354"/>
      <c r="G128" s="355">
        <v>746620</v>
      </c>
      <c r="H128" s="341">
        <v>0</v>
      </c>
      <c r="I128" s="348">
        <f>+I127+Tabla26[[#This Row],[DEBITO]]-Tabla26[[#This Row],[CREDITO]]</f>
        <v>46716069</v>
      </c>
    </row>
    <row r="129" spans="3:9" x14ac:dyDescent="0.25">
      <c r="C129" s="359">
        <v>42518</v>
      </c>
      <c r="D129" s="438" t="s">
        <v>264</v>
      </c>
      <c r="E129" s="443" t="s">
        <v>275</v>
      </c>
      <c r="F129" s="550" t="s">
        <v>626</v>
      </c>
      <c r="G129" s="440"/>
      <c r="H129" s="441">
        <v>6250</v>
      </c>
      <c r="I129" s="348">
        <f>+I128+Tabla26[[#This Row],[DEBITO]]-Tabla26[[#This Row],[CREDITO]]</f>
        <v>46709819</v>
      </c>
    </row>
    <row r="130" spans="3:9" x14ac:dyDescent="0.25">
      <c r="C130" s="359">
        <v>42518</v>
      </c>
      <c r="D130" s="438" t="s">
        <v>264</v>
      </c>
      <c r="E130" s="443" t="s">
        <v>458</v>
      </c>
      <c r="F130" s="550" t="s">
        <v>626</v>
      </c>
      <c r="G130" s="440"/>
      <c r="H130" s="441">
        <v>21000</v>
      </c>
      <c r="I130" s="348">
        <f>+I129+Tabla26[[#This Row],[DEBITO]]-Tabla26[[#This Row],[CREDITO]]</f>
        <v>46688819</v>
      </c>
    </row>
    <row r="131" spans="3:9" x14ac:dyDescent="0.25">
      <c r="C131" s="357">
        <v>42521</v>
      </c>
      <c r="D131" s="339" t="s">
        <v>176</v>
      </c>
      <c r="E131" s="354" t="s">
        <v>459</v>
      </c>
      <c r="F131" s="354"/>
      <c r="G131" s="355">
        <v>3185266</v>
      </c>
      <c r="H131" s="341">
        <v>0</v>
      </c>
      <c r="I131" s="348">
        <f>+I130+Tabla26[[#This Row],[DEBITO]]-Tabla26[[#This Row],[CREDITO]]</f>
        <v>49874085</v>
      </c>
    </row>
    <row r="132" spans="3:9" x14ac:dyDescent="0.25">
      <c r="C132" s="359">
        <v>42521</v>
      </c>
      <c r="D132" s="438" t="s">
        <v>264</v>
      </c>
      <c r="E132" s="443" t="s">
        <v>460</v>
      </c>
      <c r="F132" s="550" t="s">
        <v>626</v>
      </c>
      <c r="G132" s="440"/>
      <c r="H132" s="441">
        <v>1168424</v>
      </c>
      <c r="I132" s="348">
        <f>+I131+Tabla26[[#This Row],[DEBITO]]-Tabla26[[#This Row],[CREDITO]]</f>
        <v>48705661</v>
      </c>
    </row>
    <row r="133" spans="3:9" x14ac:dyDescent="0.25">
      <c r="C133" s="359">
        <v>42521</v>
      </c>
      <c r="D133" s="438" t="s">
        <v>264</v>
      </c>
      <c r="E133" s="443" t="s">
        <v>461</v>
      </c>
      <c r="F133" s="550" t="s">
        <v>626</v>
      </c>
      <c r="G133" s="440"/>
      <c r="H133" s="441">
        <v>250000</v>
      </c>
      <c r="I133" s="348">
        <f>+I132+Tabla26[[#This Row],[DEBITO]]-Tabla26[[#This Row],[CREDITO]]</f>
        <v>48455661</v>
      </c>
    </row>
    <row r="134" spans="3:9" x14ac:dyDescent="0.25">
      <c r="C134" s="359">
        <v>42521</v>
      </c>
      <c r="D134" s="438" t="s">
        <v>264</v>
      </c>
      <c r="E134" s="443" t="s">
        <v>462</v>
      </c>
      <c r="F134" s="550" t="s">
        <v>626</v>
      </c>
      <c r="G134" s="440"/>
      <c r="H134" s="441">
        <v>25000</v>
      </c>
      <c r="I134" s="348">
        <f>+I133+Tabla26[[#This Row],[DEBITO]]-Tabla26[[#This Row],[CREDITO]]</f>
        <v>48430661</v>
      </c>
    </row>
    <row r="135" spans="3:9" x14ac:dyDescent="0.25">
      <c r="C135" s="359">
        <v>42521</v>
      </c>
      <c r="D135" s="438" t="s">
        <v>264</v>
      </c>
      <c r="E135" s="443" t="s">
        <v>463</v>
      </c>
      <c r="F135" s="550" t="s">
        <v>626</v>
      </c>
      <c r="G135" s="440"/>
      <c r="H135" s="441">
        <v>30000</v>
      </c>
      <c r="I135" s="348">
        <f>+I134+Tabla26[[#This Row],[DEBITO]]-Tabla26[[#This Row],[CREDITO]]</f>
        <v>48400661</v>
      </c>
    </row>
    <row r="136" spans="3:9" x14ac:dyDescent="0.25">
      <c r="C136" s="359">
        <v>42521</v>
      </c>
      <c r="D136" s="438" t="s">
        <v>264</v>
      </c>
      <c r="E136" s="443" t="s">
        <v>464</v>
      </c>
      <c r="F136" s="550" t="s">
        <v>626</v>
      </c>
      <c r="G136" s="440"/>
      <c r="H136" s="441">
        <v>38000</v>
      </c>
      <c r="I136" s="348">
        <f>+I135+Tabla26[[#This Row],[DEBITO]]-Tabla26[[#This Row],[CREDITO]]</f>
        <v>48362661</v>
      </c>
    </row>
    <row r="137" spans="3:9" x14ac:dyDescent="0.25">
      <c r="C137" s="359">
        <v>42521</v>
      </c>
      <c r="D137" s="438" t="s">
        <v>264</v>
      </c>
      <c r="E137" s="444" t="s">
        <v>456</v>
      </c>
      <c r="F137" s="551" t="s">
        <v>626</v>
      </c>
      <c r="G137" s="440"/>
      <c r="H137" s="441">
        <v>10000</v>
      </c>
      <c r="I137" s="348">
        <f>+I136+Tabla26[[#This Row],[DEBITO]]-Tabla26[[#This Row],[CREDITO]]</f>
        <v>48352661</v>
      </c>
    </row>
    <row r="138" spans="3:9" x14ac:dyDescent="0.25">
      <c r="C138" s="359">
        <v>42521</v>
      </c>
      <c r="D138" s="438" t="s">
        <v>264</v>
      </c>
      <c r="E138" s="444" t="s">
        <v>275</v>
      </c>
      <c r="F138" s="551" t="s">
        <v>626</v>
      </c>
      <c r="G138" s="440"/>
      <c r="H138" s="441">
        <v>9250</v>
      </c>
      <c r="I138" s="348">
        <f>+I137+Tabla26[[#This Row],[DEBITO]]-Tabla26[[#This Row],[CREDITO]]</f>
        <v>48343411</v>
      </c>
    </row>
    <row r="139" spans="3:9" x14ac:dyDescent="0.25">
      <c r="C139" s="359"/>
      <c r="D139" s="438"/>
      <c r="E139" s="345"/>
      <c r="F139" s="546"/>
      <c r="G139" s="445"/>
      <c r="H139" s="441">
        <v>0</v>
      </c>
      <c r="I139" s="348">
        <f>+I138+Tabla26[[#This Row],[DEBITO]]-Tabla26[[#This Row],[CREDITO]]</f>
        <v>48343411</v>
      </c>
    </row>
    <row r="140" spans="3:9" x14ac:dyDescent="0.25">
      <c r="F140" s="552"/>
    </row>
    <row r="141" spans="3:9" x14ac:dyDescent="0.25">
      <c r="F141" s="553">
        <f>SUM(G6:G139)+I6</f>
        <v>70661949</v>
      </c>
      <c r="G141" s="446">
        <f>SUM(H6:H139)</f>
        <v>22318538</v>
      </c>
    </row>
    <row r="142" spans="3:9" x14ac:dyDescent="0.25">
      <c r="F142" s="552"/>
    </row>
    <row r="144" spans="3:9" x14ac:dyDescent="0.25">
      <c r="F144" s="447" t="s">
        <v>0</v>
      </c>
      <c r="G144" s="448" t="s">
        <v>3</v>
      </c>
    </row>
    <row r="145" spans="6:7" x14ac:dyDescent="0.25">
      <c r="F145" s="449" t="s">
        <v>465</v>
      </c>
      <c r="G145" s="450">
        <f>+'[4]CONTROL EFECTIVO'!E35</f>
        <v>24027000</v>
      </c>
    </row>
    <row r="146" spans="6:7" x14ac:dyDescent="0.25">
      <c r="F146" s="449" t="s">
        <v>466</v>
      </c>
      <c r="G146" s="450">
        <f>+'[4]CONTROL EFECTIVO'!K23</f>
        <v>22380104</v>
      </c>
    </row>
    <row r="147" spans="6:7" x14ac:dyDescent="0.25">
      <c r="F147" s="451" t="s">
        <v>467</v>
      </c>
      <c r="G147" s="452">
        <v>1939307</v>
      </c>
    </row>
    <row r="148" spans="6:7" x14ac:dyDescent="0.25">
      <c r="F148" s="453" t="s">
        <v>1</v>
      </c>
      <c r="G148" s="454">
        <f>SUM(G145:G147)</f>
        <v>48346411</v>
      </c>
    </row>
    <row r="150" spans="6:7" x14ac:dyDescent="0.25">
      <c r="F150" s="554" t="s">
        <v>468</v>
      </c>
      <c r="G150" s="455">
        <f>+G148-I139</f>
        <v>3000</v>
      </c>
    </row>
    <row r="152" spans="6:7" x14ac:dyDescent="0.25">
      <c r="F152" s="555"/>
    </row>
  </sheetData>
  <mergeCells count="2">
    <mergeCell ref="C2:H2"/>
    <mergeCell ref="C3:H3"/>
  </mergeCells>
  <pageMargins left="0.70866141732283472" right="0.70866141732283472" top="0.74803149606299213" bottom="0.74803149606299213" header="0.31496062992125984" footer="0.31496062992125984"/>
  <pageSetup scale="90" orientation="landscape" verticalDpi="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6"/>
  <sheetViews>
    <sheetView workbookViewId="0">
      <selection activeCell="L33" sqref="L33"/>
    </sheetView>
  </sheetViews>
  <sheetFormatPr baseColWidth="10" defaultRowHeight="15.75" x14ac:dyDescent="0.3"/>
  <cols>
    <col min="1" max="1" width="11.5546875" style="456"/>
    <col min="2" max="2" width="11.6640625" style="456" bestFit="1" customWidth="1"/>
    <col min="3" max="3" width="17.44140625" style="456" bestFit="1" customWidth="1"/>
    <col min="4" max="4" width="44.109375" style="456" bestFit="1" customWidth="1"/>
    <col min="5" max="5" width="13.21875" style="456" bestFit="1" customWidth="1"/>
    <col min="6" max="6" width="7.88671875" style="464" bestFit="1" customWidth="1"/>
    <col min="7" max="7" width="13.21875" style="459" bestFit="1" customWidth="1"/>
    <col min="8" max="8" width="12.109375" style="457" bestFit="1" customWidth="1"/>
    <col min="9" max="9" width="12.21875" style="456" customWidth="1"/>
    <col min="10" max="10" width="10.77734375" style="456" bestFit="1" customWidth="1"/>
    <col min="11" max="11" width="13.21875" style="457" bestFit="1" customWidth="1"/>
    <col min="12" max="12" width="23.5546875" style="456" bestFit="1" customWidth="1"/>
    <col min="13" max="13" width="13.6640625" style="456" customWidth="1"/>
    <col min="14" max="14" width="15.77734375" style="456" customWidth="1"/>
    <col min="15" max="15" width="14.33203125" style="456" customWidth="1"/>
    <col min="16" max="16" width="12.44140625" style="456" bestFit="1" customWidth="1"/>
    <col min="17" max="17" width="12.21875" style="456" bestFit="1" customWidth="1"/>
    <col min="18" max="18" width="12.44140625" style="456" bestFit="1" customWidth="1"/>
    <col min="19" max="19" width="11.5546875" style="456"/>
  </cols>
  <sheetData>
    <row r="2" spans="2:12" ht="21" x14ac:dyDescent="0.35">
      <c r="B2" s="632" t="s">
        <v>260</v>
      </c>
      <c r="C2" s="632"/>
      <c r="D2" s="632"/>
      <c r="E2" s="632"/>
      <c r="F2" s="632"/>
      <c r="G2" s="632"/>
      <c r="H2" s="632"/>
    </row>
    <row r="3" spans="2:12" x14ac:dyDescent="0.3">
      <c r="B3" s="633" t="s">
        <v>469</v>
      </c>
      <c r="C3" s="633"/>
      <c r="D3" s="633"/>
      <c r="E3" s="633"/>
      <c r="F3" s="633"/>
      <c r="G3" s="633"/>
      <c r="H3" s="633"/>
      <c r="J3" s="634" t="s">
        <v>470</v>
      </c>
      <c r="K3" s="634"/>
      <c r="L3" s="634"/>
    </row>
    <row r="4" spans="2:12" x14ac:dyDescent="0.3">
      <c r="C4" s="458">
        <f ca="1">TODAY()</f>
        <v>42563</v>
      </c>
    </row>
    <row r="5" spans="2:12" x14ac:dyDescent="0.3">
      <c r="B5" s="460" t="s">
        <v>67</v>
      </c>
      <c r="C5" s="460" t="s">
        <v>2</v>
      </c>
      <c r="D5" s="460" t="s">
        <v>9</v>
      </c>
      <c r="E5" s="461" t="s">
        <v>146</v>
      </c>
      <c r="F5" s="540" t="s">
        <v>618</v>
      </c>
      <c r="G5" s="462" t="s">
        <v>68</v>
      </c>
      <c r="H5" s="463" t="s">
        <v>261</v>
      </c>
      <c r="J5" s="464" t="s">
        <v>67</v>
      </c>
      <c r="K5" s="465" t="s">
        <v>3</v>
      </c>
      <c r="L5" s="464" t="s">
        <v>9</v>
      </c>
    </row>
    <row r="6" spans="2:12" x14ac:dyDescent="0.3">
      <c r="B6" s="482">
        <v>42430</v>
      </c>
      <c r="C6" s="483" t="s">
        <v>176</v>
      </c>
      <c r="D6" s="483" t="s">
        <v>262</v>
      </c>
      <c r="E6" s="484"/>
      <c r="F6" s="541"/>
      <c r="G6" s="466"/>
      <c r="H6" s="462">
        <v>3381920</v>
      </c>
      <c r="J6" s="467">
        <v>42493</v>
      </c>
      <c r="K6" s="459">
        <v>4127012</v>
      </c>
      <c r="L6" s="468" t="s">
        <v>471</v>
      </c>
    </row>
    <row r="7" spans="2:12" x14ac:dyDescent="0.3">
      <c r="B7" s="485">
        <v>42492</v>
      </c>
      <c r="C7" s="486" t="s">
        <v>128</v>
      </c>
      <c r="D7" s="486" t="s">
        <v>221</v>
      </c>
      <c r="E7" s="487"/>
      <c r="F7" s="542" t="s">
        <v>246</v>
      </c>
      <c r="G7" s="488">
        <v>700000</v>
      </c>
      <c r="H7" s="459">
        <f>+H6+Tabla2[[#This Row],[DEBITO]]-Tabla2[[#This Row],[CREDITO]]</f>
        <v>2681920</v>
      </c>
      <c r="J7" s="467">
        <v>42497</v>
      </c>
      <c r="K7" s="459">
        <v>3669054</v>
      </c>
      <c r="L7" s="468" t="s">
        <v>472</v>
      </c>
    </row>
    <row r="8" spans="2:12" x14ac:dyDescent="0.3">
      <c r="B8" s="485">
        <v>42463</v>
      </c>
      <c r="C8" s="486" t="s">
        <v>128</v>
      </c>
      <c r="D8" s="486" t="s">
        <v>221</v>
      </c>
      <c r="E8" s="487"/>
      <c r="F8" s="542" t="s">
        <v>246</v>
      </c>
      <c r="G8" s="488">
        <v>2681920</v>
      </c>
      <c r="H8" s="459">
        <f>+H7+Tabla2[[#This Row],[DEBITO]]-Tabla2[[#This Row],[CREDITO]]</f>
        <v>0</v>
      </c>
      <c r="J8" s="467">
        <v>42503</v>
      </c>
      <c r="K8" s="459">
        <v>2317139</v>
      </c>
      <c r="L8" s="468" t="s">
        <v>473</v>
      </c>
    </row>
    <row r="9" spans="2:12" x14ac:dyDescent="0.3">
      <c r="B9" s="470">
        <v>42470</v>
      </c>
      <c r="C9" s="468" t="s">
        <v>176</v>
      </c>
      <c r="D9" s="468" t="s">
        <v>367</v>
      </c>
      <c r="E9" s="471">
        <v>2000000</v>
      </c>
      <c r="F9" s="541"/>
      <c r="G9" s="472">
        <v>0</v>
      </c>
      <c r="H9" s="459">
        <f>+H8+Tabla2[[#This Row],[DEBITO]]-Tabla2[[#This Row],[CREDITO]]</f>
        <v>2000000</v>
      </c>
      <c r="J9" s="467">
        <v>42510</v>
      </c>
      <c r="K9" s="459">
        <v>1866899</v>
      </c>
      <c r="L9" s="468" t="s">
        <v>474</v>
      </c>
    </row>
    <row r="10" spans="2:12" x14ac:dyDescent="0.3">
      <c r="B10" s="467">
        <v>42470</v>
      </c>
      <c r="C10" s="469" t="s">
        <v>128</v>
      </c>
      <c r="D10" s="469" t="s">
        <v>221</v>
      </c>
      <c r="E10" s="473"/>
      <c r="F10" s="541" t="s">
        <v>246</v>
      </c>
      <c r="G10" s="472">
        <v>2000000</v>
      </c>
      <c r="H10" s="459">
        <f>+H9+Tabla2[[#This Row],[DEBITO]]-Tabla2[[#This Row],[CREDITO]]</f>
        <v>0</v>
      </c>
      <c r="J10" s="467">
        <v>42514</v>
      </c>
      <c r="K10" s="459">
        <v>5400000</v>
      </c>
      <c r="L10" s="468" t="s">
        <v>475</v>
      </c>
    </row>
    <row r="11" spans="2:12" x14ac:dyDescent="0.3">
      <c r="B11" s="558">
        <v>42470</v>
      </c>
      <c r="C11" s="559" t="s">
        <v>176</v>
      </c>
      <c r="D11" s="559" t="s">
        <v>476</v>
      </c>
      <c r="E11" s="560">
        <v>877000</v>
      </c>
      <c r="F11" s="556"/>
      <c r="G11" s="557"/>
      <c r="H11" s="557">
        <f>+H10+Tabla2[[#This Row],[DEBITO]]-Tabla2[[#This Row],[CREDITO]]</f>
        <v>877000</v>
      </c>
      <c r="J11" s="467">
        <v>42521</v>
      </c>
      <c r="K11" s="459">
        <v>3800000</v>
      </c>
      <c r="L11" s="468" t="s">
        <v>477</v>
      </c>
    </row>
    <row r="12" spans="2:12" x14ac:dyDescent="0.3">
      <c r="B12" s="467">
        <v>42501</v>
      </c>
      <c r="C12" s="469" t="s">
        <v>478</v>
      </c>
      <c r="D12" s="469" t="s">
        <v>479</v>
      </c>
      <c r="E12" s="473"/>
      <c r="F12" s="541" t="s">
        <v>136</v>
      </c>
      <c r="G12" s="472">
        <v>230000</v>
      </c>
      <c r="H12" s="459">
        <f>+H11+Tabla2[[#This Row],[DEBITO]]-Tabla2[[#This Row],[CREDITO]]</f>
        <v>647000</v>
      </c>
      <c r="J12" s="467">
        <v>42521</v>
      </c>
      <c r="K12" s="459">
        <v>1200000</v>
      </c>
      <c r="L12" s="468" t="s">
        <v>477</v>
      </c>
    </row>
    <row r="13" spans="2:12" x14ac:dyDescent="0.3">
      <c r="B13" s="467">
        <v>42495</v>
      </c>
      <c r="C13" s="469" t="s">
        <v>176</v>
      </c>
      <c r="D13" s="469" t="s">
        <v>480</v>
      </c>
      <c r="E13" s="473"/>
      <c r="F13" s="541" t="s">
        <v>626</v>
      </c>
      <c r="G13" s="472">
        <v>101000</v>
      </c>
      <c r="H13" s="459">
        <f>+H12+Tabla2[[#This Row],[DEBITO]]-Tabla2[[#This Row],[CREDITO]]</f>
        <v>546000</v>
      </c>
      <c r="J13" s="467"/>
      <c r="K13" s="459"/>
      <c r="L13" s="468"/>
    </row>
    <row r="14" spans="2:12" x14ac:dyDescent="0.3">
      <c r="B14" s="467">
        <v>42504</v>
      </c>
      <c r="C14" s="469" t="s">
        <v>176</v>
      </c>
      <c r="D14" s="469" t="s">
        <v>367</v>
      </c>
      <c r="E14" s="471">
        <v>7400000</v>
      </c>
      <c r="F14" s="541"/>
      <c r="G14" s="472">
        <v>0</v>
      </c>
      <c r="H14" s="459">
        <f>+H13+Tabla2[[#This Row],[DEBITO]]-Tabla2[[#This Row],[CREDITO]]</f>
        <v>7946000</v>
      </c>
      <c r="J14" s="467"/>
      <c r="K14" s="459"/>
      <c r="L14" s="468"/>
    </row>
    <row r="15" spans="2:12" x14ac:dyDescent="0.3">
      <c r="B15" s="467">
        <v>42504</v>
      </c>
      <c r="C15" s="469" t="s">
        <v>226</v>
      </c>
      <c r="D15" s="469" t="s">
        <v>481</v>
      </c>
      <c r="E15" s="473"/>
      <c r="F15" s="541" t="s">
        <v>626</v>
      </c>
      <c r="G15" s="472">
        <v>2250000</v>
      </c>
      <c r="H15" s="459">
        <f>+H14+Tabla2[[#This Row],[DEBITO]]-Tabla2[[#This Row],[CREDITO]]</f>
        <v>5696000</v>
      </c>
      <c r="J15" s="469"/>
      <c r="K15" s="459"/>
      <c r="L15" s="468"/>
    </row>
    <row r="16" spans="2:12" x14ac:dyDescent="0.3">
      <c r="B16" s="467">
        <v>42506</v>
      </c>
      <c r="C16" s="469" t="s">
        <v>278</v>
      </c>
      <c r="D16" s="469" t="s">
        <v>482</v>
      </c>
      <c r="E16" s="473"/>
      <c r="F16" s="541" t="s">
        <v>136</v>
      </c>
      <c r="G16" s="472">
        <v>1925560</v>
      </c>
      <c r="H16" s="459">
        <f>+H15+Tabla2[[#This Row],[DEBITO]]-Tabla2[[#This Row],[CREDITO]]</f>
        <v>3770440</v>
      </c>
      <c r="J16" s="469"/>
      <c r="K16" s="459"/>
      <c r="L16" s="468"/>
    </row>
    <row r="17" spans="2:12" x14ac:dyDescent="0.3">
      <c r="B17" s="467">
        <v>42506</v>
      </c>
      <c r="C17" s="469" t="s">
        <v>291</v>
      </c>
      <c r="D17" s="469" t="s">
        <v>483</v>
      </c>
      <c r="E17" s="473"/>
      <c r="F17" s="541" t="s">
        <v>136</v>
      </c>
      <c r="G17" s="472">
        <v>540000</v>
      </c>
      <c r="H17" s="459">
        <f>+H16+Tabla2[[#This Row],[DEBITO]]-Tabla2[[#This Row],[CREDITO]]</f>
        <v>3230440</v>
      </c>
      <c r="J17" s="469"/>
      <c r="K17" s="459"/>
      <c r="L17" s="468"/>
    </row>
    <row r="18" spans="2:12" x14ac:dyDescent="0.3">
      <c r="B18" s="467">
        <v>42506</v>
      </c>
      <c r="C18" s="469" t="s">
        <v>484</v>
      </c>
      <c r="D18" s="469" t="s">
        <v>485</v>
      </c>
      <c r="E18" s="473"/>
      <c r="F18" s="541" t="s">
        <v>136</v>
      </c>
      <c r="G18" s="472">
        <v>150000</v>
      </c>
      <c r="H18" s="459">
        <f>+H17+Tabla2[[#This Row],[DEBITO]]-Tabla2[[#This Row],[CREDITO]]</f>
        <v>3080440</v>
      </c>
      <c r="L18" s="474"/>
    </row>
    <row r="19" spans="2:12" x14ac:dyDescent="0.3">
      <c r="B19" s="470">
        <v>42507</v>
      </c>
      <c r="C19" s="468" t="s">
        <v>176</v>
      </c>
      <c r="D19" s="468" t="s">
        <v>367</v>
      </c>
      <c r="E19" s="471">
        <v>3000000</v>
      </c>
      <c r="F19" s="541"/>
      <c r="G19" s="472">
        <v>0</v>
      </c>
      <c r="H19" s="459">
        <f>+H18+Tabla2[[#This Row],[DEBITO]]-Tabla2[[#This Row],[CREDITO]]</f>
        <v>6080440</v>
      </c>
      <c r="L19" s="474"/>
    </row>
    <row r="20" spans="2:12" x14ac:dyDescent="0.3">
      <c r="B20" s="467">
        <v>42506</v>
      </c>
      <c r="C20" s="469" t="s">
        <v>317</v>
      </c>
      <c r="D20" s="469" t="s">
        <v>486</v>
      </c>
      <c r="E20" s="473"/>
      <c r="F20" s="541" t="s">
        <v>626</v>
      </c>
      <c r="G20" s="472">
        <v>3055440</v>
      </c>
      <c r="H20" s="459">
        <f>+H19+Tabla2[[#This Row],[DEBITO]]-Tabla2[[#This Row],[CREDITO]]</f>
        <v>3025000</v>
      </c>
      <c r="J20" s="475"/>
      <c r="K20" s="457" t="s">
        <v>232</v>
      </c>
      <c r="L20" s="474"/>
    </row>
    <row r="21" spans="2:12" x14ac:dyDescent="0.3">
      <c r="B21" s="467">
        <v>42509</v>
      </c>
      <c r="C21" s="469" t="s">
        <v>176</v>
      </c>
      <c r="D21" s="469" t="s">
        <v>487</v>
      </c>
      <c r="E21" s="476"/>
      <c r="F21" s="541" t="s">
        <v>626</v>
      </c>
      <c r="G21" s="478">
        <v>3000000</v>
      </c>
      <c r="H21" s="459">
        <f>+H20+Tabla2[[#This Row],[DEBITO]]-Tabla2[[#This Row],[CREDITO]]</f>
        <v>25000</v>
      </c>
      <c r="J21" s="475"/>
      <c r="K21" s="457" t="s">
        <v>232</v>
      </c>
      <c r="L21" s="474"/>
    </row>
    <row r="22" spans="2:12" x14ac:dyDescent="0.3">
      <c r="B22" s="470">
        <v>42510</v>
      </c>
      <c r="C22" s="468" t="s">
        <v>176</v>
      </c>
      <c r="D22" s="468" t="s">
        <v>367</v>
      </c>
      <c r="E22" s="476">
        <v>6900000</v>
      </c>
      <c r="F22" s="541"/>
      <c r="G22" s="472">
        <v>0</v>
      </c>
      <c r="H22" s="459">
        <f>+H21+Tabla2[[#This Row],[DEBITO]]-Tabla2[[#This Row],[CREDITO]]</f>
        <v>6925000</v>
      </c>
      <c r="K22" s="457" t="s">
        <v>232</v>
      </c>
    </row>
    <row r="23" spans="2:12" x14ac:dyDescent="0.3">
      <c r="B23" s="467">
        <v>42510</v>
      </c>
      <c r="C23" s="469" t="s">
        <v>128</v>
      </c>
      <c r="D23" s="469" t="s">
        <v>488</v>
      </c>
      <c r="E23" s="473"/>
      <c r="F23" s="541" t="s">
        <v>626</v>
      </c>
      <c r="G23" s="472">
        <v>1434000</v>
      </c>
      <c r="H23" s="459">
        <f>+H22+Tabla2[[#This Row],[DEBITO]]-Tabla2[[#This Row],[CREDITO]]</f>
        <v>5491000</v>
      </c>
      <c r="K23" s="477">
        <f>SUM(K6:K21)</f>
        <v>22380104</v>
      </c>
    </row>
    <row r="24" spans="2:12" x14ac:dyDescent="0.3">
      <c r="B24" s="467">
        <v>42513</v>
      </c>
      <c r="C24" s="469" t="s">
        <v>176</v>
      </c>
      <c r="D24" s="469" t="s">
        <v>221</v>
      </c>
      <c r="E24" s="473"/>
      <c r="F24" s="541" t="s">
        <v>246</v>
      </c>
      <c r="G24" s="472">
        <v>4900000</v>
      </c>
      <c r="H24" s="459">
        <f>+H23+Tabla2[[#This Row],[DEBITO]]-Tabla2[[#This Row],[CREDITO]]</f>
        <v>591000</v>
      </c>
      <c r="K24" s="457" t="s">
        <v>232</v>
      </c>
    </row>
    <row r="25" spans="2:12" x14ac:dyDescent="0.3">
      <c r="B25" s="467">
        <v>42514</v>
      </c>
      <c r="C25" s="469" t="s">
        <v>176</v>
      </c>
      <c r="D25" s="469" t="s">
        <v>221</v>
      </c>
      <c r="E25" s="476"/>
      <c r="F25" s="541" t="s">
        <v>246</v>
      </c>
      <c r="G25" s="478">
        <v>563000</v>
      </c>
      <c r="H25" s="459">
        <f>+H24+Tabla2[[#This Row],[DEBITO]]-Tabla2[[#This Row],[CREDITO]]</f>
        <v>28000</v>
      </c>
      <c r="K25" s="457" t="s">
        <v>232</v>
      </c>
    </row>
    <row r="26" spans="2:12" x14ac:dyDescent="0.3">
      <c r="B26" s="470">
        <v>42514</v>
      </c>
      <c r="C26" s="468" t="s">
        <v>176</v>
      </c>
      <c r="D26" s="468" t="s">
        <v>367</v>
      </c>
      <c r="E26" s="476">
        <v>1600000</v>
      </c>
      <c r="F26" s="541"/>
      <c r="G26" s="478"/>
      <c r="H26" s="459">
        <f>+H25+Tabla2[[#This Row],[DEBITO]]-Tabla2[[#This Row],[CREDITO]]</f>
        <v>1628000</v>
      </c>
      <c r="K26" s="457" t="s">
        <v>232</v>
      </c>
    </row>
    <row r="27" spans="2:12" x14ac:dyDescent="0.3">
      <c r="B27" s="467">
        <v>42515</v>
      </c>
      <c r="C27" s="469" t="s">
        <v>295</v>
      </c>
      <c r="D27" s="469" t="s">
        <v>489</v>
      </c>
      <c r="E27" s="476"/>
      <c r="F27" s="541" t="s">
        <v>626</v>
      </c>
      <c r="G27" s="478">
        <v>555100</v>
      </c>
      <c r="H27" s="459">
        <f>+H26+Tabla2[[#This Row],[DEBITO]]-Tabla2[[#This Row],[CREDITO]]</f>
        <v>1072900</v>
      </c>
      <c r="J27" s="475"/>
      <c r="K27" s="457" t="s">
        <v>232</v>
      </c>
    </row>
    <row r="28" spans="2:12" x14ac:dyDescent="0.3">
      <c r="B28" s="467">
        <v>42515</v>
      </c>
      <c r="C28" s="469" t="s">
        <v>490</v>
      </c>
      <c r="D28" s="469" t="s">
        <v>491</v>
      </c>
      <c r="E28" s="476"/>
      <c r="F28" s="541" t="s">
        <v>626</v>
      </c>
      <c r="G28" s="478">
        <v>409011</v>
      </c>
      <c r="H28" s="459">
        <f>+H27+Tabla2[[#This Row],[DEBITO]]-Tabla2[[#This Row],[CREDITO]]</f>
        <v>663889</v>
      </c>
    </row>
    <row r="29" spans="2:12" x14ac:dyDescent="0.3">
      <c r="B29" s="467">
        <v>42515</v>
      </c>
      <c r="C29" s="469" t="s">
        <v>492</v>
      </c>
      <c r="D29" s="469" t="s">
        <v>493</v>
      </c>
      <c r="E29" s="476"/>
      <c r="F29" s="541" t="s">
        <v>626</v>
      </c>
      <c r="G29" s="478">
        <v>663889</v>
      </c>
      <c r="H29" s="459">
        <f>+H28+Tabla2[[#This Row],[DEBITO]]-Tabla2[[#This Row],[CREDITO]]</f>
        <v>0</v>
      </c>
      <c r="K29" s="457" t="s">
        <v>232</v>
      </c>
    </row>
    <row r="30" spans="2:12" x14ac:dyDescent="0.3">
      <c r="B30" s="479">
        <v>42516</v>
      </c>
      <c r="C30" s="468" t="s">
        <v>176</v>
      </c>
      <c r="D30" s="468" t="s">
        <v>367</v>
      </c>
      <c r="E30" s="471">
        <v>2250000</v>
      </c>
      <c r="F30" s="541"/>
      <c r="G30" s="472">
        <v>0</v>
      </c>
      <c r="H30" s="459">
        <f>+H29+Tabla2[[#This Row],[DEBITO]]-Tabla2[[#This Row],[CREDITO]]</f>
        <v>2250000</v>
      </c>
      <c r="J30" s="475"/>
      <c r="K30" s="457" t="s">
        <v>232</v>
      </c>
    </row>
    <row r="31" spans="2:12" x14ac:dyDescent="0.3">
      <c r="B31" s="467">
        <v>42516</v>
      </c>
      <c r="C31" s="469" t="s">
        <v>226</v>
      </c>
      <c r="D31" s="469" t="s">
        <v>494</v>
      </c>
      <c r="E31" s="473"/>
      <c r="F31" s="541" t="s">
        <v>626</v>
      </c>
      <c r="G31" s="472">
        <v>2250000</v>
      </c>
      <c r="H31" s="459">
        <f>+H30+Tabla2[[#This Row],[DEBITO]]-Tabla2[[#This Row],[CREDITO]]</f>
        <v>0</v>
      </c>
    </row>
    <row r="32" spans="2:12" x14ac:dyDescent="0.3">
      <c r="B32" s="470"/>
      <c r="C32" s="468"/>
      <c r="D32" s="468"/>
      <c r="E32" s="471"/>
      <c r="F32" s="541"/>
      <c r="G32" s="472">
        <v>0</v>
      </c>
      <c r="H32" s="459">
        <f>+H31+Tabla2[[#This Row],[DEBITO]]-Tabla2[[#This Row],[CREDITO]]</f>
        <v>0</v>
      </c>
    </row>
    <row r="33" spans="2:8" x14ac:dyDescent="0.3">
      <c r="B33" s="485"/>
      <c r="C33" s="486"/>
      <c r="D33" s="486"/>
      <c r="E33" s="487"/>
      <c r="F33" s="543"/>
      <c r="G33" s="472">
        <v>0</v>
      </c>
      <c r="H33" s="459">
        <f>+H32+Tabla2[[#This Row],[DEBITO]]-Tabla2[[#This Row],[CREDITO]]</f>
        <v>0</v>
      </c>
    </row>
    <row r="34" spans="2:8" x14ac:dyDescent="0.3">
      <c r="E34" s="475"/>
      <c r="F34" s="540"/>
    </row>
    <row r="35" spans="2:8" x14ac:dyDescent="0.3">
      <c r="E35" s="480">
        <f>SUM(E6:E33)</f>
        <v>24027000</v>
      </c>
      <c r="F35" s="544"/>
      <c r="G35" s="481">
        <f>SUM(G6:G33)</f>
        <v>27408920</v>
      </c>
    </row>
    <row r="36" spans="2:8" x14ac:dyDescent="0.3">
      <c r="E36" s="475"/>
      <c r="F36" s="540"/>
    </row>
  </sheetData>
  <mergeCells count="3">
    <mergeCell ref="B2:H2"/>
    <mergeCell ref="B3:H3"/>
    <mergeCell ref="J3:L3"/>
  </mergeCells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2"/>
  <sheetViews>
    <sheetView topLeftCell="B1" zoomScaleNormal="100" workbookViewId="0">
      <selection activeCell="I28" sqref="I28"/>
    </sheetView>
  </sheetViews>
  <sheetFormatPr baseColWidth="10" defaultRowHeight="15.75" x14ac:dyDescent="0.3"/>
  <cols>
    <col min="1" max="1" width="11" customWidth="1"/>
    <col min="2" max="2" width="15.44140625" customWidth="1"/>
    <col min="3" max="3" width="10.88671875" bestFit="1" customWidth="1"/>
    <col min="4" max="4" width="10.21875" bestFit="1" customWidth="1"/>
    <col min="5" max="5" width="28.109375" bestFit="1" customWidth="1"/>
    <col min="6" max="6" width="12.21875" customWidth="1"/>
    <col min="7" max="7" width="11" bestFit="1" customWidth="1"/>
    <col min="8" max="8" width="13.5546875" bestFit="1" customWidth="1"/>
    <col min="9" max="10" width="11.77734375" bestFit="1" customWidth="1"/>
    <col min="11" max="11" width="9" bestFit="1" customWidth="1"/>
  </cols>
  <sheetData>
    <row r="1" spans="2:10" x14ac:dyDescent="0.3">
      <c r="B1" s="120"/>
      <c r="C1" s="120"/>
      <c r="D1" s="120"/>
      <c r="E1" s="636" t="s">
        <v>140</v>
      </c>
      <c r="F1" s="636"/>
      <c r="G1" s="122"/>
      <c r="H1" s="122"/>
    </row>
    <row r="2" spans="2:10" x14ac:dyDescent="0.3">
      <c r="B2" s="120"/>
      <c r="C2" s="120"/>
      <c r="D2" s="120"/>
      <c r="E2" s="636" t="s">
        <v>141</v>
      </c>
      <c r="F2" s="636"/>
      <c r="G2" s="122"/>
      <c r="H2" s="122"/>
    </row>
    <row r="3" spans="2:10" x14ac:dyDescent="0.3">
      <c r="B3" s="120"/>
      <c r="C3" s="120"/>
      <c r="D3" s="120"/>
      <c r="E3" s="636" t="s">
        <v>142</v>
      </c>
      <c r="F3" s="636"/>
      <c r="G3" s="122"/>
      <c r="H3" s="122"/>
    </row>
    <row r="4" spans="2:10" x14ac:dyDescent="0.3">
      <c r="B4" s="120"/>
      <c r="C4" s="120"/>
      <c r="D4" s="120"/>
      <c r="E4" s="636" t="s">
        <v>165</v>
      </c>
      <c r="F4" s="636"/>
      <c r="G4" s="122"/>
      <c r="H4" s="122"/>
    </row>
    <row r="5" spans="2:10" x14ac:dyDescent="0.3">
      <c r="B5" s="120"/>
      <c r="C5" s="120"/>
      <c r="D5" s="120"/>
      <c r="E5" s="121"/>
      <c r="F5" s="121"/>
      <c r="G5" s="122"/>
      <c r="H5" s="122"/>
    </row>
    <row r="6" spans="2:10" x14ac:dyDescent="0.3">
      <c r="B6" s="120"/>
      <c r="C6" s="120"/>
      <c r="D6" s="120"/>
      <c r="E6" s="120"/>
      <c r="F6" s="123" t="s">
        <v>166</v>
      </c>
      <c r="G6" s="122"/>
      <c r="H6" s="122">
        <v>336423.6</v>
      </c>
    </row>
    <row r="7" spans="2:10" x14ac:dyDescent="0.3">
      <c r="B7" s="635" t="s">
        <v>144</v>
      </c>
      <c r="C7" s="635"/>
      <c r="D7" s="635"/>
      <c r="E7" s="635"/>
      <c r="F7" s="635"/>
      <c r="G7" s="635"/>
      <c r="H7" s="635"/>
      <c r="J7" s="29"/>
    </row>
    <row r="8" spans="2:10" x14ac:dyDescent="0.3">
      <c r="B8" s="124" t="s">
        <v>67</v>
      </c>
      <c r="C8" s="124" t="s">
        <v>2</v>
      </c>
      <c r="D8" s="124" t="s">
        <v>145</v>
      </c>
      <c r="E8" s="124" t="s">
        <v>9</v>
      </c>
      <c r="F8" s="125" t="s">
        <v>146</v>
      </c>
      <c r="G8" s="125" t="s">
        <v>68</v>
      </c>
      <c r="H8" s="125" t="s">
        <v>31</v>
      </c>
      <c r="J8" s="29"/>
    </row>
    <row r="9" spans="2:10" x14ac:dyDescent="0.3">
      <c r="B9" s="124"/>
      <c r="C9" s="124"/>
      <c r="D9" s="124"/>
      <c r="E9" s="166" t="s">
        <v>172</v>
      </c>
      <c r="F9" s="127">
        <f>+H6</f>
        <v>336423.6</v>
      </c>
      <c r="G9" s="125"/>
      <c r="H9" s="125"/>
      <c r="J9" s="29"/>
    </row>
    <row r="10" spans="2:10" x14ac:dyDescent="0.3">
      <c r="B10" s="126" t="s">
        <v>177</v>
      </c>
      <c r="C10" s="126" t="s">
        <v>128</v>
      </c>
      <c r="D10" s="126"/>
      <c r="E10" s="126" t="s">
        <v>153</v>
      </c>
      <c r="F10" s="127">
        <v>0</v>
      </c>
      <c r="G10" s="127">
        <v>39.6</v>
      </c>
      <c r="H10" s="188">
        <f>+H6+F10-G10</f>
        <v>336384</v>
      </c>
    </row>
    <row r="11" spans="2:10" x14ac:dyDescent="0.3">
      <c r="B11" s="126" t="s">
        <v>177</v>
      </c>
      <c r="C11" s="126" t="s">
        <v>128</v>
      </c>
      <c r="D11" s="126"/>
      <c r="E11" s="126" t="s">
        <v>173</v>
      </c>
      <c r="F11" s="127"/>
      <c r="G11" s="127">
        <v>9900</v>
      </c>
      <c r="H11" s="188">
        <f>+H10+F11-G11</f>
        <v>326484</v>
      </c>
    </row>
    <row r="12" spans="2:10" x14ac:dyDescent="0.3">
      <c r="B12" s="126"/>
      <c r="C12" s="126"/>
      <c r="D12" s="126"/>
      <c r="E12" s="126"/>
      <c r="F12" s="127"/>
      <c r="G12" s="127"/>
      <c r="H12" s="188">
        <f>+H11+F12-G12</f>
        <v>326484</v>
      </c>
      <c r="J12" s="29"/>
    </row>
    <row r="13" spans="2:10" x14ac:dyDescent="0.3">
      <c r="B13" s="189"/>
      <c r="C13" s="159"/>
      <c r="D13" s="166"/>
      <c r="E13" s="160"/>
      <c r="F13" s="161"/>
      <c r="G13" s="127"/>
      <c r="H13" s="188">
        <f>+H12+F13-G13</f>
        <v>326484</v>
      </c>
      <c r="J13" s="29"/>
    </row>
    <row r="14" spans="2:10" x14ac:dyDescent="0.3">
      <c r="B14" s="126"/>
      <c r="C14" s="126"/>
      <c r="D14" s="126"/>
      <c r="E14" s="126"/>
      <c r="F14" s="190"/>
      <c r="G14" s="190">
        <v>0</v>
      </c>
      <c r="H14" s="188">
        <f>+H13+F14-G14</f>
        <v>326484</v>
      </c>
      <c r="J14" s="29"/>
    </row>
    <row r="15" spans="2:10" x14ac:dyDescent="0.3">
      <c r="B15" s="635" t="s">
        <v>20</v>
      </c>
      <c r="C15" s="635"/>
      <c r="D15" s="635"/>
      <c r="E15" s="635"/>
      <c r="F15" s="125">
        <f>SUM(F10:F14)</f>
        <v>0</v>
      </c>
      <c r="G15" s="125">
        <f>SUM(G10:G14)</f>
        <v>9939.6</v>
      </c>
      <c r="H15" s="122"/>
      <c r="J15" s="29"/>
    </row>
    <row r="16" spans="2:10" x14ac:dyDescent="0.3">
      <c r="B16" s="121"/>
      <c r="C16" s="121"/>
      <c r="D16" s="121"/>
      <c r="E16" s="121"/>
      <c r="F16" s="122"/>
      <c r="G16" s="122"/>
      <c r="H16" s="122"/>
      <c r="J16" s="29"/>
    </row>
    <row r="17" spans="8:10" x14ac:dyDescent="0.3">
      <c r="H17" s="122"/>
      <c r="J17" s="29"/>
    </row>
    <row r="18" spans="8:10" x14ac:dyDescent="0.3">
      <c r="H18" s="122"/>
      <c r="J18" s="29"/>
    </row>
    <row r="19" spans="8:10" x14ac:dyDescent="0.3">
      <c r="H19" s="122"/>
    </row>
    <row r="20" spans="8:10" x14ac:dyDescent="0.3">
      <c r="H20" s="122"/>
    </row>
    <row r="21" spans="8:10" x14ac:dyDescent="0.3">
      <c r="H21" s="122"/>
    </row>
    <row r="22" spans="8:10" x14ac:dyDescent="0.3">
      <c r="H22" s="122"/>
    </row>
    <row r="23" spans="8:10" x14ac:dyDescent="0.3">
      <c r="H23" s="122"/>
      <c r="I23" s="60"/>
    </row>
    <row r="24" spans="8:10" x14ac:dyDescent="0.3">
      <c r="H24" s="122"/>
    </row>
    <row r="25" spans="8:10" x14ac:dyDescent="0.3">
      <c r="H25" s="122"/>
    </row>
    <row r="26" spans="8:10" x14ac:dyDescent="0.3">
      <c r="H26" s="122"/>
    </row>
    <row r="27" spans="8:10" x14ac:dyDescent="0.3">
      <c r="H27" s="122"/>
    </row>
    <row r="32" spans="8:10" x14ac:dyDescent="0.3">
      <c r="I32" s="27"/>
    </row>
    <row r="33" spans="9:9" x14ac:dyDescent="0.3">
      <c r="I33" s="27"/>
    </row>
    <row r="34" spans="9:9" x14ac:dyDescent="0.3">
      <c r="I34" s="27"/>
    </row>
    <row r="35" spans="9:9" x14ac:dyDescent="0.3">
      <c r="I35" s="27"/>
    </row>
    <row r="36" spans="9:9" x14ac:dyDescent="0.3">
      <c r="I36" s="27"/>
    </row>
    <row r="37" spans="9:9" x14ac:dyDescent="0.3">
      <c r="I37" s="27"/>
    </row>
    <row r="38" spans="9:9" x14ac:dyDescent="0.3">
      <c r="I38" s="27"/>
    </row>
    <row r="39" spans="9:9" x14ac:dyDescent="0.3">
      <c r="I39" s="27"/>
    </row>
    <row r="40" spans="9:9" x14ac:dyDescent="0.3">
      <c r="I40" s="27"/>
    </row>
    <row r="41" spans="9:9" x14ac:dyDescent="0.3">
      <c r="I41" s="27"/>
    </row>
    <row r="42" spans="9:9" x14ac:dyDescent="0.3">
      <c r="I42" s="27"/>
    </row>
  </sheetData>
  <mergeCells count="6">
    <mergeCell ref="B15:E15"/>
    <mergeCell ref="B7:H7"/>
    <mergeCell ref="E1:F1"/>
    <mergeCell ref="E2:F2"/>
    <mergeCell ref="E3:F3"/>
    <mergeCell ref="E4:F4"/>
  </mergeCells>
  <pageMargins left="0.5" right="0.53" top="0.75" bottom="0.75" header="0.3" footer="0.3"/>
  <pageSetup scale="89" orientation="landscape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6"/>
  <sheetViews>
    <sheetView workbookViewId="0">
      <selection activeCell="P41" sqref="P41"/>
    </sheetView>
  </sheetViews>
  <sheetFormatPr baseColWidth="10" defaultRowHeight="12.75" x14ac:dyDescent="0.2"/>
  <cols>
    <col min="1" max="1" width="18.77734375" style="3" bestFit="1" customWidth="1"/>
    <col min="2" max="3" width="11.21875" style="3" bestFit="1" customWidth="1"/>
    <col min="4" max="4" width="9.5546875" style="3" customWidth="1"/>
    <col min="5" max="5" width="10.21875" style="3" customWidth="1"/>
    <col min="6" max="6" width="10.109375" style="3" customWidth="1"/>
    <col min="7" max="7" width="11.5546875" style="3" customWidth="1"/>
    <col min="8" max="13" width="10.5546875" style="3" customWidth="1"/>
    <col min="14" max="14" width="12.5546875" style="3" customWidth="1"/>
    <col min="15" max="16384" width="11.5546875" style="3"/>
  </cols>
  <sheetData>
    <row r="2" spans="1:14" ht="13.5" thickBot="1" x14ac:dyDescent="0.25"/>
    <row r="3" spans="1:14" s="43" customFormat="1" x14ac:dyDescent="0.2">
      <c r="A3" s="76"/>
      <c r="B3" s="113" t="s">
        <v>186</v>
      </c>
      <c r="C3" s="113" t="s">
        <v>187</v>
      </c>
      <c r="D3" s="113" t="s">
        <v>188</v>
      </c>
      <c r="E3" s="113" t="s">
        <v>189</v>
      </c>
      <c r="F3" s="113" t="s">
        <v>191</v>
      </c>
      <c r="G3" s="113" t="s">
        <v>192</v>
      </c>
      <c r="H3" s="113" t="s">
        <v>193</v>
      </c>
      <c r="I3" s="113" t="s">
        <v>194</v>
      </c>
      <c r="J3" s="113" t="s">
        <v>195</v>
      </c>
      <c r="K3" s="113" t="s">
        <v>196</v>
      </c>
      <c r="L3" s="113" t="s">
        <v>197</v>
      </c>
      <c r="M3" s="113" t="s">
        <v>198</v>
      </c>
      <c r="N3" s="77" t="s">
        <v>190</v>
      </c>
    </row>
    <row r="4" spans="1:14" s="12" customFormat="1" hidden="1" x14ac:dyDescent="0.2">
      <c r="A4" s="62" t="s">
        <v>48</v>
      </c>
      <c r="B4" s="78">
        <f>SUM(B6:B8)</f>
        <v>91379494</v>
      </c>
      <c r="C4" s="78">
        <f>SUM(C6:C8)</f>
        <v>72358788</v>
      </c>
      <c r="D4" s="78">
        <v>86198397.299999997</v>
      </c>
      <c r="E4" s="78" t="e">
        <f>SUM(E6:E8)</f>
        <v>#REF!</v>
      </c>
      <c r="F4" s="78" t="e">
        <f>SUM(F6:F8)</f>
        <v>#REF!</v>
      </c>
      <c r="G4" s="78" t="e">
        <f>SUM(G6:G8)</f>
        <v>#REF!</v>
      </c>
      <c r="H4" s="78" t="e">
        <f>SUM(H6:H8)</f>
        <v>#REF!</v>
      </c>
      <c r="I4" s="78" t="e">
        <f>SUM(I6:I8)</f>
        <v>#REF!</v>
      </c>
      <c r="J4" s="162"/>
      <c r="K4" s="162"/>
      <c r="L4" s="162"/>
      <c r="M4" s="162"/>
      <c r="N4" s="64" t="e">
        <f>SUM(B4:E4)</f>
        <v>#REF!</v>
      </c>
    </row>
    <row r="5" spans="1:14" s="12" customFormat="1" hidden="1" x14ac:dyDescent="0.2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spans="1:14" hidden="1" x14ac:dyDescent="0.2">
      <c r="A6" s="82" t="s">
        <v>69</v>
      </c>
      <c r="B6" s="83"/>
      <c r="C6" s="83">
        <v>16250000</v>
      </c>
      <c r="D6" s="83"/>
      <c r="E6" s="83" t="e">
        <f>VENTAS!#REF!</f>
        <v>#REF!</v>
      </c>
      <c r="F6" s="83" t="e">
        <f>VENTAS!#REF!</f>
        <v>#REF!</v>
      </c>
      <c r="G6" s="83" t="e">
        <f>VENTAS!#REF!</f>
        <v>#REF!</v>
      </c>
      <c r="H6" s="83" t="e">
        <f>VENTAS!#REF!</f>
        <v>#REF!</v>
      </c>
      <c r="I6" s="83" t="e">
        <f>VENTAS!#REF!</f>
        <v>#REF!</v>
      </c>
      <c r="J6" s="163"/>
      <c r="K6" s="163"/>
      <c r="L6" s="163"/>
      <c r="M6" s="163"/>
      <c r="N6" s="68"/>
    </row>
    <row r="7" spans="1:14" hidden="1" x14ac:dyDescent="0.2">
      <c r="A7" s="82" t="s">
        <v>49</v>
      </c>
      <c r="B7" s="83">
        <v>45167494</v>
      </c>
      <c r="C7" s="83">
        <v>17243788</v>
      </c>
      <c r="D7" s="83">
        <v>44037397.299999997</v>
      </c>
      <c r="E7" s="83">
        <v>104585448.09999999</v>
      </c>
      <c r="F7" s="83">
        <v>104585449.09999999</v>
      </c>
      <c r="G7" s="83">
        <v>104585449.09999999</v>
      </c>
      <c r="H7" s="83">
        <v>104585449.09999999</v>
      </c>
      <c r="I7" s="83">
        <v>104585450.09999999</v>
      </c>
      <c r="J7" s="163"/>
      <c r="K7" s="163"/>
      <c r="L7" s="163"/>
      <c r="M7" s="163"/>
      <c r="N7" s="68"/>
    </row>
    <row r="8" spans="1:14" hidden="1" x14ac:dyDescent="0.2">
      <c r="A8" s="82" t="s">
        <v>85</v>
      </c>
      <c r="B8" s="83">
        <v>46212000</v>
      </c>
      <c r="C8" s="83">
        <v>38865000</v>
      </c>
      <c r="D8" s="83">
        <v>42161000</v>
      </c>
      <c r="E8" s="83" t="e">
        <f>'JUNIO 2016'!C8+'JUNIO 2016'!#REF!</f>
        <v>#REF!</v>
      </c>
      <c r="F8" s="83" t="e">
        <f>'JUNIO 2016'!D8+'JUNIO 2016'!#REF!</f>
        <v>#REF!</v>
      </c>
      <c r="G8" s="83" t="e">
        <f>'JUNIO 2016'!E8+'JUNIO 2016'!#REF!</f>
        <v>#REF!</v>
      </c>
      <c r="H8" s="83" t="e">
        <f>'JUNIO 2016'!F8+'JUNIO 2016'!#REF!</f>
        <v>#REF!</v>
      </c>
      <c r="I8" s="83" t="e">
        <f>'JUNIO 2016'!G8+'JUNIO 2016'!#REF!</f>
        <v>#REF!</v>
      </c>
      <c r="J8" s="163"/>
      <c r="K8" s="163"/>
      <c r="L8" s="163"/>
      <c r="M8" s="163"/>
      <c r="N8" s="68"/>
    </row>
    <row r="9" spans="1:14" hidden="1" x14ac:dyDescent="0.2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8"/>
    </row>
    <row r="10" spans="1:14" s="12" customFormat="1" hidden="1" x14ac:dyDescent="0.2">
      <c r="A10" s="62" t="s">
        <v>8</v>
      </c>
      <c r="B10" s="63">
        <f>SUM(B12:B16)</f>
        <v>7246055</v>
      </c>
      <c r="C10" s="63">
        <f>SUM(C12:C16)</f>
        <v>11177627</v>
      </c>
      <c r="D10" s="63">
        <v>8470300</v>
      </c>
      <c r="E10" s="63">
        <f>SUM(E12:E16)</f>
        <v>12869471</v>
      </c>
      <c r="F10" s="63">
        <f>SUM(F12:F16)</f>
        <v>12869476</v>
      </c>
      <c r="G10" s="63">
        <f>SUM(G12:G16)</f>
        <v>12869476</v>
      </c>
      <c r="H10" s="63">
        <f>SUM(H12:H16)</f>
        <v>12869476</v>
      </c>
      <c r="I10" s="63">
        <f>SUM(I12:I16)</f>
        <v>12869481</v>
      </c>
      <c r="J10" s="164"/>
      <c r="K10" s="164"/>
      <c r="L10" s="164"/>
      <c r="M10" s="164"/>
      <c r="N10" s="64">
        <f>SUM(B10:E10)</f>
        <v>39763453</v>
      </c>
    </row>
    <row r="11" spans="1:14" hidden="1" x14ac:dyDescent="0.2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8"/>
    </row>
    <row r="12" spans="1:14" hidden="1" x14ac:dyDescent="0.2">
      <c r="A12" s="82" t="s">
        <v>86</v>
      </c>
      <c r="B12" s="83">
        <v>1844740</v>
      </c>
      <c r="C12" s="83">
        <v>833595</v>
      </c>
      <c r="D12" s="83">
        <v>1247376</v>
      </c>
      <c r="E12" s="83">
        <v>467200</v>
      </c>
      <c r="F12" s="83">
        <v>467201</v>
      </c>
      <c r="G12" s="83">
        <v>467201</v>
      </c>
      <c r="H12" s="83">
        <v>467201</v>
      </c>
      <c r="I12" s="83">
        <v>467202</v>
      </c>
      <c r="J12" s="163"/>
      <c r="K12" s="163"/>
      <c r="L12" s="163"/>
      <c r="M12" s="163"/>
      <c r="N12" s="68"/>
    </row>
    <row r="13" spans="1:14" hidden="1" x14ac:dyDescent="0.2">
      <c r="A13" s="82" t="s">
        <v>108</v>
      </c>
      <c r="B13" s="83">
        <v>1099965</v>
      </c>
      <c r="C13" s="83">
        <f>1500000-C12</f>
        <v>666405</v>
      </c>
      <c r="D13" s="83">
        <v>252600</v>
      </c>
      <c r="E13" s="83">
        <v>837000</v>
      </c>
      <c r="F13" s="83">
        <v>837001</v>
      </c>
      <c r="G13" s="83">
        <v>837001</v>
      </c>
      <c r="H13" s="83">
        <v>837001</v>
      </c>
      <c r="I13" s="83">
        <v>837002</v>
      </c>
      <c r="J13" s="163"/>
      <c r="K13" s="163"/>
      <c r="L13" s="163"/>
      <c r="M13" s="163"/>
      <c r="N13" s="68"/>
    </row>
    <row r="14" spans="1:14" hidden="1" x14ac:dyDescent="0.2">
      <c r="A14" s="82" t="s">
        <v>109</v>
      </c>
      <c r="B14" s="83"/>
      <c r="C14" s="83">
        <v>4227400</v>
      </c>
      <c r="D14" s="83">
        <v>2988814</v>
      </c>
      <c r="E14" s="83">
        <v>5669794</v>
      </c>
      <c r="F14" s="83">
        <v>5669795</v>
      </c>
      <c r="G14" s="83">
        <v>5669795</v>
      </c>
      <c r="H14" s="83">
        <v>5669795</v>
      </c>
      <c r="I14" s="83">
        <v>5669796</v>
      </c>
      <c r="J14" s="163"/>
      <c r="K14" s="163"/>
      <c r="L14" s="163"/>
      <c r="M14" s="163"/>
      <c r="N14" s="68"/>
    </row>
    <row r="15" spans="1:14" hidden="1" x14ac:dyDescent="0.2">
      <c r="A15" s="82" t="s">
        <v>88</v>
      </c>
      <c r="B15" s="83">
        <v>3890312</v>
      </c>
      <c r="C15" s="83">
        <v>5039189</v>
      </c>
      <c r="D15" s="83">
        <v>3564510</v>
      </c>
      <c r="E15" s="83">
        <v>5484477</v>
      </c>
      <c r="F15" s="83">
        <v>5484478</v>
      </c>
      <c r="G15" s="83">
        <v>5484478</v>
      </c>
      <c r="H15" s="83">
        <v>5484478</v>
      </c>
      <c r="I15" s="83">
        <v>5484479</v>
      </c>
      <c r="J15" s="163"/>
      <c r="K15" s="163"/>
      <c r="L15" s="163"/>
      <c r="M15" s="163"/>
      <c r="N15" s="68"/>
    </row>
    <row r="16" spans="1:14" hidden="1" x14ac:dyDescent="0.2">
      <c r="A16" s="82" t="s">
        <v>87</v>
      </c>
      <c r="B16" s="83">
        <v>411038</v>
      </c>
      <c r="C16" s="83">
        <v>411038</v>
      </c>
      <c r="D16" s="83">
        <v>417000</v>
      </c>
      <c r="E16" s="83">
        <v>411000</v>
      </c>
      <c r="F16" s="83">
        <v>411001</v>
      </c>
      <c r="G16" s="83">
        <v>411001</v>
      </c>
      <c r="H16" s="83">
        <v>411001</v>
      </c>
      <c r="I16" s="83">
        <v>411002</v>
      </c>
      <c r="J16" s="163"/>
      <c r="K16" s="163"/>
      <c r="L16" s="163"/>
      <c r="M16" s="163"/>
      <c r="N16" s="68"/>
    </row>
    <row r="17" spans="1:14" hidden="1" x14ac:dyDescent="0.2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8"/>
    </row>
    <row r="18" spans="1:14" hidden="1" x14ac:dyDescent="0.2">
      <c r="A18" s="62" t="s">
        <v>89</v>
      </c>
      <c r="B18" s="63">
        <f>SUM(B20:B26)</f>
        <v>3926613.5</v>
      </c>
      <c r="C18" s="63">
        <f>SUM(C20:C26)</f>
        <v>4349365</v>
      </c>
      <c r="D18" s="63">
        <v>5150438.25</v>
      </c>
      <c r="E18" s="63">
        <f>SUM(E20:E26)</f>
        <v>5987533</v>
      </c>
      <c r="F18" s="63">
        <f>SUM(F20:F26)</f>
        <v>5987540</v>
      </c>
      <c r="G18" s="63">
        <f>SUM(G20:G26)</f>
        <v>5987540</v>
      </c>
      <c r="H18" s="63">
        <f>SUM(H20:H26)</f>
        <v>5987540</v>
      </c>
      <c r="I18" s="63">
        <f>SUM(I20:I26)</f>
        <v>5987547</v>
      </c>
      <c r="J18" s="164"/>
      <c r="K18" s="164"/>
      <c r="L18" s="164"/>
      <c r="M18" s="164"/>
      <c r="N18" s="64">
        <f>SUM(B18:E18)</f>
        <v>19413949.75</v>
      </c>
    </row>
    <row r="19" spans="1:14" hidden="1" x14ac:dyDescent="0.2">
      <c r="A19" s="79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8"/>
    </row>
    <row r="20" spans="1:14" hidden="1" x14ac:dyDescent="0.2">
      <c r="A20" s="82" t="s">
        <v>90</v>
      </c>
      <c r="B20" s="83">
        <v>396580.12000000005</v>
      </c>
      <c r="C20" s="83">
        <v>234748</v>
      </c>
      <c r="D20" s="83">
        <v>268523.92000000004</v>
      </c>
      <c r="E20" s="83">
        <v>239645</v>
      </c>
      <c r="F20" s="83">
        <v>239646</v>
      </c>
      <c r="G20" s="83">
        <v>239646</v>
      </c>
      <c r="H20" s="83">
        <v>239646</v>
      </c>
      <c r="I20" s="83">
        <v>239647</v>
      </c>
      <c r="J20" s="163"/>
      <c r="K20" s="163"/>
      <c r="L20" s="163"/>
      <c r="M20" s="163"/>
      <c r="N20" s="68"/>
    </row>
    <row r="21" spans="1:14" hidden="1" x14ac:dyDescent="0.2">
      <c r="A21" s="82" t="s">
        <v>132</v>
      </c>
      <c r="B21" s="83"/>
      <c r="C21" s="83"/>
      <c r="D21" s="83"/>
      <c r="E21" s="83">
        <v>769376</v>
      </c>
      <c r="F21" s="83">
        <v>769377</v>
      </c>
      <c r="G21" s="83">
        <v>769377</v>
      </c>
      <c r="H21" s="83">
        <v>769377</v>
      </c>
      <c r="I21" s="83">
        <v>769378</v>
      </c>
      <c r="J21" s="163"/>
      <c r="K21" s="163"/>
      <c r="L21" s="163"/>
      <c r="M21" s="163"/>
      <c r="N21" s="68"/>
    </row>
    <row r="22" spans="1:14" hidden="1" x14ac:dyDescent="0.2">
      <c r="A22" s="82" t="s">
        <v>91</v>
      </c>
      <c r="B22" s="84"/>
      <c r="C22" s="83">
        <v>1152505</v>
      </c>
      <c r="D22" s="83">
        <v>1145164</v>
      </c>
      <c r="E22" s="83">
        <v>1134773</v>
      </c>
      <c r="F22" s="83">
        <v>1134774</v>
      </c>
      <c r="G22" s="83">
        <v>1134774</v>
      </c>
      <c r="H22" s="83">
        <v>1134774</v>
      </c>
      <c r="I22" s="83">
        <v>1134775</v>
      </c>
      <c r="J22" s="163"/>
      <c r="K22" s="163"/>
      <c r="L22" s="163"/>
      <c r="M22" s="163"/>
      <c r="N22" s="68"/>
    </row>
    <row r="23" spans="1:14" hidden="1" x14ac:dyDescent="0.2">
      <c r="A23" s="82" t="s">
        <v>94</v>
      </c>
      <c r="B23" s="83">
        <v>621712.58000000007</v>
      </c>
      <c r="C23" s="83">
        <v>122295</v>
      </c>
      <c r="D23" s="83">
        <v>330123.53000000003</v>
      </c>
      <c r="E23" s="83">
        <v>385836</v>
      </c>
      <c r="F23" s="83">
        <v>385837</v>
      </c>
      <c r="G23" s="83">
        <v>385837</v>
      </c>
      <c r="H23" s="83">
        <v>385837</v>
      </c>
      <c r="I23" s="83">
        <v>385838</v>
      </c>
      <c r="J23" s="163"/>
      <c r="K23" s="163"/>
      <c r="L23" s="163"/>
      <c r="M23" s="163"/>
      <c r="N23" s="68"/>
    </row>
    <row r="24" spans="1:14" hidden="1" x14ac:dyDescent="0.2">
      <c r="A24" s="82" t="s">
        <v>92</v>
      </c>
      <c r="B24" s="83">
        <v>81109.8</v>
      </c>
      <c r="C24" s="83">
        <v>12606</v>
      </c>
      <c r="D24" s="83">
        <v>17778.8</v>
      </c>
      <c r="E24" s="83">
        <v>13641</v>
      </c>
      <c r="F24" s="83">
        <v>13642</v>
      </c>
      <c r="G24" s="83">
        <v>13642</v>
      </c>
      <c r="H24" s="83">
        <v>13642</v>
      </c>
      <c r="I24" s="83">
        <v>13643</v>
      </c>
      <c r="J24" s="163"/>
      <c r="K24" s="163"/>
      <c r="L24" s="163"/>
      <c r="M24" s="163"/>
      <c r="N24" s="68"/>
    </row>
    <row r="25" spans="1:14" hidden="1" x14ac:dyDescent="0.2">
      <c r="A25" s="82" t="s">
        <v>93</v>
      </c>
      <c r="B25" s="83">
        <v>1599211</v>
      </c>
      <c r="C25" s="83">
        <v>1599211</v>
      </c>
      <c r="D25" s="83">
        <v>1599211</v>
      </c>
      <c r="E25" s="83">
        <v>1603262</v>
      </c>
      <c r="F25" s="83">
        <v>1603263</v>
      </c>
      <c r="G25" s="83">
        <v>1603263</v>
      </c>
      <c r="H25" s="83">
        <v>1603263</v>
      </c>
      <c r="I25" s="83">
        <v>1603264</v>
      </c>
      <c r="J25" s="163"/>
      <c r="K25" s="163"/>
      <c r="L25" s="163"/>
      <c r="M25" s="163"/>
      <c r="N25" s="68"/>
    </row>
    <row r="26" spans="1:14" hidden="1" x14ac:dyDescent="0.2">
      <c r="A26" s="82" t="s">
        <v>95</v>
      </c>
      <c r="B26" s="84">
        <v>1228000</v>
      </c>
      <c r="C26" s="83">
        <v>1228000</v>
      </c>
      <c r="D26" s="83">
        <v>1789637</v>
      </c>
      <c r="E26" s="83">
        <v>1841000</v>
      </c>
      <c r="F26" s="83">
        <v>1841001</v>
      </c>
      <c r="G26" s="83">
        <v>1841001</v>
      </c>
      <c r="H26" s="83">
        <v>1841001</v>
      </c>
      <c r="I26" s="83">
        <v>1841002</v>
      </c>
      <c r="J26" s="163"/>
      <c r="K26" s="163"/>
      <c r="L26" s="163"/>
      <c r="M26" s="163"/>
      <c r="N26" s="68"/>
    </row>
    <row r="27" spans="1:14" x14ac:dyDescent="0.2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8"/>
    </row>
    <row r="28" spans="1:14" x14ac:dyDescent="0.2">
      <c r="A28" s="62" t="s">
        <v>98</v>
      </c>
      <c r="B28" s="69">
        <f>SUM(B30:B31)</f>
        <v>12171966.310312498</v>
      </c>
      <c r="C28" s="69">
        <f>SUM(C30:C31)</f>
        <v>12711931.134166665</v>
      </c>
      <c r="D28" s="69">
        <f>SUM(D30:D31)</f>
        <v>10520428.58</v>
      </c>
      <c r="E28" s="69">
        <f t="shared" ref="E28:M28" si="0">SUM(E30:E31)</f>
        <v>12868791.751604166</v>
      </c>
      <c r="F28" s="69">
        <f t="shared" si="0"/>
        <v>13748209.039999999</v>
      </c>
      <c r="G28" s="69">
        <f t="shared" si="0"/>
        <v>0</v>
      </c>
      <c r="H28" s="69">
        <f t="shared" si="0"/>
        <v>0</v>
      </c>
      <c r="I28" s="69">
        <f t="shared" si="0"/>
        <v>0</v>
      </c>
      <c r="J28" s="69">
        <f t="shared" si="0"/>
        <v>0</v>
      </c>
      <c r="K28" s="69">
        <f t="shared" si="0"/>
        <v>0</v>
      </c>
      <c r="L28" s="69">
        <f t="shared" si="0"/>
        <v>0</v>
      </c>
      <c r="M28" s="69">
        <f t="shared" si="0"/>
        <v>0</v>
      </c>
      <c r="N28" s="114">
        <f>SUM(B28:J28)</f>
        <v>62021326.816083334</v>
      </c>
    </row>
    <row r="29" spans="1:14" x14ac:dyDescent="0.2">
      <c r="A29" s="79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8"/>
    </row>
    <row r="30" spans="1:14" x14ac:dyDescent="0.2">
      <c r="A30" s="116" t="s">
        <v>96</v>
      </c>
      <c r="B30" s="83">
        <f>+'[5]ENERO 2016'!B32</f>
        <v>9341725.3103124984</v>
      </c>
      <c r="C30" s="83">
        <f>+'[6]FEBRERO 2016'!B33</f>
        <v>9937258.1341666654</v>
      </c>
      <c r="D30" s="83">
        <f>+'[7]MARZO 2016'!B33</f>
        <v>8063882.5800000001</v>
      </c>
      <c r="E30" s="83">
        <f>+'[8]ABRIL 2016'!B33</f>
        <v>10701265.751604166</v>
      </c>
      <c r="F30" s="83">
        <f>+'JUNIO 2016'!B34</f>
        <v>10722963.039999999</v>
      </c>
      <c r="G30" s="83"/>
      <c r="H30" s="83"/>
      <c r="I30" s="83"/>
      <c r="J30" s="83"/>
      <c r="K30" s="83"/>
      <c r="L30" s="83"/>
      <c r="M30" s="83"/>
      <c r="N30" s="68"/>
    </row>
    <row r="31" spans="1:14" x14ac:dyDescent="0.2">
      <c r="A31" s="116" t="s">
        <v>97</v>
      </c>
      <c r="B31" s="83">
        <f>+'[5]ENERO 2016'!B33</f>
        <v>2830241</v>
      </c>
      <c r="C31" s="83">
        <f>+'[6]FEBRERO 2016'!B34</f>
        <v>2774673</v>
      </c>
      <c r="D31" s="83">
        <f>+'[7]MARZO 2016'!B34</f>
        <v>2456546</v>
      </c>
      <c r="E31" s="83">
        <f>+'[8]ABRIL 2016'!B34</f>
        <v>2167526</v>
      </c>
      <c r="F31" s="83">
        <f>+'JUNIO 2016'!B35</f>
        <v>3025246</v>
      </c>
      <c r="G31" s="83"/>
      <c r="H31" s="83"/>
      <c r="I31" s="83"/>
      <c r="J31" s="83"/>
      <c r="K31" s="83"/>
      <c r="L31" s="83"/>
      <c r="M31" s="83"/>
      <c r="N31" s="68"/>
    </row>
    <row r="32" spans="1:14" x14ac:dyDescent="0.2">
      <c r="A32" s="79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8"/>
    </row>
    <row r="33" spans="1:14" s="12" customFormat="1" x14ac:dyDescent="0.2">
      <c r="A33" s="62" t="s">
        <v>99</v>
      </c>
      <c r="B33" s="69">
        <f>SUM(B35:B37)</f>
        <v>850000</v>
      </c>
      <c r="C33" s="69">
        <f t="shared" ref="C33:M33" si="1">SUM(C35:C37)</f>
        <v>1150000</v>
      </c>
      <c r="D33" s="69">
        <f t="shared" si="1"/>
        <v>0</v>
      </c>
      <c r="E33" s="69">
        <f t="shared" si="1"/>
        <v>5950000</v>
      </c>
      <c r="F33" s="69">
        <f t="shared" si="1"/>
        <v>0</v>
      </c>
      <c r="G33" s="69">
        <f t="shared" si="1"/>
        <v>0</v>
      </c>
      <c r="H33" s="69">
        <f t="shared" si="1"/>
        <v>0</v>
      </c>
      <c r="I33" s="69">
        <f t="shared" si="1"/>
        <v>0</v>
      </c>
      <c r="J33" s="69">
        <f t="shared" si="1"/>
        <v>0</v>
      </c>
      <c r="K33" s="69">
        <f t="shared" si="1"/>
        <v>0</v>
      </c>
      <c r="L33" s="69">
        <f t="shared" si="1"/>
        <v>0</v>
      </c>
      <c r="M33" s="69">
        <f t="shared" si="1"/>
        <v>0</v>
      </c>
      <c r="N33" s="114">
        <f>SUM(B33:J33)</f>
        <v>7950000</v>
      </c>
    </row>
    <row r="34" spans="1:14" x14ac:dyDescent="0.2">
      <c r="A34" s="79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8"/>
    </row>
    <row r="35" spans="1:14" x14ac:dyDescent="0.2">
      <c r="A35" s="116" t="s">
        <v>101</v>
      </c>
      <c r="B35" s="83">
        <v>0</v>
      </c>
      <c r="C35" s="83">
        <v>0</v>
      </c>
      <c r="D35" s="83"/>
      <c r="E35" s="83">
        <f>+'[8]CUADRE DE GAST CANTERA Y OFIC'!G59+'[8]CUADRE DE GAST CANTERA Y OFIC'!G181</f>
        <v>5750000</v>
      </c>
      <c r="F35" s="83"/>
      <c r="G35" s="83"/>
      <c r="H35" s="83"/>
      <c r="I35" s="83"/>
      <c r="J35" s="83"/>
      <c r="K35" s="83"/>
      <c r="L35" s="83"/>
      <c r="M35" s="83"/>
      <c r="N35" s="68"/>
    </row>
    <row r="36" spans="1:14" x14ac:dyDescent="0.2">
      <c r="A36" s="116" t="s">
        <v>100</v>
      </c>
      <c r="B36" s="83">
        <v>0</v>
      </c>
      <c r="C36" s="83">
        <v>0</v>
      </c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68"/>
    </row>
    <row r="37" spans="1:14" x14ac:dyDescent="0.2">
      <c r="A37" s="116" t="s">
        <v>102</v>
      </c>
      <c r="B37" s="83">
        <v>850000</v>
      </c>
      <c r="C37" s="83">
        <f>+'[6]FEBRERO 2016'!B43</f>
        <v>1150000</v>
      </c>
      <c r="D37" s="83"/>
      <c r="E37" s="83">
        <v>200000</v>
      </c>
      <c r="F37" s="83"/>
      <c r="G37" s="83"/>
      <c r="H37" s="83"/>
      <c r="I37" s="83"/>
      <c r="J37" s="83"/>
      <c r="K37" s="83"/>
      <c r="L37" s="83"/>
      <c r="M37" s="83"/>
      <c r="N37" s="68"/>
    </row>
    <row r="38" spans="1:14" x14ac:dyDescent="0.2">
      <c r="A38" s="79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8"/>
    </row>
    <row r="39" spans="1:14" s="12" customFormat="1" x14ac:dyDescent="0.2">
      <c r="A39" s="62" t="s">
        <v>103</v>
      </c>
      <c r="B39" s="69">
        <f>SUM(B41:B46)</f>
        <v>200000</v>
      </c>
      <c r="C39" s="69">
        <f t="shared" ref="C39:M39" si="2">SUM(C41:C46)</f>
        <v>1358300</v>
      </c>
      <c r="D39" s="69">
        <f t="shared" si="2"/>
        <v>200000</v>
      </c>
      <c r="E39" s="69">
        <f t="shared" si="2"/>
        <v>1700000</v>
      </c>
      <c r="F39" s="69">
        <f t="shared" si="2"/>
        <v>950000</v>
      </c>
      <c r="G39" s="69">
        <f t="shared" si="2"/>
        <v>0</v>
      </c>
      <c r="H39" s="69">
        <f t="shared" si="2"/>
        <v>0</v>
      </c>
      <c r="I39" s="69">
        <f t="shared" si="2"/>
        <v>0</v>
      </c>
      <c r="J39" s="69">
        <f t="shared" si="2"/>
        <v>0</v>
      </c>
      <c r="K39" s="69">
        <f t="shared" si="2"/>
        <v>0</v>
      </c>
      <c r="L39" s="69">
        <f t="shared" si="2"/>
        <v>0</v>
      </c>
      <c r="M39" s="69">
        <f t="shared" si="2"/>
        <v>0</v>
      </c>
      <c r="N39" s="114">
        <f>SUM(B39:J39)</f>
        <v>4408300</v>
      </c>
    </row>
    <row r="40" spans="1:14" x14ac:dyDescent="0.2">
      <c r="A40" s="79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8"/>
    </row>
    <row r="41" spans="1:14" x14ac:dyDescent="0.2">
      <c r="A41" s="116" t="s">
        <v>105</v>
      </c>
      <c r="B41" s="83">
        <v>0</v>
      </c>
      <c r="C41" s="83">
        <f>+'[6]FEBRERO 2016'!B42</f>
        <v>1158300</v>
      </c>
      <c r="D41" s="83"/>
      <c r="E41" s="83">
        <f>+'[8]CUADRE DE GAST CANTERA Y OFIC'!G96</f>
        <v>1500000</v>
      </c>
      <c r="F41" s="83">
        <v>750000</v>
      </c>
      <c r="G41" s="83"/>
      <c r="H41" s="83"/>
      <c r="I41" s="83"/>
      <c r="J41" s="83"/>
      <c r="K41" s="83"/>
      <c r="L41" s="83"/>
      <c r="M41" s="83"/>
      <c r="N41" s="68"/>
    </row>
    <row r="42" spans="1:14" x14ac:dyDescent="0.2">
      <c r="A42" s="116" t="s">
        <v>106</v>
      </c>
      <c r="B42" s="83">
        <v>0</v>
      </c>
      <c r="C42" s="83">
        <v>0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68"/>
    </row>
    <row r="43" spans="1:14" x14ac:dyDescent="0.2">
      <c r="A43" s="116" t="s">
        <v>107</v>
      </c>
      <c r="B43" s="83">
        <v>0</v>
      </c>
      <c r="C43" s="83">
        <v>0</v>
      </c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68"/>
    </row>
    <row r="44" spans="1:14" x14ac:dyDescent="0.2">
      <c r="A44" s="116" t="s">
        <v>156</v>
      </c>
      <c r="B44" s="83">
        <v>0</v>
      </c>
      <c r="C44" s="83">
        <v>0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68"/>
    </row>
    <row r="45" spans="1:14" x14ac:dyDescent="0.2">
      <c r="A45" s="116" t="s">
        <v>157</v>
      </c>
      <c r="B45" s="83">
        <v>0</v>
      </c>
      <c r="C45" s="83">
        <v>0</v>
      </c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68"/>
    </row>
    <row r="46" spans="1:14" x14ac:dyDescent="0.2">
      <c r="A46" s="116" t="s">
        <v>104</v>
      </c>
      <c r="B46" s="83">
        <v>200000</v>
      </c>
      <c r="C46" s="83">
        <v>200000</v>
      </c>
      <c r="D46" s="83">
        <v>200000</v>
      </c>
      <c r="E46" s="83">
        <v>200000</v>
      </c>
      <c r="F46" s="83">
        <v>200000</v>
      </c>
      <c r="G46" s="83"/>
      <c r="H46" s="83"/>
      <c r="I46" s="83"/>
      <c r="J46" s="83"/>
      <c r="K46" s="83"/>
      <c r="L46" s="83"/>
      <c r="M46" s="83"/>
      <c r="N46" s="68"/>
    </row>
    <row r="47" spans="1:14" x14ac:dyDescent="0.2">
      <c r="A47" s="79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8"/>
    </row>
    <row r="48" spans="1:14" s="12" customFormat="1" x14ac:dyDescent="0.2">
      <c r="A48" s="62" t="s">
        <v>110</v>
      </c>
      <c r="B48" s="69">
        <f>SUM(B50:B57)</f>
        <v>4210184</v>
      </c>
      <c r="C48" s="69">
        <f t="shared" ref="C48:M48" si="3">SUM(C50:C57)</f>
        <v>2893269</v>
      </c>
      <c r="D48" s="69">
        <f t="shared" si="3"/>
        <v>3007972</v>
      </c>
      <c r="E48" s="69">
        <f t="shared" si="3"/>
        <v>3171655</v>
      </c>
      <c r="F48" s="69">
        <f t="shared" si="3"/>
        <v>783889</v>
      </c>
      <c r="G48" s="69">
        <f t="shared" si="3"/>
        <v>0</v>
      </c>
      <c r="H48" s="69">
        <f t="shared" si="3"/>
        <v>0</v>
      </c>
      <c r="I48" s="69">
        <f t="shared" si="3"/>
        <v>0</v>
      </c>
      <c r="J48" s="69">
        <f t="shared" si="3"/>
        <v>0</v>
      </c>
      <c r="K48" s="69">
        <f t="shared" si="3"/>
        <v>0</v>
      </c>
      <c r="L48" s="69">
        <f t="shared" si="3"/>
        <v>0</v>
      </c>
      <c r="M48" s="69">
        <f t="shared" si="3"/>
        <v>0</v>
      </c>
      <c r="N48" s="114">
        <f>SUM(B48:J48)</f>
        <v>14066969</v>
      </c>
    </row>
    <row r="49" spans="1:14" x14ac:dyDescent="0.2">
      <c r="A49" s="79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8"/>
    </row>
    <row r="50" spans="1:14" x14ac:dyDescent="0.2">
      <c r="A50" s="116" t="s">
        <v>111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68"/>
    </row>
    <row r="51" spans="1:14" x14ac:dyDescent="0.2">
      <c r="A51" s="116" t="s">
        <v>112</v>
      </c>
      <c r="B51" s="83">
        <f>+'[5]ENERO 2016'!B48</f>
        <v>2074750</v>
      </c>
      <c r="C51" s="83">
        <f>+'[6]FEBRERO 2016'!B52</f>
        <v>2195000</v>
      </c>
      <c r="D51" s="83">
        <f>+'[7]MARZO 2016'!B52</f>
        <v>2195375</v>
      </c>
      <c r="E51" s="83">
        <f>+'[8]ABRIL 2016'!B51</f>
        <v>2190000</v>
      </c>
      <c r="F51" s="83"/>
      <c r="G51" s="83"/>
      <c r="H51" s="83"/>
      <c r="I51" s="83"/>
      <c r="J51" s="83"/>
      <c r="K51" s="83"/>
      <c r="L51" s="83"/>
      <c r="M51" s="83"/>
      <c r="N51" s="68"/>
    </row>
    <row r="52" spans="1:14" x14ac:dyDescent="0.2">
      <c r="A52" s="116" t="s">
        <v>113</v>
      </c>
      <c r="B52" s="83">
        <f>+'[5]ENERO 2016'!B49</f>
        <v>562220</v>
      </c>
      <c r="C52" s="83">
        <v>0</v>
      </c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68"/>
    </row>
    <row r="53" spans="1:14" x14ac:dyDescent="0.2">
      <c r="A53" s="116" t="s">
        <v>114</v>
      </c>
      <c r="B53" s="83">
        <f>+'[5]ENERO 2016'!B50</f>
        <v>114214</v>
      </c>
      <c r="C53" s="83">
        <v>0</v>
      </c>
      <c r="D53" s="83">
        <v>114328</v>
      </c>
      <c r="E53" s="83"/>
      <c r="F53" s="83"/>
      <c r="G53" s="83"/>
      <c r="H53" s="83"/>
      <c r="I53" s="83"/>
      <c r="J53" s="83"/>
      <c r="K53" s="83"/>
      <c r="L53" s="83"/>
      <c r="M53" s="83"/>
      <c r="N53" s="68"/>
    </row>
    <row r="54" spans="1:14" x14ac:dyDescent="0.2">
      <c r="A54" s="116" t="s">
        <v>134</v>
      </c>
      <c r="B54" s="83"/>
      <c r="C54" s="83"/>
      <c r="D54" s="83"/>
      <c r="E54" s="83">
        <v>120000</v>
      </c>
      <c r="F54" s="83">
        <v>120000</v>
      </c>
      <c r="G54" s="83"/>
      <c r="H54" s="83"/>
      <c r="I54" s="83"/>
      <c r="J54" s="83"/>
      <c r="K54" s="83"/>
      <c r="L54" s="83"/>
      <c r="M54" s="83"/>
      <c r="N54" s="68"/>
    </row>
    <row r="55" spans="1:14" x14ac:dyDescent="0.2">
      <c r="A55" s="116" t="s">
        <v>135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68"/>
    </row>
    <row r="56" spans="1:14" x14ac:dyDescent="0.2">
      <c r="A56" s="116" t="s">
        <v>115</v>
      </c>
      <c r="B56" s="83">
        <f>+'[5]ENERO 2016'!B53</f>
        <v>729500</v>
      </c>
      <c r="C56" s="83">
        <f>+'[6]FEBRERO 2016'!B57</f>
        <v>698269</v>
      </c>
      <c r="D56" s="83">
        <f>+'[7]MARZO 2016'!B56</f>
        <v>698269</v>
      </c>
      <c r="E56" s="83">
        <f>+'[8]ABRIL 2016'!B56</f>
        <v>861655</v>
      </c>
      <c r="F56" s="83">
        <f>+'JUNIO 2016'!B57</f>
        <v>663889</v>
      </c>
      <c r="G56" s="83"/>
      <c r="H56" s="83"/>
      <c r="I56" s="83"/>
      <c r="J56" s="83"/>
      <c r="K56" s="83"/>
      <c r="L56" s="83"/>
      <c r="M56" s="83"/>
      <c r="N56" s="68"/>
    </row>
    <row r="57" spans="1:14" x14ac:dyDescent="0.2">
      <c r="A57" s="116" t="s">
        <v>116</v>
      </c>
      <c r="B57" s="83">
        <f>+'[5]ENERO 2016'!B53</f>
        <v>729500</v>
      </c>
      <c r="C57" s="83">
        <v>0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68"/>
    </row>
    <row r="58" spans="1:14" x14ac:dyDescent="0.2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8"/>
    </row>
    <row r="59" spans="1:14" x14ac:dyDescent="0.2">
      <c r="A59" s="62" t="s">
        <v>117</v>
      </c>
      <c r="B59" s="69">
        <v>27884438</v>
      </c>
      <c r="C59" s="69">
        <f>+'[6]FEBRERO 2016'!C47</f>
        <v>28487367</v>
      </c>
      <c r="D59" s="70">
        <f>+'[7]MARZO 2016'!C46</f>
        <v>27184701</v>
      </c>
      <c r="E59" s="70">
        <f>+'[8]ABRIL 2016'!C46</f>
        <v>30756610</v>
      </c>
      <c r="F59" s="70">
        <f>+MAQUINARIA!C17</f>
        <v>20428599</v>
      </c>
      <c r="G59" s="70"/>
      <c r="H59" s="70"/>
      <c r="I59" s="70"/>
      <c r="J59" s="70"/>
      <c r="K59" s="70"/>
      <c r="L59" s="70"/>
      <c r="M59" s="70"/>
      <c r="N59" s="114">
        <f>SUM(B59:M59)</f>
        <v>134741715</v>
      </c>
    </row>
    <row r="60" spans="1:14" x14ac:dyDescent="0.2">
      <c r="A60" s="65"/>
      <c r="B60" s="66"/>
      <c r="C60" s="66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8"/>
    </row>
    <row r="61" spans="1:14" x14ac:dyDescent="0.2">
      <c r="A61" s="62" t="s">
        <v>118</v>
      </c>
      <c r="B61" s="69">
        <v>20521130</v>
      </c>
      <c r="C61" s="69">
        <f>+'[6]FEBRERO 2016'!C44</f>
        <v>21966340.576000001</v>
      </c>
      <c r="D61" s="70">
        <f>+'[7]MARZO 2016'!C43</f>
        <v>26588624</v>
      </c>
      <c r="E61" s="70">
        <f>+[8]TERRAJE!D9</f>
        <v>44371284</v>
      </c>
      <c r="F61" s="70">
        <f>+TERRAJE!D9</f>
        <v>32898356</v>
      </c>
      <c r="G61" s="70"/>
      <c r="H61" s="70"/>
      <c r="I61" s="70"/>
      <c r="J61" s="70"/>
      <c r="K61" s="70"/>
      <c r="L61" s="70"/>
      <c r="M61" s="70"/>
      <c r="N61" s="114">
        <f>SUM(B61:M61)</f>
        <v>146345734.57600001</v>
      </c>
    </row>
    <row r="62" spans="1:14" x14ac:dyDescent="0.2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8"/>
    </row>
    <row r="63" spans="1:14" x14ac:dyDescent="0.2">
      <c r="A63" s="62" t="s">
        <v>119</v>
      </c>
      <c r="B63" s="69">
        <v>3207619</v>
      </c>
      <c r="C63" s="69">
        <f>+'[6]FEBRERO 2016'!C17</f>
        <v>8928948.5522222221</v>
      </c>
      <c r="D63" s="70">
        <f>+'[7]MARZO 2016'!C17</f>
        <v>8928948.5522222221</v>
      </c>
      <c r="E63" s="70">
        <f>+'[8]ABRIL 2016'!C17</f>
        <v>2044448.5522222223</v>
      </c>
      <c r="F63" s="70">
        <f>+'JUNIO 2016'!C17</f>
        <v>1031865.2222222222</v>
      </c>
      <c r="G63" s="70"/>
      <c r="H63" s="70"/>
      <c r="I63" s="70"/>
      <c r="J63" s="70"/>
      <c r="K63" s="70"/>
      <c r="L63" s="70"/>
      <c r="M63" s="70"/>
      <c r="N63" s="64">
        <f>SUM(B63:M63)</f>
        <v>24141829.87888889</v>
      </c>
    </row>
    <row r="64" spans="1:14" x14ac:dyDescent="0.2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8"/>
    </row>
    <row r="65" spans="1:14" x14ac:dyDescent="0.2">
      <c r="A65" s="62" t="s">
        <v>120</v>
      </c>
      <c r="B65" s="69">
        <f>+'[5]ENERO 2016'!D55</f>
        <v>138061467.51057637</v>
      </c>
      <c r="C65" s="69">
        <f>+'[6]FEBRERO 2016'!D58</f>
        <v>-34681619.262388885</v>
      </c>
      <c r="D65" s="70">
        <f>+'[7]MARZO 2016'!D58</f>
        <v>-6063634.4122222066</v>
      </c>
      <c r="E65" s="70">
        <f>+'[8]ABRIL 2016'!D59</f>
        <v>58278230.096173614</v>
      </c>
      <c r="F65" s="70">
        <f>+'JUNIO 2016'!D60</f>
        <v>-122205808.86222222</v>
      </c>
      <c r="G65" s="70"/>
      <c r="H65" s="70"/>
      <c r="I65" s="70"/>
      <c r="J65" s="70"/>
      <c r="K65" s="70"/>
      <c r="L65" s="70"/>
      <c r="M65" s="70"/>
      <c r="N65" s="114">
        <f>SUM(B65:M65)</f>
        <v>33388635.069916666</v>
      </c>
    </row>
    <row r="66" spans="1:14" x14ac:dyDescent="0.2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8"/>
    </row>
    <row r="67" spans="1:14" s="12" customFormat="1" x14ac:dyDescent="0.2">
      <c r="A67" s="62" t="s">
        <v>121</v>
      </c>
      <c r="B67" s="69">
        <f>+'[5]ENERO 2016'!D57</f>
        <v>13806146.751057638</v>
      </c>
      <c r="C67" s="69">
        <f>+'[6]FEBRERO 2016'!D60</f>
        <v>-3468161.9262388889</v>
      </c>
      <c r="D67" s="70">
        <f>+'[7]MARZO 2016'!D60</f>
        <v>-606363.44122222066</v>
      </c>
      <c r="E67" s="70">
        <f>+'[8]ABRIL 2016'!D61</f>
        <v>5827823.0096173622</v>
      </c>
      <c r="F67" s="70">
        <f>+'JUNIO 2016'!D62</f>
        <v>-12220580.886222223</v>
      </c>
      <c r="G67" s="70"/>
      <c r="H67" s="70"/>
      <c r="I67" s="70"/>
      <c r="J67" s="70"/>
      <c r="K67" s="70"/>
      <c r="L67" s="70"/>
      <c r="M67" s="70"/>
      <c r="N67" s="114">
        <f>SUM(B67:M67)</f>
        <v>3338863.5069916677</v>
      </c>
    </row>
    <row r="68" spans="1:14" x14ac:dyDescent="0.2">
      <c r="A68" s="71"/>
      <c r="B68" s="72"/>
      <c r="C68" s="72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8"/>
    </row>
    <row r="69" spans="1:14" s="12" customFormat="1" ht="13.5" thickBot="1" x14ac:dyDescent="0.25">
      <c r="A69" s="73" t="s">
        <v>122</v>
      </c>
      <c r="B69" s="74">
        <f>+'[5]ENERO 2016'!B34</f>
        <v>5591484</v>
      </c>
      <c r="C69" s="74">
        <f>+'[6]comision gerente'!E8</f>
        <v>975870</v>
      </c>
      <c r="D69" s="75">
        <f>+'[7]comision gerente'!E8</f>
        <v>1394364</v>
      </c>
      <c r="E69" s="75">
        <f>+'[8]ABRIL 2016'!B35</f>
        <v>2002200</v>
      </c>
      <c r="F69" s="75">
        <f>+'comision gerente'!E8</f>
        <v>0</v>
      </c>
      <c r="G69" s="75"/>
      <c r="H69" s="75"/>
      <c r="I69" s="75"/>
      <c r="J69" s="75"/>
      <c r="K69" s="75"/>
      <c r="L69" s="75"/>
      <c r="M69" s="75"/>
      <c r="N69" s="115">
        <f>SUM(B69:M69)</f>
        <v>9963918</v>
      </c>
    </row>
    <row r="70" spans="1:14" ht="13.5" thickBot="1" x14ac:dyDescent="0.25"/>
    <row r="71" spans="1:14" ht="13.5" thickBot="1" x14ac:dyDescent="0.25">
      <c r="G71" s="94"/>
      <c r="H71" s="94"/>
      <c r="I71" s="94"/>
      <c r="J71" s="94"/>
      <c r="K71" s="94"/>
      <c r="L71" s="94"/>
      <c r="M71" s="94"/>
      <c r="N71" s="165">
        <f>SUM(N28:N69)</f>
        <v>440367291.8478806</v>
      </c>
    </row>
    <row r="75" spans="1:14" x14ac:dyDescent="0.2">
      <c r="G75" s="99"/>
      <c r="H75" s="99"/>
      <c r="I75" s="99"/>
      <c r="J75" s="99"/>
      <c r="K75" s="99"/>
      <c r="L75" s="99"/>
      <c r="M75" s="99"/>
    </row>
    <row r="76" spans="1:14" x14ac:dyDescent="0.2">
      <c r="G76" s="96"/>
      <c r="H76" s="96"/>
      <c r="I76" s="96"/>
      <c r="J76" s="96"/>
      <c r="K76" s="96"/>
      <c r="L76" s="96"/>
      <c r="M76" s="96"/>
    </row>
  </sheetData>
  <sortState ref="A37:A40">
    <sortCondition ref="A37"/>
  </sortState>
  <pageMargins left="0.70866141732283472" right="0.70866141732283472" top="0.31496062992125984" bottom="0.19685039370078741" header="0.31496062992125984" footer="0.19685039370078741"/>
  <pageSetup scale="8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zoomScaleNormal="100" workbookViewId="0">
      <selection activeCell="F26" sqref="E26:F26"/>
    </sheetView>
  </sheetViews>
  <sheetFormatPr baseColWidth="10" defaultColWidth="14" defaultRowHeight="15" x14ac:dyDescent="0.2"/>
  <cols>
    <col min="1" max="1" width="34.44140625" style="14" customWidth="1"/>
    <col min="2" max="2" width="16.6640625" style="14" customWidth="1"/>
    <col min="3" max="3" width="14.21875" style="48" customWidth="1"/>
    <col min="4" max="4" width="30.21875" style="14" customWidth="1"/>
    <col min="5" max="5" width="14.88671875" style="14" bestFit="1" customWidth="1"/>
    <col min="6" max="16384" width="14" style="14"/>
  </cols>
  <sheetData>
    <row r="1" spans="1:7" ht="15.75" x14ac:dyDescent="0.25">
      <c r="A1" s="567" t="s">
        <v>66</v>
      </c>
      <c r="B1" s="568"/>
      <c r="C1" s="568"/>
      <c r="D1" s="569"/>
      <c r="E1" s="13"/>
      <c r="F1" s="13"/>
      <c r="G1" s="13"/>
    </row>
    <row r="2" spans="1:7" s="16" customFormat="1" ht="15.75" x14ac:dyDescent="0.25">
      <c r="A2" s="564" t="s">
        <v>6</v>
      </c>
      <c r="B2" s="565"/>
      <c r="C2" s="565"/>
      <c r="D2" s="566"/>
      <c r="E2" s="15"/>
      <c r="F2" s="15"/>
      <c r="G2" s="15"/>
    </row>
    <row r="3" spans="1:7" s="16" customFormat="1" ht="15.75" x14ac:dyDescent="0.25">
      <c r="A3" s="561" t="s">
        <v>635</v>
      </c>
      <c r="B3" s="562"/>
      <c r="C3" s="562"/>
      <c r="D3" s="563"/>
      <c r="E3" s="13"/>
      <c r="F3" s="13"/>
      <c r="G3" s="13"/>
    </row>
    <row r="4" spans="1:7" ht="15.75" thickBot="1" x14ac:dyDescent="0.25">
      <c r="A4" s="17"/>
      <c r="B4" s="18"/>
      <c r="C4" s="46"/>
      <c r="D4" s="19"/>
    </row>
    <row r="5" spans="1:7" ht="16.5" thickBot="1" x14ac:dyDescent="0.3">
      <c r="A5" s="20" t="s">
        <v>48</v>
      </c>
      <c r="B5" s="18"/>
      <c r="C5" s="44"/>
      <c r="D5" s="21">
        <f>SUM(C7:C9)</f>
        <v>0</v>
      </c>
      <c r="E5" s="16"/>
      <c r="F5" s="16"/>
      <c r="G5" s="16"/>
    </row>
    <row r="6" spans="1:7" ht="15.75" x14ac:dyDescent="0.25">
      <c r="A6" s="39"/>
      <c r="B6" s="61"/>
      <c r="C6" s="44"/>
      <c r="D6" s="40"/>
      <c r="E6" s="16"/>
      <c r="F6" s="16"/>
      <c r="G6" s="16"/>
    </row>
    <row r="7" spans="1:7" ht="15.75" x14ac:dyDescent="0.25">
      <c r="A7" s="17" t="s">
        <v>49</v>
      </c>
      <c r="B7" s="18"/>
      <c r="C7" s="45">
        <f>VENTAS!D36</f>
        <v>0</v>
      </c>
      <c r="D7" s="19"/>
    </row>
    <row r="8" spans="1:7" ht="15.75" x14ac:dyDescent="0.25">
      <c r="A8" s="17" t="s">
        <v>85</v>
      </c>
      <c r="B8" s="18"/>
      <c r="C8" s="45">
        <f>+VENTAS!G33</f>
        <v>0</v>
      </c>
      <c r="D8" s="19"/>
    </row>
    <row r="9" spans="1:7" ht="15.75" x14ac:dyDescent="0.25">
      <c r="A9" s="17" t="s">
        <v>137</v>
      </c>
      <c r="B9" s="18"/>
      <c r="C9" s="45">
        <f>+VENTAS!E42</f>
        <v>0</v>
      </c>
      <c r="D9" s="19"/>
    </row>
    <row r="10" spans="1:7" ht="15.75" thickBot="1" x14ac:dyDescent="0.25">
      <c r="A10" s="17"/>
      <c r="B10" s="18"/>
      <c r="C10" s="46"/>
      <c r="D10" s="19"/>
    </row>
    <row r="11" spans="1:7" ht="16.5" thickBot="1" x14ac:dyDescent="0.3">
      <c r="A11" s="20" t="s">
        <v>32</v>
      </c>
      <c r="B11" s="18"/>
      <c r="C11" s="46"/>
      <c r="D11" s="21">
        <f>+C13+C17+C20+C33+C40+C44+C47+C50+C31</f>
        <v>122205808.86222222</v>
      </c>
      <c r="F11" s="85"/>
    </row>
    <row r="12" spans="1:7" ht="15.75" x14ac:dyDescent="0.25">
      <c r="A12" s="39"/>
      <c r="B12" s="61"/>
      <c r="C12" s="46"/>
      <c r="D12" s="40"/>
    </row>
    <row r="13" spans="1:7" ht="15.75" x14ac:dyDescent="0.25">
      <c r="A13" s="41" t="s">
        <v>123</v>
      </c>
      <c r="B13" s="18"/>
      <c r="C13" s="45">
        <f>SUM(B14:B16)</f>
        <v>37424790</v>
      </c>
      <c r="D13" s="19"/>
    </row>
    <row r="14" spans="1:7" ht="15.75" x14ac:dyDescent="0.25">
      <c r="A14" s="17" t="s">
        <v>160</v>
      </c>
      <c r="B14" s="156">
        <f>+'C M'!F150</f>
        <v>4932812</v>
      </c>
      <c r="C14" s="45"/>
      <c r="D14" s="19"/>
    </row>
    <row r="15" spans="1:7" ht="15.75" x14ac:dyDescent="0.25">
      <c r="A15" s="17" t="s">
        <v>629</v>
      </c>
      <c r="B15" s="98">
        <v>18773538</v>
      </c>
      <c r="C15" s="45"/>
      <c r="D15" s="19"/>
    </row>
    <row r="16" spans="1:7" ht="15.75" x14ac:dyDescent="0.25">
      <c r="A16" s="17" t="s">
        <v>630</v>
      </c>
      <c r="B16" s="98">
        <v>13718440</v>
      </c>
      <c r="C16" s="45"/>
      <c r="D16" s="19"/>
    </row>
    <row r="17" spans="1:5" ht="15.75" x14ac:dyDescent="0.25">
      <c r="A17" s="41" t="s">
        <v>124</v>
      </c>
      <c r="B17" s="18"/>
      <c r="C17" s="45">
        <f>+DIFERIDOS!D12</f>
        <v>1031865.2222222222</v>
      </c>
      <c r="D17" s="19"/>
      <c r="E17" s="91"/>
    </row>
    <row r="18" spans="1:5" x14ac:dyDescent="0.2">
      <c r="A18" s="17"/>
      <c r="B18" s="18"/>
      <c r="C18" s="14"/>
      <c r="D18" s="19"/>
      <c r="E18" s="85"/>
    </row>
    <row r="19" spans="1:5" ht="15.75" x14ac:dyDescent="0.25">
      <c r="A19" s="41" t="s">
        <v>125</v>
      </c>
      <c r="B19" s="42"/>
      <c r="C19" s="46"/>
      <c r="D19" s="19"/>
    </row>
    <row r="20" spans="1:5" ht="15.75" x14ac:dyDescent="0.25">
      <c r="A20" s="17" t="s">
        <v>78</v>
      </c>
      <c r="B20" s="98">
        <v>16066</v>
      </c>
      <c r="C20" s="45">
        <f>SUM(B20:B29)</f>
        <v>9315848.5999999996</v>
      </c>
      <c r="D20" s="19"/>
    </row>
    <row r="21" spans="1:5" ht="15.75" x14ac:dyDescent="0.25">
      <c r="A21" s="17" t="s">
        <v>127</v>
      </c>
      <c r="B21" s="98">
        <f>+'LIBRO DE BANCO cta cte'!G21</f>
        <v>700922</v>
      </c>
      <c r="C21" s="45"/>
      <c r="D21" s="19"/>
      <c r="E21" s="85"/>
    </row>
    <row r="22" spans="1:5" ht="15.75" x14ac:dyDescent="0.25">
      <c r="A22" s="17" t="s">
        <v>74</v>
      </c>
      <c r="B22" s="98">
        <f>+'LIBRO DE BANCO cta cte'!G22</f>
        <v>1057643</v>
      </c>
      <c r="C22" s="45"/>
      <c r="D22" s="19"/>
    </row>
    <row r="23" spans="1:5" ht="15.75" x14ac:dyDescent="0.25">
      <c r="A23" s="17" t="s">
        <v>164</v>
      </c>
      <c r="B23" s="98">
        <f>+'LIBRO DE BANCO cta cte'!G44</f>
        <v>502713</v>
      </c>
      <c r="C23" s="45"/>
      <c r="D23" s="19"/>
    </row>
    <row r="24" spans="1:5" ht="15.75" x14ac:dyDescent="0.25">
      <c r="A24" s="17" t="s">
        <v>208</v>
      </c>
      <c r="B24" s="98">
        <v>0</v>
      </c>
      <c r="C24" s="45"/>
      <c r="D24" s="19"/>
    </row>
    <row r="25" spans="1:5" ht="15.75" x14ac:dyDescent="0.25">
      <c r="A25" s="17" t="s">
        <v>624</v>
      </c>
      <c r="B25" s="98">
        <f>+'LIBRO DE BANCO cta cte'!G113</f>
        <v>1626853</v>
      </c>
      <c r="C25" s="45"/>
      <c r="D25" s="19"/>
    </row>
    <row r="26" spans="1:5" ht="15.75" x14ac:dyDescent="0.25">
      <c r="A26" s="17" t="s">
        <v>148</v>
      </c>
      <c r="B26" s="98">
        <v>94194.6</v>
      </c>
      <c r="C26" s="45"/>
      <c r="D26" s="19"/>
    </row>
    <row r="27" spans="1:5" ht="15.75" x14ac:dyDescent="0.25">
      <c r="A27" s="17" t="s">
        <v>75</v>
      </c>
      <c r="B27" s="98">
        <f>+'LIBRO DE BANCO cta cte'!G105</f>
        <v>1609769</v>
      </c>
      <c r="C27" s="45"/>
      <c r="D27" s="19"/>
    </row>
    <row r="28" spans="1:5" ht="15.75" x14ac:dyDescent="0.25">
      <c r="A28" s="17" t="s">
        <v>83</v>
      </c>
      <c r="B28" s="98">
        <v>1430373</v>
      </c>
      <c r="C28" s="45"/>
      <c r="D28" s="19"/>
    </row>
    <row r="29" spans="1:5" ht="15.75" x14ac:dyDescent="0.25">
      <c r="A29" s="102" t="s">
        <v>150</v>
      </c>
      <c r="B29" s="98">
        <f>+'LIBRO DE BANCO cta cte'!G24</f>
        <v>2277315</v>
      </c>
      <c r="C29" s="45"/>
      <c r="D29" s="19"/>
    </row>
    <row r="30" spans="1:5" ht="15.75" x14ac:dyDescent="0.25">
      <c r="A30" s="102"/>
      <c r="B30" s="98"/>
      <c r="C30" s="45"/>
      <c r="D30" s="19"/>
    </row>
    <row r="31" spans="1:5" ht="15.75" x14ac:dyDescent="0.25">
      <c r="A31" s="41" t="s">
        <v>204</v>
      </c>
      <c r="C31" s="118">
        <v>5372029</v>
      </c>
      <c r="D31" s="19"/>
    </row>
    <row r="32" spans="1:5" ht="15.75" x14ac:dyDescent="0.25">
      <c r="A32" s="17"/>
      <c r="B32" s="22"/>
      <c r="C32" s="45"/>
      <c r="D32" s="19"/>
    </row>
    <row r="33" spans="1:4" ht="15.75" x14ac:dyDescent="0.25">
      <c r="A33" s="41" t="s">
        <v>199</v>
      </c>
      <c r="B33" s="42"/>
      <c r="C33" s="45">
        <f>SUM(B34:B38)</f>
        <v>13748209.039999999</v>
      </c>
      <c r="D33" s="19"/>
    </row>
    <row r="34" spans="1:4" ht="15.75" x14ac:dyDescent="0.25">
      <c r="A34" s="17" t="s">
        <v>82</v>
      </c>
      <c r="B34" s="98">
        <f>+NOMINA!H15</f>
        <v>10722963.039999999</v>
      </c>
      <c r="C34" s="45"/>
      <c r="D34" s="19"/>
    </row>
    <row r="35" spans="1:4" ht="15.75" x14ac:dyDescent="0.25">
      <c r="A35" s="17" t="s">
        <v>84</v>
      </c>
      <c r="B35" s="98">
        <f>+'LIBRO DE BANCO cta cte'!G58</f>
        <v>3025246</v>
      </c>
      <c r="C35" s="45"/>
      <c r="D35" s="19"/>
    </row>
    <row r="36" spans="1:4" ht="15.75" x14ac:dyDescent="0.25">
      <c r="A36" s="17" t="s">
        <v>149</v>
      </c>
      <c r="B36" s="98">
        <f>+'comision gerente'!E8</f>
        <v>0</v>
      </c>
      <c r="C36" s="45"/>
      <c r="D36" s="19"/>
    </row>
    <row r="37" spans="1:4" ht="15.75" x14ac:dyDescent="0.25">
      <c r="A37" s="17" t="s">
        <v>206</v>
      </c>
      <c r="B37" s="98">
        <v>0</v>
      </c>
      <c r="C37" s="45"/>
      <c r="D37" s="19"/>
    </row>
    <row r="38" spans="1:4" ht="15.75" x14ac:dyDescent="0.25">
      <c r="A38" s="17" t="s">
        <v>207</v>
      </c>
      <c r="B38" s="98">
        <v>0</v>
      </c>
      <c r="C38" s="45"/>
      <c r="D38" s="19"/>
    </row>
    <row r="39" spans="1:4" x14ac:dyDescent="0.2">
      <c r="A39" s="17"/>
      <c r="B39" s="98"/>
      <c r="D39" s="19"/>
    </row>
    <row r="40" spans="1:4" ht="15.75" x14ac:dyDescent="0.25">
      <c r="A40" s="41" t="s">
        <v>200</v>
      </c>
      <c r="B40" s="98"/>
      <c r="C40" s="45">
        <f>SUM(B41:B43)</f>
        <v>900000</v>
      </c>
      <c r="D40" s="19"/>
    </row>
    <row r="41" spans="1:4" ht="15.75" x14ac:dyDescent="0.25">
      <c r="A41" s="17" t="s">
        <v>77</v>
      </c>
      <c r="B41" s="98">
        <f>+NOMINA!H22</f>
        <v>750000</v>
      </c>
      <c r="C41" s="45"/>
      <c r="D41" s="19"/>
    </row>
    <row r="42" spans="1:4" ht="15.75" x14ac:dyDescent="0.25">
      <c r="A42" s="17" t="s">
        <v>154</v>
      </c>
      <c r="B42" s="98">
        <v>0</v>
      </c>
      <c r="C42" s="45"/>
      <c r="D42" s="19"/>
    </row>
    <row r="43" spans="1:4" ht="15.75" x14ac:dyDescent="0.25">
      <c r="A43" s="17" t="s">
        <v>227</v>
      </c>
      <c r="B43" s="98">
        <f>+'CUADRE DE GAST CANTERA Y OFIC'!H53+'CUADRE DE GAST CANTERA Y OFIC'!H114</f>
        <v>150000</v>
      </c>
      <c r="C43" s="45"/>
      <c r="D43" s="19"/>
    </row>
    <row r="44" spans="1:4" ht="15.75" x14ac:dyDescent="0.25">
      <c r="A44" s="17"/>
      <c r="B44" s="18"/>
      <c r="C44" s="45">
        <f>+TERRAJE!D9</f>
        <v>32898356</v>
      </c>
      <c r="D44" s="19"/>
    </row>
    <row r="45" spans="1:4" ht="15.75" x14ac:dyDescent="0.25">
      <c r="A45" s="41" t="s">
        <v>201</v>
      </c>
      <c r="B45" s="18"/>
      <c r="D45" s="19"/>
    </row>
    <row r="46" spans="1:4" ht="15.75" x14ac:dyDescent="0.25">
      <c r="A46" s="17"/>
      <c r="B46" s="18"/>
      <c r="C46" s="45"/>
      <c r="D46" s="19"/>
    </row>
    <row r="47" spans="1:4" ht="15.75" x14ac:dyDescent="0.25">
      <c r="A47" s="41" t="s">
        <v>202</v>
      </c>
      <c r="B47" s="18"/>
      <c r="C47" s="45">
        <f>+B48+B49</f>
        <v>20850822</v>
      </c>
      <c r="D47" s="19"/>
    </row>
    <row r="48" spans="1:4" x14ac:dyDescent="0.2">
      <c r="A48" s="17" t="s">
        <v>228</v>
      </c>
      <c r="B48" s="98">
        <f>+MAQUINARIA!C17</f>
        <v>20428599</v>
      </c>
      <c r="C48" s="46"/>
      <c r="D48" s="19"/>
    </row>
    <row r="49" spans="1:8" x14ac:dyDescent="0.2">
      <c r="A49" s="17" t="s">
        <v>76</v>
      </c>
      <c r="B49" s="98">
        <v>422223</v>
      </c>
      <c r="C49" s="46"/>
      <c r="D49" s="19"/>
      <c r="G49" s="23"/>
    </row>
    <row r="50" spans="1:8" ht="15.75" x14ac:dyDescent="0.25">
      <c r="A50" s="41" t="s">
        <v>203</v>
      </c>
      <c r="B50" s="118"/>
      <c r="C50" s="45">
        <f>SUM(B51:B57)</f>
        <v>663889</v>
      </c>
      <c r="D50" s="19"/>
      <c r="G50" s="23"/>
    </row>
    <row r="51" spans="1:8" x14ac:dyDescent="0.2">
      <c r="A51" s="17" t="s">
        <v>71</v>
      </c>
      <c r="B51" s="98">
        <v>0</v>
      </c>
      <c r="C51" s="46"/>
      <c r="D51" s="19"/>
    </row>
    <row r="52" spans="1:8" x14ac:dyDescent="0.2">
      <c r="A52" s="17" t="s">
        <v>79</v>
      </c>
      <c r="B52" s="98">
        <v>0</v>
      </c>
      <c r="C52" s="46"/>
      <c r="D52" s="19"/>
      <c r="E52" s="91"/>
    </row>
    <row r="53" spans="1:8" x14ac:dyDescent="0.2">
      <c r="A53" s="17" t="s">
        <v>81</v>
      </c>
      <c r="B53" s="156">
        <v>0</v>
      </c>
      <c r="C53" s="46"/>
      <c r="D53" s="19"/>
      <c r="E53" s="91"/>
    </row>
    <row r="54" spans="1:8" x14ac:dyDescent="0.2">
      <c r="A54" s="17" t="s">
        <v>72</v>
      </c>
      <c r="B54" s="98">
        <v>0</v>
      </c>
      <c r="C54" s="46"/>
      <c r="D54" s="19"/>
    </row>
    <row r="55" spans="1:8" x14ac:dyDescent="0.2">
      <c r="A55" s="17" t="s">
        <v>80</v>
      </c>
      <c r="B55" s="98">
        <v>0</v>
      </c>
      <c r="C55" s="46"/>
      <c r="D55" s="19"/>
    </row>
    <row r="56" spans="1:8" x14ac:dyDescent="0.2">
      <c r="A56" s="17" t="s">
        <v>159</v>
      </c>
      <c r="B56" s="98">
        <v>0</v>
      </c>
      <c r="C56" s="46"/>
      <c r="D56" s="19"/>
    </row>
    <row r="57" spans="1:8" x14ac:dyDescent="0.2">
      <c r="A57" s="17" t="s">
        <v>73</v>
      </c>
      <c r="B57" s="98">
        <f>+'CUADRE DE GAST CAJA OFICINA'!G29</f>
        <v>663889</v>
      </c>
      <c r="C57" s="46"/>
      <c r="D57" s="19"/>
    </row>
    <row r="58" spans="1:8" ht="15.75" x14ac:dyDescent="0.25">
      <c r="A58" s="41" t="s">
        <v>297</v>
      </c>
      <c r="B58" s="98"/>
      <c r="C58" s="45">
        <f>3295000+2845560</f>
        <v>6140560</v>
      </c>
      <c r="D58" s="19"/>
    </row>
    <row r="59" spans="1:8" ht="15.75" thickBot="1" x14ac:dyDescent="0.25">
      <c r="A59" s="17"/>
      <c r="B59" s="248"/>
      <c r="C59" s="46"/>
      <c r="D59" s="19"/>
    </row>
    <row r="60" spans="1:8" ht="16.5" thickBot="1" x14ac:dyDescent="0.3">
      <c r="A60" s="20" t="s">
        <v>50</v>
      </c>
      <c r="B60" s="18"/>
      <c r="C60" s="46"/>
      <c r="D60" s="21">
        <f>D5-D11</f>
        <v>-122205808.86222222</v>
      </c>
    </row>
    <row r="61" spans="1:8" ht="16.5" thickBot="1" x14ac:dyDescent="0.3">
      <c r="A61" s="39"/>
      <c r="B61" s="18"/>
      <c r="C61" s="46"/>
      <c r="D61" s="40"/>
    </row>
    <row r="62" spans="1:8" ht="16.5" thickBot="1" x14ac:dyDescent="0.3">
      <c r="A62" s="25" t="s">
        <v>51</v>
      </c>
      <c r="B62" s="26"/>
      <c r="C62" s="47"/>
      <c r="D62" s="21">
        <f>+D60*10%</f>
        <v>-12220580.886222223</v>
      </c>
      <c r="H62" s="24"/>
    </row>
    <row r="63" spans="1:8" x14ac:dyDescent="0.2">
      <c r="B63" s="18"/>
      <c r="F63" s="24"/>
    </row>
    <row r="64" spans="1:8" x14ac:dyDescent="0.2">
      <c r="B64" s="18"/>
    </row>
    <row r="65" spans="1:4" x14ac:dyDescent="0.2">
      <c r="B65" s="117"/>
      <c r="D65" s="157"/>
    </row>
    <row r="66" spans="1:4" x14ac:dyDescent="0.2">
      <c r="A66" s="117"/>
    </row>
    <row r="68" spans="1:4" x14ac:dyDescent="0.2">
      <c r="B68" s="117"/>
    </row>
    <row r="69" spans="1:4" ht="15.75" x14ac:dyDescent="0.25">
      <c r="C69" s="89"/>
    </row>
    <row r="71" spans="1:4" x14ac:dyDescent="0.2">
      <c r="A71" s="117"/>
      <c r="B71" s="117"/>
    </row>
    <row r="72" spans="1:4" ht="15.75" x14ac:dyDescent="0.25">
      <c r="D72" s="158"/>
    </row>
  </sheetData>
  <sortState ref="A51:B58">
    <sortCondition ref="A51"/>
  </sortState>
  <mergeCells count="3">
    <mergeCell ref="A3:D3"/>
    <mergeCell ref="A2:D2"/>
    <mergeCell ref="A1:D1"/>
  </mergeCells>
  <pageMargins left="0.43" right="0.70866141732283472" top="1.299212598425197" bottom="0.74803149606299213" header="0.31496062992125984" footer="0.31496062992125984"/>
  <pageSetup paperSize="9" scale="80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50"/>
  <sheetViews>
    <sheetView tabSelected="1" showWhiteSpace="0" topLeftCell="A22" zoomScaleNormal="100" zoomScalePageLayoutView="80" workbookViewId="0">
      <selection activeCell="J50" sqref="J50"/>
    </sheetView>
  </sheetViews>
  <sheetFormatPr baseColWidth="10" defaultRowHeight="12.75" x14ac:dyDescent="0.2"/>
  <cols>
    <col min="1" max="1" width="11.5546875" style="3"/>
    <col min="2" max="2" width="26.6640625" style="32" bestFit="1" customWidth="1"/>
    <col min="3" max="3" width="15.77734375" style="3" customWidth="1"/>
    <col min="4" max="4" width="18.77734375" style="3" customWidth="1"/>
    <col min="5" max="5" width="17.88671875" style="3" customWidth="1"/>
    <col min="6" max="6" width="14.109375" style="3" customWidth="1"/>
    <col min="7" max="7" width="16.109375" style="3" customWidth="1"/>
    <col min="8" max="8" width="16.88671875" style="3" bestFit="1" customWidth="1"/>
    <col min="9" max="9" width="13.6640625" style="3" bestFit="1" customWidth="1"/>
    <col min="10" max="16384" width="11.5546875" style="3"/>
  </cols>
  <sheetData>
    <row r="2" spans="2:9" ht="13.5" thickBot="1" x14ac:dyDescent="0.25"/>
    <row r="3" spans="2:9" x14ac:dyDescent="0.2">
      <c r="B3" s="572" t="s">
        <v>636</v>
      </c>
      <c r="C3" s="573"/>
      <c r="D3" s="573"/>
      <c r="E3" s="573"/>
      <c r="F3" s="573"/>
      <c r="G3" s="574"/>
    </row>
    <row r="4" spans="2:9" ht="13.5" thickBot="1" x14ac:dyDescent="0.25">
      <c r="B4" s="575"/>
      <c r="C4" s="576"/>
      <c r="D4" s="576"/>
      <c r="E4" s="576"/>
      <c r="F4" s="576"/>
      <c r="G4" s="577"/>
    </row>
    <row r="5" spans="2:9" s="32" customFormat="1" ht="26.25" thickBot="1" x14ac:dyDescent="0.25">
      <c r="B5" s="204" t="s">
        <v>7</v>
      </c>
      <c r="C5" s="205" t="s">
        <v>56</v>
      </c>
      <c r="D5" s="204" t="s">
        <v>53</v>
      </c>
      <c r="E5" s="204" t="s">
        <v>54</v>
      </c>
      <c r="F5" s="204" t="s">
        <v>61</v>
      </c>
      <c r="G5" s="204" t="s">
        <v>1</v>
      </c>
    </row>
    <row r="6" spans="2:9" s="32" customFormat="1" x14ac:dyDescent="0.2">
      <c r="B6" s="203"/>
      <c r="C6" s="489"/>
      <c r="D6" s="28">
        <v>5666</v>
      </c>
      <c r="E6" s="206">
        <f t="shared" ref="E6:E16" si="0">C6*D6</f>
        <v>0</v>
      </c>
      <c r="F6" s="207">
        <f t="shared" ref="F6:F16" si="1">E6*16%</f>
        <v>0</v>
      </c>
      <c r="G6" s="208">
        <f t="shared" ref="G6:G16" si="2">+E6+F6</f>
        <v>0</v>
      </c>
    </row>
    <row r="7" spans="2:9" x14ac:dyDescent="0.2">
      <c r="B7" s="49"/>
      <c r="C7" s="489"/>
      <c r="D7" s="28">
        <v>5600</v>
      </c>
      <c r="E7" s="28">
        <f t="shared" si="0"/>
        <v>0</v>
      </c>
      <c r="F7" s="4">
        <f t="shared" si="1"/>
        <v>0</v>
      </c>
      <c r="G7" s="31">
        <f t="shared" si="2"/>
        <v>0</v>
      </c>
    </row>
    <row r="8" spans="2:9" x14ac:dyDescent="0.2">
      <c r="B8" s="49"/>
      <c r="C8" s="489"/>
      <c r="D8" s="28">
        <v>6000</v>
      </c>
      <c r="E8" s="28">
        <f>C8*D8</f>
        <v>0</v>
      </c>
      <c r="F8" s="4">
        <f>E8*16%</f>
        <v>0</v>
      </c>
      <c r="G8" s="31">
        <f>+E8+F8</f>
        <v>0</v>
      </c>
    </row>
    <row r="9" spans="2:9" x14ac:dyDescent="0.2">
      <c r="B9" s="49"/>
      <c r="C9" s="489"/>
      <c r="D9" s="28">
        <v>5333</v>
      </c>
      <c r="E9" s="28">
        <f t="shared" si="0"/>
        <v>0</v>
      </c>
      <c r="F9" s="4">
        <f t="shared" si="1"/>
        <v>0</v>
      </c>
      <c r="G9" s="31">
        <f t="shared" si="2"/>
        <v>0</v>
      </c>
    </row>
    <row r="10" spans="2:9" x14ac:dyDescent="0.2">
      <c r="B10" s="49"/>
      <c r="C10" s="489"/>
      <c r="D10" s="28">
        <v>4000</v>
      </c>
      <c r="E10" s="28">
        <f>C10*D10</f>
        <v>0</v>
      </c>
      <c r="F10" s="4">
        <f>E10*16%</f>
        <v>0</v>
      </c>
      <c r="G10" s="31">
        <f>+E10+F10</f>
        <v>0</v>
      </c>
      <c r="H10" s="155"/>
    </row>
    <row r="11" spans="2:9" x14ac:dyDescent="0.2">
      <c r="B11" s="49"/>
      <c r="C11" s="489"/>
      <c r="D11" s="28">
        <v>5666</v>
      </c>
      <c r="E11" s="28">
        <f t="shared" si="0"/>
        <v>0</v>
      </c>
      <c r="F11" s="4">
        <f t="shared" si="1"/>
        <v>0</v>
      </c>
      <c r="G11" s="31">
        <f t="shared" si="2"/>
        <v>0</v>
      </c>
    </row>
    <row r="12" spans="2:9" x14ac:dyDescent="0.2">
      <c r="B12" s="49"/>
      <c r="C12" s="489"/>
      <c r="D12" s="28">
        <v>5666</v>
      </c>
      <c r="E12" s="28">
        <f t="shared" si="0"/>
        <v>0</v>
      </c>
      <c r="F12" s="4">
        <f t="shared" si="1"/>
        <v>0</v>
      </c>
      <c r="G12" s="31">
        <f t="shared" si="2"/>
        <v>0</v>
      </c>
    </row>
    <row r="13" spans="2:9" x14ac:dyDescent="0.2">
      <c r="B13" s="49"/>
      <c r="C13" s="489"/>
      <c r="D13" s="28">
        <v>5666</v>
      </c>
      <c r="E13" s="28">
        <f t="shared" si="0"/>
        <v>0</v>
      </c>
      <c r="F13" s="4">
        <f t="shared" si="1"/>
        <v>0</v>
      </c>
      <c r="G13" s="31">
        <f t="shared" si="2"/>
        <v>0</v>
      </c>
    </row>
    <row r="14" spans="2:9" x14ac:dyDescent="0.2">
      <c r="B14" s="49"/>
      <c r="C14" s="489"/>
      <c r="D14" s="28">
        <v>5666</v>
      </c>
      <c r="E14" s="28">
        <f t="shared" si="0"/>
        <v>0</v>
      </c>
      <c r="F14" s="4">
        <f t="shared" si="1"/>
        <v>0</v>
      </c>
      <c r="G14" s="31">
        <f t="shared" si="2"/>
        <v>0</v>
      </c>
      <c r="I14" s="191"/>
    </row>
    <row r="15" spans="2:9" x14ac:dyDescent="0.2">
      <c r="B15" s="49"/>
      <c r="C15" s="489"/>
      <c r="D15" s="28">
        <v>5666</v>
      </c>
      <c r="E15" s="28">
        <f>C15*D15</f>
        <v>0</v>
      </c>
      <c r="F15" s="4">
        <f>E15*16%</f>
        <v>0</v>
      </c>
      <c r="G15" s="31">
        <f>+E15+F15</f>
        <v>0</v>
      </c>
      <c r="I15" s="191"/>
    </row>
    <row r="16" spans="2:9" x14ac:dyDescent="0.2">
      <c r="B16" s="50"/>
      <c r="C16" s="490"/>
      <c r="D16" s="28">
        <v>0</v>
      </c>
      <c r="E16" s="172">
        <f t="shared" si="0"/>
        <v>0</v>
      </c>
      <c r="F16" s="201">
        <f t="shared" si="1"/>
        <v>0</v>
      </c>
      <c r="G16" s="202">
        <f t="shared" si="2"/>
        <v>0</v>
      </c>
      <c r="I16" s="192"/>
    </row>
    <row r="17" spans="2:10" ht="13.5" thickBot="1" x14ac:dyDescent="0.25">
      <c r="B17" s="50"/>
      <c r="C17" s="490"/>
      <c r="D17" s="28">
        <v>0</v>
      </c>
      <c r="E17" s="172">
        <f>C17*D17</f>
        <v>0</v>
      </c>
      <c r="F17" s="201">
        <f>E17*16%</f>
        <v>0</v>
      </c>
      <c r="G17" s="202">
        <f>+E17+F17</f>
        <v>0</v>
      </c>
      <c r="I17" s="192"/>
    </row>
    <row r="18" spans="2:10" ht="13.5" thickBot="1" x14ac:dyDescent="0.25">
      <c r="B18" s="200" t="s">
        <v>20</v>
      </c>
      <c r="C18" s="209">
        <f>SUM(C6:C17)</f>
        <v>0</v>
      </c>
      <c r="D18" s="200">
        <f>AVERAGE(D6:D17)</f>
        <v>4577.416666666667</v>
      </c>
      <c r="E18" s="200">
        <f>SUM(E6:E17)</f>
        <v>0</v>
      </c>
      <c r="F18" s="200">
        <f>SUM(F6:F17)</f>
        <v>0</v>
      </c>
      <c r="G18" s="200">
        <f>SUM(G6:G17)</f>
        <v>0</v>
      </c>
      <c r="I18" s="192"/>
    </row>
    <row r="19" spans="2:10" x14ac:dyDescent="0.2">
      <c r="H19" s="86"/>
      <c r="I19" s="192"/>
    </row>
    <row r="20" spans="2:10" ht="13.5" thickBot="1" x14ac:dyDescent="0.25"/>
    <row r="21" spans="2:10" ht="27.75" customHeight="1" thickBot="1" x14ac:dyDescent="0.25">
      <c r="B21" s="578" t="s">
        <v>637</v>
      </c>
      <c r="C21" s="579"/>
      <c r="D21" s="579"/>
      <c r="E21" s="579"/>
      <c r="F21" s="579"/>
      <c r="G21" s="580"/>
      <c r="I21" s="155"/>
      <c r="J21" s="194"/>
    </row>
    <row r="22" spans="2:10" ht="26.25" thickBot="1" x14ac:dyDescent="0.25">
      <c r="B22" s="292" t="s">
        <v>7</v>
      </c>
      <c r="C22" s="581" t="s">
        <v>0</v>
      </c>
      <c r="D22" s="582"/>
      <c r="E22" s="293" t="s">
        <v>56</v>
      </c>
      <c r="F22" s="230" t="s">
        <v>57</v>
      </c>
      <c r="G22" s="292" t="s">
        <v>23</v>
      </c>
      <c r="I22" s="193"/>
    </row>
    <row r="23" spans="2:10" x14ac:dyDescent="0.2">
      <c r="B23" s="227" t="s">
        <v>5</v>
      </c>
      <c r="C23" s="583" t="s">
        <v>55</v>
      </c>
      <c r="D23" s="583"/>
      <c r="E23" s="291"/>
      <c r="F23" s="290" t="e">
        <f>+G23/E23</f>
        <v>#DIV/0!</v>
      </c>
      <c r="G23" s="228">
        <v>0</v>
      </c>
      <c r="I23" s="86"/>
    </row>
    <row r="24" spans="2:10" x14ac:dyDescent="0.2">
      <c r="B24" s="298" t="s">
        <v>239</v>
      </c>
      <c r="C24" s="586" t="s">
        <v>55</v>
      </c>
      <c r="D24" s="586"/>
      <c r="E24" s="288"/>
      <c r="F24" s="289">
        <v>5700</v>
      </c>
      <c r="G24" s="33">
        <f t="shared" ref="G24:G32" si="3">+F24*E24</f>
        <v>0</v>
      </c>
      <c r="I24" s="86"/>
    </row>
    <row r="25" spans="2:10" x14ac:dyDescent="0.2">
      <c r="B25" s="298" t="s">
        <v>179</v>
      </c>
      <c r="C25" s="586" t="s">
        <v>55</v>
      </c>
      <c r="D25" s="586"/>
      <c r="E25" s="288"/>
      <c r="F25" s="289">
        <v>5285</v>
      </c>
      <c r="G25" s="33">
        <f t="shared" si="3"/>
        <v>0</v>
      </c>
      <c r="I25" s="86"/>
    </row>
    <row r="26" spans="2:10" x14ac:dyDescent="0.2">
      <c r="B26" s="298" t="s">
        <v>236</v>
      </c>
      <c r="C26" s="586" t="s">
        <v>55</v>
      </c>
      <c r="D26" s="586"/>
      <c r="E26" s="288"/>
      <c r="F26" s="289">
        <v>6572</v>
      </c>
      <c r="G26" s="33">
        <f t="shared" si="3"/>
        <v>0</v>
      </c>
      <c r="I26" s="86"/>
    </row>
    <row r="27" spans="2:10" x14ac:dyDescent="0.2">
      <c r="B27" s="298" t="s">
        <v>226</v>
      </c>
      <c r="C27" s="586" t="s">
        <v>55</v>
      </c>
      <c r="D27" s="586"/>
      <c r="E27" s="288"/>
      <c r="F27" s="289">
        <v>5666</v>
      </c>
      <c r="G27" s="33">
        <f t="shared" si="3"/>
        <v>0</v>
      </c>
      <c r="I27" s="86"/>
    </row>
    <row r="28" spans="2:10" x14ac:dyDescent="0.2">
      <c r="B28" s="298" t="s">
        <v>237</v>
      </c>
      <c r="C28" s="586" t="s">
        <v>55</v>
      </c>
      <c r="D28" s="586"/>
      <c r="E28" s="288"/>
      <c r="F28" s="289">
        <v>5333</v>
      </c>
      <c r="G28" s="33">
        <f t="shared" si="3"/>
        <v>0</v>
      </c>
      <c r="I28" s="86"/>
    </row>
    <row r="29" spans="2:10" x14ac:dyDescent="0.2">
      <c r="B29" s="298" t="s">
        <v>180</v>
      </c>
      <c r="C29" s="586" t="s">
        <v>55</v>
      </c>
      <c r="D29" s="586"/>
      <c r="E29" s="288"/>
      <c r="F29" s="289">
        <v>5200</v>
      </c>
      <c r="G29" s="33">
        <f t="shared" si="3"/>
        <v>0</v>
      </c>
      <c r="I29" s="86"/>
    </row>
    <row r="30" spans="2:10" x14ac:dyDescent="0.2">
      <c r="B30" s="298" t="s">
        <v>4</v>
      </c>
      <c r="C30" s="586" t="s">
        <v>129</v>
      </c>
      <c r="D30" s="586"/>
      <c r="E30" s="288"/>
      <c r="F30" s="289">
        <v>5100</v>
      </c>
      <c r="G30" s="33">
        <f t="shared" si="3"/>
        <v>0</v>
      </c>
      <c r="H30" s="96"/>
    </row>
    <row r="31" spans="2:10" x14ac:dyDescent="0.2">
      <c r="B31" s="298" t="s">
        <v>238</v>
      </c>
      <c r="C31" s="586" t="s">
        <v>129</v>
      </c>
      <c r="D31" s="586"/>
      <c r="E31" s="288"/>
      <c r="F31" s="289">
        <v>7200</v>
      </c>
      <c r="G31" s="33">
        <f t="shared" si="3"/>
        <v>0</v>
      </c>
      <c r="H31" s="96"/>
    </row>
    <row r="32" spans="2:10" ht="13.5" thickBot="1" x14ac:dyDescent="0.25">
      <c r="B32" s="299" t="s">
        <v>495</v>
      </c>
      <c r="C32" s="587" t="s">
        <v>129</v>
      </c>
      <c r="D32" s="587"/>
      <c r="E32" s="300"/>
      <c r="F32" s="301">
        <v>7200</v>
      </c>
      <c r="G32" s="302">
        <f t="shared" si="3"/>
        <v>0</v>
      </c>
      <c r="H32" s="96"/>
    </row>
    <row r="33" spans="2:9" ht="13.5" thickBot="1" x14ac:dyDescent="0.25">
      <c r="B33" s="294" t="s">
        <v>20</v>
      </c>
      <c r="C33" s="584"/>
      <c r="D33" s="585"/>
      <c r="E33" s="295">
        <f>SUM(E23:E30)</f>
        <v>0</v>
      </c>
      <c r="F33" s="296" t="e">
        <f>+G33/E33</f>
        <v>#DIV/0!</v>
      </c>
      <c r="G33" s="297">
        <f>SUM(G23:G32)</f>
        <v>0</v>
      </c>
      <c r="I33" s="192"/>
    </row>
    <row r="34" spans="2:9" ht="13.5" thickBot="1" x14ac:dyDescent="0.25"/>
    <row r="35" spans="2:9" ht="16.5" thickBot="1" x14ac:dyDescent="0.25">
      <c r="B35" s="204" t="s">
        <v>7</v>
      </c>
      <c r="C35" s="229" t="s">
        <v>56</v>
      </c>
      <c r="D35" s="204" t="s">
        <v>23</v>
      </c>
      <c r="G35" s="86"/>
    </row>
    <row r="36" spans="2:9" ht="13.5" thickBot="1" x14ac:dyDescent="0.25">
      <c r="B36" s="235" t="s">
        <v>58</v>
      </c>
      <c r="C36" s="234">
        <f>C18</f>
        <v>0</v>
      </c>
      <c r="D36" s="233">
        <f>E18</f>
        <v>0</v>
      </c>
      <c r="E36" s="570" t="s">
        <v>147</v>
      </c>
      <c r="F36" s="571"/>
      <c r="G36" s="95">
        <f>+E18+G33+E42</f>
        <v>0</v>
      </c>
    </row>
    <row r="37" spans="2:9" ht="13.5" thickBot="1" x14ac:dyDescent="0.25">
      <c r="B37" s="231" t="s">
        <v>59</v>
      </c>
      <c r="C37" s="236">
        <f>+E33</f>
        <v>0</v>
      </c>
      <c r="D37" s="202">
        <f>+G33</f>
        <v>0</v>
      </c>
      <c r="G37" s="92"/>
    </row>
    <row r="38" spans="2:9" ht="13.5" thickBot="1" x14ac:dyDescent="0.25">
      <c r="B38" s="232" t="s">
        <v>20</v>
      </c>
      <c r="C38" s="232">
        <f>SUM(C36:C37)</f>
        <v>0</v>
      </c>
      <c r="D38" s="232">
        <f>SUM(D36:D37)</f>
        <v>0</v>
      </c>
      <c r="F38" s="87"/>
      <c r="G38" s="88"/>
    </row>
    <row r="39" spans="2:9" ht="13.5" thickBot="1" x14ac:dyDescent="0.25">
      <c r="F39" s="87"/>
      <c r="G39" s="86"/>
    </row>
    <row r="40" spans="2:9" ht="15.75" customHeight="1" thickBot="1" x14ac:dyDescent="0.25">
      <c r="B40" s="243" t="s">
        <v>7</v>
      </c>
      <c r="C40" s="138" t="s">
        <v>151</v>
      </c>
      <c r="D40" s="244" t="s">
        <v>152</v>
      </c>
      <c r="E40" s="244" t="s">
        <v>1</v>
      </c>
      <c r="F40" s="87"/>
    </row>
    <row r="41" spans="2:9" ht="13.5" thickBot="1" x14ac:dyDescent="0.25">
      <c r="B41" s="240"/>
      <c r="C41" s="241"/>
      <c r="D41" s="242"/>
      <c r="E41" s="242"/>
      <c r="G41" s="96"/>
    </row>
    <row r="42" spans="2:9" ht="13.5" thickBot="1" x14ac:dyDescent="0.25">
      <c r="B42" s="237" t="s">
        <v>20</v>
      </c>
      <c r="C42" s="238">
        <f>SUM(C41:C41)</f>
        <v>0</v>
      </c>
      <c r="D42" s="239">
        <f>SUM(D41:D41)</f>
        <v>0</v>
      </c>
      <c r="E42" s="239">
        <f>SUM(E41:E41)</f>
        <v>0</v>
      </c>
      <c r="G42" s="112"/>
    </row>
    <row r="43" spans="2:9" x14ac:dyDescent="0.2">
      <c r="G43" s="86"/>
    </row>
    <row r="44" spans="2:9" x14ac:dyDescent="0.2">
      <c r="G44" s="86"/>
    </row>
    <row r="45" spans="2:9" x14ac:dyDescent="0.2">
      <c r="F45" s="86"/>
      <c r="G45" s="86"/>
    </row>
    <row r="46" spans="2:9" x14ac:dyDescent="0.2">
      <c r="C46" s="112"/>
      <c r="D46" s="86"/>
      <c r="E46" s="86"/>
      <c r="F46" s="86"/>
      <c r="G46" s="86"/>
    </row>
    <row r="47" spans="2:9" x14ac:dyDescent="0.2">
      <c r="C47" s="86"/>
    </row>
    <row r="48" spans="2:9" x14ac:dyDescent="0.2">
      <c r="C48" s="112"/>
    </row>
    <row r="49" spans="3:8" x14ac:dyDescent="0.2">
      <c r="C49" s="86"/>
      <c r="D49" s="86"/>
      <c r="G49" s="155"/>
    </row>
    <row r="50" spans="3:8" x14ac:dyDescent="0.2">
      <c r="H50" s="86"/>
    </row>
  </sheetData>
  <sortState ref="B31:D34">
    <sortCondition ref="B31"/>
  </sortState>
  <mergeCells count="15">
    <mergeCell ref="E36:F36"/>
    <mergeCell ref="B3:G4"/>
    <mergeCell ref="B21:G21"/>
    <mergeCell ref="C22:D22"/>
    <mergeCell ref="C23:D23"/>
    <mergeCell ref="C33:D33"/>
    <mergeCell ref="C30:D30"/>
    <mergeCell ref="C24:D24"/>
    <mergeCell ref="C25:D25"/>
    <mergeCell ref="C26:D26"/>
    <mergeCell ref="C29:D29"/>
    <mergeCell ref="C27:D27"/>
    <mergeCell ref="C28:D28"/>
    <mergeCell ref="C31:D31"/>
    <mergeCell ref="C32:D32"/>
  </mergeCells>
  <pageMargins left="0.70866141732283472" right="0.70866141732283472" top="0.75" bottom="0" header="0.31496062992125984" footer="0.31496062992125984"/>
  <pageSetup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7"/>
  <sheetViews>
    <sheetView workbookViewId="0">
      <selection activeCell="F17" sqref="F17"/>
    </sheetView>
  </sheetViews>
  <sheetFormatPr baseColWidth="10" defaultRowHeight="15.75" x14ac:dyDescent="0.3"/>
  <cols>
    <col min="2" max="2" width="32.44140625" customWidth="1"/>
    <col min="3" max="3" width="17.109375" customWidth="1"/>
    <col min="4" max="4" width="6.33203125" customWidth="1"/>
    <col min="5" max="5" width="32.33203125" customWidth="1"/>
    <col min="6" max="6" width="14.109375" customWidth="1"/>
    <col min="7" max="7" width="13.6640625" bestFit="1" customWidth="1"/>
    <col min="8" max="8" width="14.6640625" bestFit="1" customWidth="1"/>
  </cols>
  <sheetData>
    <row r="1" spans="2:8" ht="16.5" thickBot="1" x14ac:dyDescent="0.35"/>
    <row r="2" spans="2:8" ht="20.25" thickBot="1" x14ac:dyDescent="0.4">
      <c r="B2" s="590" t="s">
        <v>496</v>
      </c>
      <c r="C2" s="591"/>
      <c r="D2" s="591"/>
      <c r="E2" s="591"/>
      <c r="F2" s="592"/>
    </row>
    <row r="3" spans="2:8" ht="18.75" thickBot="1" x14ac:dyDescent="0.35">
      <c r="B3" s="593" t="s">
        <v>60</v>
      </c>
      <c r="C3" s="593"/>
      <c r="E3" s="596" t="s">
        <v>52</v>
      </c>
      <c r="F3" s="596"/>
    </row>
    <row r="4" spans="2:8" ht="24.75" thickBot="1" x14ac:dyDescent="0.45">
      <c r="B4" s="594" t="s">
        <v>33</v>
      </c>
      <c r="C4" s="595"/>
      <c r="D4" s="129"/>
      <c r="E4" s="597" t="s">
        <v>33</v>
      </c>
      <c r="F4" s="598"/>
    </row>
    <row r="5" spans="2:8" ht="26.25" thickBot="1" x14ac:dyDescent="0.35">
      <c r="B5" s="173" t="s">
        <v>130</v>
      </c>
      <c r="C5" s="176" t="s">
        <v>36</v>
      </c>
      <c r="E5" s="173" t="s">
        <v>131</v>
      </c>
      <c r="F5" s="184" t="s">
        <v>36</v>
      </c>
    </row>
    <row r="6" spans="2:8" x14ac:dyDescent="0.3">
      <c r="B6" s="174" t="s">
        <v>42</v>
      </c>
      <c r="C6" s="177">
        <v>21</v>
      </c>
      <c r="E6" s="174" t="s">
        <v>42</v>
      </c>
      <c r="F6" s="185">
        <v>19</v>
      </c>
    </row>
    <row r="7" spans="2:8" x14ac:dyDescent="0.3">
      <c r="B7" s="175" t="s">
        <v>30</v>
      </c>
      <c r="C7" s="178">
        <v>122</v>
      </c>
      <c r="E7" s="175" t="s">
        <v>30</v>
      </c>
      <c r="F7" s="303">
        <v>35.700000000000003</v>
      </c>
    </row>
    <row r="8" spans="2:8" x14ac:dyDescent="0.3">
      <c r="B8" s="174" t="s">
        <v>29</v>
      </c>
      <c r="C8" s="491">
        <v>556.74</v>
      </c>
      <c r="E8" s="174" t="s">
        <v>29</v>
      </c>
      <c r="F8" s="304">
        <v>216.32</v>
      </c>
    </row>
    <row r="9" spans="2:8" x14ac:dyDescent="0.3">
      <c r="B9" s="175" t="s">
        <v>37</v>
      </c>
      <c r="C9" s="178">
        <v>10379</v>
      </c>
      <c r="E9" s="175" t="s">
        <v>37</v>
      </c>
      <c r="F9" s="178">
        <v>2026</v>
      </c>
    </row>
    <row r="10" spans="2:8" x14ac:dyDescent="0.3">
      <c r="B10" s="174" t="s">
        <v>38</v>
      </c>
      <c r="C10" s="177">
        <f>+C11/C7</f>
        <v>425368.85245901637</v>
      </c>
      <c r="E10" s="174" t="s">
        <v>38</v>
      </c>
      <c r="F10" s="177">
        <f>+F11/F7</f>
        <v>283753.5014005602</v>
      </c>
      <c r="H10" s="111"/>
    </row>
    <row r="11" spans="2:8" ht="16.5" thickBot="1" x14ac:dyDescent="0.35">
      <c r="B11" s="175" t="s">
        <v>62</v>
      </c>
      <c r="C11" s="179">
        <f>+C9*5000</f>
        <v>51895000</v>
      </c>
      <c r="E11" s="175" t="s">
        <v>63</v>
      </c>
      <c r="F11" s="179">
        <f>+F9*5000</f>
        <v>10130000</v>
      </c>
    </row>
    <row r="12" spans="2:8" ht="16.5" thickBot="1" x14ac:dyDescent="0.35">
      <c r="B12" s="588"/>
      <c r="C12" s="589"/>
      <c r="E12" s="588"/>
      <c r="F12" s="589"/>
    </row>
    <row r="13" spans="2:8" x14ac:dyDescent="0.3">
      <c r="B13" s="180" t="s">
        <v>27</v>
      </c>
      <c r="C13" s="182">
        <v>8251032</v>
      </c>
      <c r="E13" s="180" t="s">
        <v>27</v>
      </c>
      <c r="F13" s="182">
        <v>6456923</v>
      </c>
    </row>
    <row r="14" spans="2:8" ht="16.5" thickBot="1" x14ac:dyDescent="0.35">
      <c r="B14" s="181" t="s">
        <v>28</v>
      </c>
      <c r="C14" s="183">
        <f>+C8*7400</f>
        <v>4119876</v>
      </c>
      <c r="E14" s="181" t="s">
        <v>28</v>
      </c>
      <c r="F14" s="183">
        <f>+F8*7400</f>
        <v>1600768</v>
      </c>
      <c r="H14" s="111"/>
    </row>
    <row r="15" spans="2:8" ht="16.5" thickBot="1" x14ac:dyDescent="0.35">
      <c r="B15" s="187" t="s">
        <v>1</v>
      </c>
      <c r="C15" s="186">
        <f>C13+C14</f>
        <v>12370908</v>
      </c>
      <c r="E15" s="187" t="s">
        <v>1</v>
      </c>
      <c r="F15" s="186">
        <f>SUM(F13:F14)</f>
        <v>8057691</v>
      </c>
    </row>
    <row r="16" spans="2:8" ht="16.5" thickBot="1" x14ac:dyDescent="0.35"/>
    <row r="17" spans="2:6" ht="16.5" thickBot="1" x14ac:dyDescent="0.35">
      <c r="B17" s="111"/>
      <c r="C17" s="101">
        <f>+C15+F15</f>
        <v>20428599</v>
      </c>
      <c r="F17" s="93"/>
    </row>
    <row r="18" spans="2:6" x14ac:dyDescent="0.3">
      <c r="B18" s="111"/>
      <c r="E18" s="93"/>
      <c r="F18" s="111"/>
    </row>
    <row r="19" spans="2:6" x14ac:dyDescent="0.3">
      <c r="B19" s="93"/>
      <c r="C19" s="93"/>
      <c r="D19" s="60"/>
      <c r="E19" s="93"/>
      <c r="F19" s="111"/>
    </row>
    <row r="20" spans="2:6" x14ac:dyDescent="0.3">
      <c r="C20" s="60"/>
      <c r="E20" s="110"/>
      <c r="F20" s="111"/>
    </row>
    <row r="21" spans="2:6" x14ac:dyDescent="0.3">
      <c r="C21" s="111"/>
      <c r="F21" s="111"/>
    </row>
    <row r="22" spans="2:6" x14ac:dyDescent="0.3">
      <c r="C22" s="111"/>
      <c r="E22" s="93"/>
      <c r="F22" s="111"/>
    </row>
    <row r="23" spans="2:6" x14ac:dyDescent="0.3">
      <c r="B23" s="111"/>
      <c r="E23" s="111"/>
      <c r="F23" s="111"/>
    </row>
    <row r="24" spans="2:6" x14ac:dyDescent="0.3">
      <c r="C24" s="111"/>
      <c r="F24" s="111"/>
    </row>
    <row r="27" spans="2:6" x14ac:dyDescent="0.3">
      <c r="E27" s="119"/>
    </row>
  </sheetData>
  <mergeCells count="7">
    <mergeCell ref="B12:C12"/>
    <mergeCell ref="E12:F12"/>
    <mergeCell ref="B2:F2"/>
    <mergeCell ref="B3:C3"/>
    <mergeCell ref="B4:C4"/>
    <mergeCell ref="E3:F3"/>
    <mergeCell ref="E4:F4"/>
  </mergeCells>
  <pageMargins left="0.70866141732283472" right="0.70866141732283472" top="0.74803149606299213" bottom="0.74803149606299213" header="0.31496062992125984" footer="0.31496062992125984"/>
  <pageSetup scale="8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2"/>
  <sheetViews>
    <sheetView zoomScale="130" zoomScaleNormal="130" workbookViewId="0">
      <selection activeCell="F24" sqref="F24"/>
    </sheetView>
  </sheetViews>
  <sheetFormatPr baseColWidth="10" defaultRowHeight="12.75" x14ac:dyDescent="0.2"/>
  <cols>
    <col min="1" max="1" width="5.88671875" style="3" customWidth="1"/>
    <col min="2" max="2" width="41.33203125" style="3" bestFit="1" customWidth="1"/>
    <col min="3" max="16384" width="11.5546875" style="3"/>
  </cols>
  <sheetData>
    <row r="2" spans="2:7" ht="13.5" thickBot="1" x14ac:dyDescent="0.25"/>
    <row r="3" spans="2:7" ht="18.75" thickBot="1" x14ac:dyDescent="0.25">
      <c r="B3" s="599" t="s">
        <v>497</v>
      </c>
      <c r="C3" s="600"/>
      <c r="D3" s="600"/>
      <c r="E3" s="600"/>
      <c r="F3" s="600"/>
      <c r="G3" s="601"/>
    </row>
    <row r="4" spans="2:7" ht="25.5" x14ac:dyDescent="0.2">
      <c r="B4" s="210" t="s">
        <v>2</v>
      </c>
      <c r="C4" s="211" t="s">
        <v>35</v>
      </c>
      <c r="D4" s="211" t="s">
        <v>43</v>
      </c>
      <c r="E4" s="211" t="s">
        <v>34</v>
      </c>
      <c r="F4" s="211" t="s">
        <v>47</v>
      </c>
      <c r="G4" s="212" t="s">
        <v>31</v>
      </c>
    </row>
    <row r="5" spans="2:7" ht="15.75" x14ac:dyDescent="0.2">
      <c r="B5" s="213">
        <v>2015</v>
      </c>
      <c r="C5" s="214" t="s">
        <v>176</v>
      </c>
      <c r="D5" s="214" t="s">
        <v>176</v>
      </c>
      <c r="E5" s="214" t="s">
        <v>176</v>
      </c>
      <c r="F5" s="214" t="s">
        <v>176</v>
      </c>
      <c r="G5" s="214" t="s">
        <v>176</v>
      </c>
    </row>
    <row r="6" spans="2:7" x14ac:dyDescent="0.2">
      <c r="B6" s="167" t="s">
        <v>163</v>
      </c>
      <c r="C6" s="6">
        <v>1289091</v>
      </c>
      <c r="D6" s="6">
        <v>107425.25</v>
      </c>
      <c r="E6" s="7" t="s">
        <v>498</v>
      </c>
      <c r="F6" s="8">
        <f>D6*9</f>
        <v>966827.25</v>
      </c>
      <c r="G6" s="35">
        <f t="shared" ref="G6:G11" si="0">C6-F6</f>
        <v>322263.75</v>
      </c>
    </row>
    <row r="7" spans="2:7" x14ac:dyDescent="0.2">
      <c r="B7" s="167" t="s">
        <v>168</v>
      </c>
      <c r="C7" s="6">
        <v>3465600</v>
      </c>
      <c r="D7" s="6">
        <v>115520</v>
      </c>
      <c r="E7" s="7" t="s">
        <v>499</v>
      </c>
      <c r="F7" s="8">
        <f>D7*9</f>
        <v>1039680</v>
      </c>
      <c r="G7" s="35">
        <f t="shared" si="0"/>
        <v>2425920</v>
      </c>
    </row>
    <row r="8" spans="2:7" x14ac:dyDescent="0.2">
      <c r="B8" s="34" t="s">
        <v>167</v>
      </c>
      <c r="C8" s="6">
        <v>4369750</v>
      </c>
      <c r="D8" s="6">
        <v>121381.94</v>
      </c>
      <c r="E8" s="7" t="s">
        <v>499</v>
      </c>
      <c r="F8" s="8">
        <f>D8*9</f>
        <v>1092437.46</v>
      </c>
      <c r="G8" s="35">
        <f t="shared" si="0"/>
        <v>3277312.54</v>
      </c>
    </row>
    <row r="9" spans="2:7" x14ac:dyDescent="0.2">
      <c r="B9" s="34" t="s">
        <v>169</v>
      </c>
      <c r="C9" s="6">
        <v>4939455</v>
      </c>
      <c r="D9" s="6">
        <v>136929.31</v>
      </c>
      <c r="E9" s="7" t="s">
        <v>499</v>
      </c>
      <c r="F9" s="8">
        <f>D9*9</f>
        <v>1232363.79</v>
      </c>
      <c r="G9" s="35">
        <f t="shared" si="0"/>
        <v>3707091.21</v>
      </c>
    </row>
    <row r="10" spans="2:7" x14ac:dyDescent="0.2">
      <c r="B10" s="34" t="s">
        <v>126</v>
      </c>
      <c r="C10" s="6">
        <f>3520000+149500</f>
        <v>3669500</v>
      </c>
      <c r="D10" s="6">
        <f>+C10/36</f>
        <v>101930.55555555556</v>
      </c>
      <c r="E10" s="7" t="s">
        <v>500</v>
      </c>
      <c r="F10" s="8">
        <f>D10*15</f>
        <v>1528958.3333333335</v>
      </c>
      <c r="G10" s="35">
        <f t="shared" si="0"/>
        <v>2140541.6666666665</v>
      </c>
    </row>
    <row r="11" spans="2:7" x14ac:dyDescent="0.2">
      <c r="B11" s="34" t="s">
        <v>70</v>
      </c>
      <c r="C11" s="6">
        <v>5384138</v>
      </c>
      <c r="D11" s="6">
        <f>+C11/12</f>
        <v>448678.16666666669</v>
      </c>
      <c r="E11" s="7" t="s">
        <v>501</v>
      </c>
      <c r="F11" s="8">
        <f>D11*2</f>
        <v>897356.33333333337</v>
      </c>
      <c r="G11" s="35">
        <f t="shared" si="0"/>
        <v>4486781.666666667</v>
      </c>
    </row>
    <row r="12" spans="2:7" ht="16.5" thickBot="1" x14ac:dyDescent="0.25">
      <c r="B12" s="130" t="s">
        <v>1</v>
      </c>
      <c r="C12" s="131">
        <f>SUM(C6:C11)</f>
        <v>23117534</v>
      </c>
      <c r="D12" s="131">
        <f>SUM(D6:D11)</f>
        <v>1031865.2222222222</v>
      </c>
      <c r="E12" s="131"/>
      <c r="F12" s="131">
        <f>SUM(F6:F11)</f>
        <v>6757623.166666667</v>
      </c>
      <c r="G12" s="131">
        <f>SUM(G6:G11)</f>
        <v>16359910.833333332</v>
      </c>
    </row>
  </sheetData>
  <sortState ref="B15:H16">
    <sortCondition ref="B15"/>
  </sortState>
  <mergeCells count="1">
    <mergeCell ref="B3:G3"/>
  </mergeCells>
  <pageMargins left="0.7" right="0.7" top="0.75" bottom="0.75" header="0.3" footer="0.3"/>
  <pageSetup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H14" sqref="H14"/>
    </sheetView>
  </sheetViews>
  <sheetFormatPr baseColWidth="10" defaultRowHeight="15.75" x14ac:dyDescent="0.3"/>
  <cols>
    <col min="1" max="1" width="11.5546875" style="216"/>
    <col min="2" max="2" width="17.88671875" style="216" customWidth="1"/>
    <col min="3" max="3" width="44" style="216" customWidth="1"/>
    <col min="4" max="4" width="20" style="216" customWidth="1"/>
  </cols>
  <sheetData>
    <row r="2" spans="2:4" ht="16.5" thickBot="1" x14ac:dyDescent="0.35"/>
    <row r="3" spans="2:4" ht="33" customHeight="1" thickBot="1" x14ac:dyDescent="0.35">
      <c r="B3" s="602" t="s">
        <v>631</v>
      </c>
      <c r="C3" s="603"/>
      <c r="D3" s="604"/>
    </row>
    <row r="4" spans="2:4" ht="31.5" customHeight="1" thickBot="1" x14ac:dyDescent="0.35">
      <c r="B4" s="215" t="s">
        <v>2</v>
      </c>
      <c r="C4" s="215" t="s">
        <v>9</v>
      </c>
      <c r="D4" s="215" t="s">
        <v>3</v>
      </c>
    </row>
    <row r="5" spans="2:4" ht="20.25" customHeight="1" thickBot="1" x14ac:dyDescent="0.35">
      <c r="B5" s="217"/>
      <c r="C5" s="225" t="s">
        <v>10</v>
      </c>
      <c r="D5" s="222">
        <f>+'[1]JORGE GOMEZ MAY 16'!$E$23</f>
        <v>14478386</v>
      </c>
    </row>
    <row r="6" spans="2:4" ht="22.5" customHeight="1" thickBot="1" x14ac:dyDescent="0.35">
      <c r="B6" s="218" t="s">
        <v>4</v>
      </c>
      <c r="C6" s="223" t="s">
        <v>155</v>
      </c>
      <c r="D6" s="224"/>
    </row>
    <row r="7" spans="2:4" ht="16.5" thickBot="1" x14ac:dyDescent="0.35">
      <c r="B7" s="219"/>
      <c r="C7" s="226" t="s">
        <v>183</v>
      </c>
      <c r="D7" s="222">
        <f>+'[2]MAYO 2016'!$D$190</f>
        <v>18419970</v>
      </c>
    </row>
    <row r="8" spans="2:4" ht="16.5" thickBot="1" x14ac:dyDescent="0.35">
      <c r="B8" s="220" t="s">
        <v>45</v>
      </c>
      <c r="C8" s="221" t="s">
        <v>46</v>
      </c>
      <c r="D8" s="222"/>
    </row>
    <row r="9" spans="2:4" ht="24" customHeight="1" thickBot="1" x14ac:dyDescent="0.35">
      <c r="B9" s="605" t="s">
        <v>26</v>
      </c>
      <c r="C9" s="606"/>
      <c r="D9" s="132">
        <f>+D5+D6+D7-D8</f>
        <v>32898356</v>
      </c>
    </row>
  </sheetData>
  <mergeCells count="2">
    <mergeCell ref="B3:D3"/>
    <mergeCell ref="B9:C9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50"/>
  <sheetViews>
    <sheetView zoomScale="90" zoomScaleNormal="90" workbookViewId="0">
      <selection activeCell="L14" sqref="L14"/>
    </sheetView>
  </sheetViews>
  <sheetFormatPr baseColWidth="10" defaultRowHeight="15.75" x14ac:dyDescent="0.3"/>
  <cols>
    <col min="2" max="2" width="15.21875" bestFit="1" customWidth="1"/>
    <col min="3" max="3" width="26.33203125" bestFit="1" customWidth="1"/>
    <col min="4" max="4" width="47" bestFit="1" customWidth="1"/>
    <col min="5" max="5" width="9.6640625" bestFit="1" customWidth="1"/>
    <col min="6" max="6" width="12.21875" bestFit="1" customWidth="1"/>
  </cols>
  <sheetData>
    <row r="1" spans="2:35" x14ac:dyDescent="0.3">
      <c r="B1" s="2"/>
      <c r="C1" s="2"/>
      <c r="D1" s="2"/>
      <c r="E1" s="2"/>
    </row>
    <row r="2" spans="2:35" ht="23.25" customHeight="1" thickBot="1" x14ac:dyDescent="0.35">
      <c r="B2" s="2"/>
      <c r="C2" s="2"/>
      <c r="D2" s="2"/>
      <c r="E2" s="2"/>
    </row>
    <row r="3" spans="2:35" ht="23.25" customHeight="1" thickBot="1" x14ac:dyDescent="0.35">
      <c r="B3" s="607" t="s">
        <v>634</v>
      </c>
      <c r="C3" s="608"/>
      <c r="D3" s="608"/>
      <c r="E3" s="609"/>
    </row>
    <row r="4" spans="2:35" s="53" customFormat="1" ht="22.5" customHeight="1" x14ac:dyDescent="0.25">
      <c r="B4" s="169" t="s">
        <v>21</v>
      </c>
      <c r="C4" s="170" t="s">
        <v>24</v>
      </c>
      <c r="D4" s="170" t="s">
        <v>22</v>
      </c>
      <c r="E4" s="171" t="s">
        <v>1</v>
      </c>
    </row>
    <row r="5" spans="2:35" x14ac:dyDescent="0.3">
      <c r="B5" s="196">
        <f>+F28</f>
        <v>1851311</v>
      </c>
      <c r="C5" s="6">
        <v>0</v>
      </c>
      <c r="D5" s="6">
        <f>+F150</f>
        <v>4932812</v>
      </c>
      <c r="E5" s="52">
        <f>+B5+D5</f>
        <v>6784123</v>
      </c>
    </row>
    <row r="6" spans="2:35" ht="16.5" thickBot="1" x14ac:dyDescent="0.35">
      <c r="B6" s="145">
        <f>SUM(B5:B5)</f>
        <v>1851311</v>
      </c>
      <c r="C6" s="146">
        <f>SUM(C5:C5)</f>
        <v>0</v>
      </c>
      <c r="D6" s="146">
        <f>SUM(D5:D5)</f>
        <v>4932812</v>
      </c>
      <c r="E6" s="147">
        <f>+E5</f>
        <v>6784123</v>
      </c>
    </row>
    <row r="7" spans="2:35" ht="16.5" thickBot="1" x14ac:dyDescent="0.35">
      <c r="B7" s="168"/>
      <c r="C7" s="168"/>
      <c r="D7" s="168"/>
      <c r="E7" s="1"/>
      <c r="F7" s="1"/>
    </row>
    <row r="8" spans="2:35" ht="16.5" thickBot="1" x14ac:dyDescent="0.35">
      <c r="B8" s="610" t="s">
        <v>178</v>
      </c>
      <c r="C8" s="611"/>
      <c r="D8" s="611"/>
      <c r="E8" s="611"/>
      <c r="F8" s="612"/>
    </row>
    <row r="9" spans="2:35" ht="16.5" thickBot="1" x14ac:dyDescent="0.35">
      <c r="B9" s="97"/>
      <c r="C9" s="97"/>
      <c r="D9" s="97"/>
      <c r="E9" s="97"/>
      <c r="F9" s="97"/>
      <c r="G9" s="1"/>
    </row>
    <row r="10" spans="2:35" ht="16.5" thickBot="1" x14ac:dyDescent="0.35">
      <c r="B10" s="197" t="s">
        <v>67</v>
      </c>
      <c r="C10" s="198" t="s">
        <v>0</v>
      </c>
      <c r="D10" s="198" t="s">
        <v>9</v>
      </c>
      <c r="E10" s="198" t="s">
        <v>158</v>
      </c>
      <c r="F10" s="199" t="s">
        <v>68</v>
      </c>
      <c r="G10" s="1"/>
    </row>
    <row r="11" spans="2:35" s="53" customFormat="1" ht="21.75" customHeight="1" x14ac:dyDescent="0.3">
      <c r="B11" s="308">
        <v>42492</v>
      </c>
      <c r="C11" s="309" t="s">
        <v>603</v>
      </c>
      <c r="D11" s="520" t="s">
        <v>240</v>
      </c>
      <c r="E11" s="309" t="s">
        <v>136</v>
      </c>
      <c r="F11" s="310">
        <v>302000</v>
      </c>
      <c r="G11" s="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2:35" x14ac:dyDescent="0.3">
      <c r="B12" s="493">
        <v>42494</v>
      </c>
      <c r="C12" s="251" t="s">
        <v>603</v>
      </c>
      <c r="D12" s="278" t="s">
        <v>241</v>
      </c>
      <c r="E12" s="305" t="s">
        <v>136</v>
      </c>
      <c r="F12" s="311">
        <v>6000</v>
      </c>
      <c r="G12" s="1"/>
    </row>
    <row r="13" spans="2:35" s="30" customFormat="1" x14ac:dyDescent="0.3">
      <c r="B13" s="493">
        <v>42496</v>
      </c>
      <c r="C13" s="251" t="s">
        <v>603</v>
      </c>
      <c r="D13" s="278" t="s">
        <v>211</v>
      </c>
      <c r="E13" s="305" t="s">
        <v>136</v>
      </c>
      <c r="F13" s="311">
        <v>17002</v>
      </c>
      <c r="G13" s="1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2:35" s="30" customFormat="1" x14ac:dyDescent="0.3">
      <c r="B14" s="493">
        <v>42501</v>
      </c>
      <c r="C14" s="503" t="s">
        <v>210</v>
      </c>
      <c r="D14" s="278" t="s">
        <v>604</v>
      </c>
      <c r="E14" s="503" t="s">
        <v>136</v>
      </c>
      <c r="F14" s="311">
        <v>70000</v>
      </c>
      <c r="G14" s="1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2:35" x14ac:dyDescent="0.3">
      <c r="B15" s="493">
        <v>42504</v>
      </c>
      <c r="C15" s="251" t="s">
        <v>210</v>
      </c>
      <c r="D15" s="521" t="s">
        <v>605</v>
      </c>
      <c r="E15" s="307" t="s">
        <v>136</v>
      </c>
      <c r="F15" s="311">
        <v>100000</v>
      </c>
    </row>
    <row r="16" spans="2:35" x14ac:dyDescent="0.3">
      <c r="B16" s="493">
        <v>42506</v>
      </c>
      <c r="C16" s="251" t="s">
        <v>210</v>
      </c>
      <c r="D16" s="278" t="s">
        <v>606</v>
      </c>
      <c r="E16" s="305" t="s">
        <v>136</v>
      </c>
      <c r="F16" s="311">
        <v>221399</v>
      </c>
    </row>
    <row r="17" spans="2:6" x14ac:dyDescent="0.3">
      <c r="B17" s="493">
        <v>42508</v>
      </c>
      <c r="C17" s="251" t="s">
        <v>210</v>
      </c>
      <c r="D17" s="278" t="s">
        <v>607</v>
      </c>
      <c r="E17" s="305" t="s">
        <v>136</v>
      </c>
      <c r="F17" s="311">
        <v>128000</v>
      </c>
    </row>
    <row r="18" spans="2:6" x14ac:dyDescent="0.3">
      <c r="B18" s="493">
        <v>42508</v>
      </c>
      <c r="C18" s="251" t="s">
        <v>210</v>
      </c>
      <c r="D18" s="278" t="s">
        <v>608</v>
      </c>
      <c r="E18" s="305" t="s">
        <v>136</v>
      </c>
      <c r="F18" s="311">
        <v>8000</v>
      </c>
    </row>
    <row r="19" spans="2:6" x14ac:dyDescent="0.3">
      <c r="B19" s="493">
        <v>42509</v>
      </c>
      <c r="C19" s="251" t="s">
        <v>210</v>
      </c>
      <c r="D19" s="278" t="s">
        <v>609</v>
      </c>
      <c r="E19" s="307" t="s">
        <v>136</v>
      </c>
      <c r="F19" s="311">
        <v>50000</v>
      </c>
    </row>
    <row r="20" spans="2:6" x14ac:dyDescent="0.3">
      <c r="B20" s="493">
        <v>42513</v>
      </c>
      <c r="C20" s="251" t="s">
        <v>210</v>
      </c>
      <c r="D20" s="278" t="s">
        <v>291</v>
      </c>
      <c r="E20" s="307" t="s">
        <v>136</v>
      </c>
      <c r="F20" s="508">
        <v>15610</v>
      </c>
    </row>
    <row r="21" spans="2:6" x14ac:dyDescent="0.3">
      <c r="B21" s="509" t="s">
        <v>578</v>
      </c>
      <c r="C21" s="251" t="s">
        <v>210</v>
      </c>
      <c r="D21" s="278" t="s">
        <v>611</v>
      </c>
      <c r="E21" s="504" t="s">
        <v>136</v>
      </c>
      <c r="F21" s="510">
        <v>210000</v>
      </c>
    </row>
    <row r="22" spans="2:6" x14ac:dyDescent="0.3">
      <c r="B22" s="509" t="s">
        <v>580</v>
      </c>
      <c r="C22" s="251" t="s">
        <v>210</v>
      </c>
      <c r="D22" s="278" t="s">
        <v>612</v>
      </c>
      <c r="E22" s="504" t="s">
        <v>136</v>
      </c>
      <c r="F22" s="510">
        <v>50000</v>
      </c>
    </row>
    <row r="23" spans="2:6" x14ac:dyDescent="0.3">
      <c r="B23" s="509" t="s">
        <v>580</v>
      </c>
      <c r="C23" s="251" t="s">
        <v>210</v>
      </c>
      <c r="D23" s="278" t="s">
        <v>613</v>
      </c>
      <c r="E23" s="504" t="s">
        <v>136</v>
      </c>
      <c r="F23" s="510">
        <v>100000</v>
      </c>
    </row>
    <row r="24" spans="2:6" x14ac:dyDescent="0.3">
      <c r="B24" s="511" t="s">
        <v>580</v>
      </c>
      <c r="C24" s="251" t="s">
        <v>210</v>
      </c>
      <c r="D24" s="521" t="s">
        <v>614</v>
      </c>
      <c r="E24" s="504" t="s">
        <v>136</v>
      </c>
      <c r="F24" s="510">
        <v>345000</v>
      </c>
    </row>
    <row r="25" spans="2:6" x14ac:dyDescent="0.3">
      <c r="B25" s="511" t="s">
        <v>610</v>
      </c>
      <c r="C25" s="251" t="s">
        <v>210</v>
      </c>
      <c r="D25" s="278" t="s">
        <v>615</v>
      </c>
      <c r="E25" s="504" t="s">
        <v>136</v>
      </c>
      <c r="F25" s="510">
        <v>200000</v>
      </c>
    </row>
    <row r="26" spans="2:6" x14ac:dyDescent="0.3">
      <c r="B26" s="509" t="s">
        <v>580</v>
      </c>
      <c r="C26" s="251" t="s">
        <v>210</v>
      </c>
      <c r="D26" s="278" t="s">
        <v>616</v>
      </c>
      <c r="E26" s="504" t="s">
        <v>136</v>
      </c>
      <c r="F26" s="510">
        <v>28300</v>
      </c>
    </row>
    <row r="27" spans="2:6" ht="16.5" thickBot="1" x14ac:dyDescent="0.35">
      <c r="B27" s="495"/>
      <c r="C27" s="314"/>
      <c r="D27" s="315"/>
      <c r="E27" s="496"/>
      <c r="F27" s="317">
        <v>0</v>
      </c>
    </row>
    <row r="28" spans="2:6" ht="16.5" thickBot="1" x14ac:dyDescent="0.35">
      <c r="F28" s="195">
        <f>SUM(F11:F27)</f>
        <v>1851311</v>
      </c>
    </row>
    <row r="29" spans="2:6" ht="16.5" thickBot="1" x14ac:dyDescent="0.35"/>
    <row r="30" spans="2:6" ht="20.25" thickBot="1" x14ac:dyDescent="0.4">
      <c r="B30" s="590" t="s">
        <v>242</v>
      </c>
      <c r="C30" s="591"/>
      <c r="D30" s="591"/>
      <c r="E30" s="591"/>
      <c r="F30" s="592"/>
    </row>
    <row r="31" spans="2:6" ht="16.5" thickBot="1" x14ac:dyDescent="0.35"/>
    <row r="32" spans="2:6" ht="16.5" thickBot="1" x14ac:dyDescent="0.35">
      <c r="B32" s="252" t="s">
        <v>67</v>
      </c>
      <c r="C32" s="253" t="s">
        <v>0</v>
      </c>
      <c r="D32" s="253" t="s">
        <v>9</v>
      </c>
      <c r="E32" s="253" t="s">
        <v>158</v>
      </c>
      <c r="F32" s="254" t="s">
        <v>68</v>
      </c>
    </row>
    <row r="33" spans="2:6" x14ac:dyDescent="0.3">
      <c r="B33" s="308">
        <v>42491</v>
      </c>
      <c r="C33" s="309" t="s">
        <v>213</v>
      </c>
      <c r="D33" s="520" t="s">
        <v>213</v>
      </c>
      <c r="E33" s="309" t="s">
        <v>243</v>
      </c>
      <c r="F33" s="310">
        <v>7100</v>
      </c>
    </row>
    <row r="34" spans="2:6" x14ac:dyDescent="0.3">
      <c r="B34" s="493">
        <v>42491</v>
      </c>
      <c r="C34" s="251" t="s">
        <v>218</v>
      </c>
      <c r="D34" s="278" t="s">
        <v>244</v>
      </c>
      <c r="E34" s="305" t="s">
        <v>243</v>
      </c>
      <c r="F34" s="311">
        <v>60000</v>
      </c>
    </row>
    <row r="35" spans="2:6" x14ac:dyDescent="0.3">
      <c r="B35" s="493">
        <v>42492</v>
      </c>
      <c r="C35" s="251" t="s">
        <v>213</v>
      </c>
      <c r="D35" s="278" t="s">
        <v>502</v>
      </c>
      <c r="E35" s="305" t="s">
        <v>243</v>
      </c>
      <c r="F35" s="311">
        <v>5000</v>
      </c>
    </row>
    <row r="36" spans="2:6" x14ac:dyDescent="0.3">
      <c r="B36" s="493">
        <v>42492</v>
      </c>
      <c r="C36" s="251" t="s">
        <v>218</v>
      </c>
      <c r="D36" s="278" t="s">
        <v>244</v>
      </c>
      <c r="E36" s="305" t="s">
        <v>243</v>
      </c>
      <c r="F36" s="311">
        <v>98981</v>
      </c>
    </row>
    <row r="37" spans="2:6" x14ac:dyDescent="0.3">
      <c r="B37" s="493">
        <v>42493</v>
      </c>
      <c r="C37" s="251" t="s">
        <v>213</v>
      </c>
      <c r="D37" s="278" t="s">
        <v>503</v>
      </c>
      <c r="E37" s="305" t="s">
        <v>243</v>
      </c>
      <c r="F37" s="311">
        <v>20400</v>
      </c>
    </row>
    <row r="38" spans="2:6" x14ac:dyDescent="0.3">
      <c r="B38" s="493">
        <v>42493</v>
      </c>
      <c r="C38" s="251" t="s">
        <v>216</v>
      </c>
      <c r="D38" s="278" t="s">
        <v>504</v>
      </c>
      <c r="E38" s="305" t="s">
        <v>243</v>
      </c>
      <c r="F38" s="311">
        <v>172226</v>
      </c>
    </row>
    <row r="39" spans="2:6" x14ac:dyDescent="0.3">
      <c r="B39" s="493">
        <v>42493</v>
      </c>
      <c r="C39" s="251" t="s">
        <v>217</v>
      </c>
      <c r="D39" s="278" t="s">
        <v>505</v>
      </c>
      <c r="E39" s="305" t="s">
        <v>243</v>
      </c>
      <c r="F39" s="311">
        <v>24600</v>
      </c>
    </row>
    <row r="40" spans="2:6" x14ac:dyDescent="0.3">
      <c r="B40" s="493">
        <v>42493</v>
      </c>
      <c r="C40" s="251" t="s">
        <v>223</v>
      </c>
      <c r="D40" s="278" t="s">
        <v>506</v>
      </c>
      <c r="E40" s="305" t="s">
        <v>243</v>
      </c>
      <c r="F40" s="311">
        <v>10000</v>
      </c>
    </row>
    <row r="41" spans="2:6" x14ac:dyDescent="0.3">
      <c r="B41" s="493">
        <v>42493</v>
      </c>
      <c r="C41" s="251" t="s">
        <v>217</v>
      </c>
      <c r="D41" s="278" t="s">
        <v>507</v>
      </c>
      <c r="E41" s="305" t="s">
        <v>243</v>
      </c>
      <c r="F41" s="311">
        <v>4500</v>
      </c>
    </row>
    <row r="42" spans="2:6" x14ac:dyDescent="0.3">
      <c r="B42" s="493">
        <v>42493</v>
      </c>
      <c r="C42" s="251" t="s">
        <v>220</v>
      </c>
      <c r="D42" s="278" t="s">
        <v>508</v>
      </c>
      <c r="E42" s="305" t="s">
        <v>243</v>
      </c>
      <c r="F42" s="311">
        <v>3000</v>
      </c>
    </row>
    <row r="43" spans="2:6" x14ac:dyDescent="0.3">
      <c r="B43" s="493">
        <v>42494</v>
      </c>
      <c r="C43" s="251" t="s">
        <v>217</v>
      </c>
      <c r="D43" s="278" t="s">
        <v>509</v>
      </c>
      <c r="E43" s="305" t="s">
        <v>243</v>
      </c>
      <c r="F43" s="311">
        <v>8000</v>
      </c>
    </row>
    <row r="44" spans="2:6" x14ac:dyDescent="0.3">
      <c r="B44" s="493">
        <v>42494</v>
      </c>
      <c r="C44" s="251" t="s">
        <v>212</v>
      </c>
      <c r="D44" s="278" t="s">
        <v>510</v>
      </c>
      <c r="E44" s="305" t="s">
        <v>243</v>
      </c>
      <c r="F44" s="311">
        <v>13700</v>
      </c>
    </row>
    <row r="45" spans="2:6" x14ac:dyDescent="0.3">
      <c r="B45" s="493">
        <v>42495</v>
      </c>
      <c r="C45" s="251" t="s">
        <v>213</v>
      </c>
      <c r="D45" s="278" t="s">
        <v>503</v>
      </c>
      <c r="E45" s="305" t="s">
        <v>243</v>
      </c>
      <c r="F45" s="311">
        <v>20400</v>
      </c>
    </row>
    <row r="46" spans="2:6" x14ac:dyDescent="0.3">
      <c r="B46" s="493">
        <v>42496</v>
      </c>
      <c r="C46" s="251" t="s">
        <v>214</v>
      </c>
      <c r="D46" s="278" t="s">
        <v>511</v>
      </c>
      <c r="E46" s="305" t="s">
        <v>243</v>
      </c>
      <c r="F46" s="311">
        <v>2850</v>
      </c>
    </row>
    <row r="47" spans="2:6" x14ac:dyDescent="0.3">
      <c r="B47" s="493">
        <v>42496</v>
      </c>
      <c r="C47" s="251" t="s">
        <v>214</v>
      </c>
      <c r="D47" s="278" t="s">
        <v>511</v>
      </c>
      <c r="E47" s="305" t="s">
        <v>243</v>
      </c>
      <c r="F47" s="311">
        <v>4500</v>
      </c>
    </row>
    <row r="48" spans="2:6" x14ac:dyDescent="0.3">
      <c r="B48" s="493">
        <v>42496</v>
      </c>
      <c r="C48" s="251" t="s">
        <v>512</v>
      </c>
      <c r="D48" s="278" t="s">
        <v>513</v>
      </c>
      <c r="E48" s="305" t="s">
        <v>243</v>
      </c>
      <c r="F48" s="311">
        <v>39000</v>
      </c>
    </row>
    <row r="49" spans="2:6" x14ac:dyDescent="0.3">
      <c r="B49" s="493">
        <v>42496</v>
      </c>
      <c r="C49" s="251" t="s">
        <v>222</v>
      </c>
      <c r="D49" s="278" t="s">
        <v>514</v>
      </c>
      <c r="E49" s="305" t="s">
        <v>243</v>
      </c>
      <c r="F49" s="311">
        <v>17000</v>
      </c>
    </row>
    <row r="50" spans="2:6" x14ac:dyDescent="0.3">
      <c r="B50" s="493">
        <v>42496</v>
      </c>
      <c r="C50" s="251" t="s">
        <v>218</v>
      </c>
      <c r="D50" s="278" t="s">
        <v>244</v>
      </c>
      <c r="E50" s="305" t="s">
        <v>243</v>
      </c>
      <c r="F50" s="311">
        <v>100000</v>
      </c>
    </row>
    <row r="51" spans="2:6" x14ac:dyDescent="0.3">
      <c r="B51" s="493">
        <v>42497</v>
      </c>
      <c r="C51" s="251" t="s">
        <v>217</v>
      </c>
      <c r="D51" s="278" t="s">
        <v>515</v>
      </c>
      <c r="E51" s="305" t="s">
        <v>243</v>
      </c>
      <c r="F51" s="311">
        <v>302900</v>
      </c>
    </row>
    <row r="52" spans="2:6" x14ac:dyDescent="0.3">
      <c r="B52" s="493">
        <v>42498</v>
      </c>
      <c r="C52" s="251" t="s">
        <v>220</v>
      </c>
      <c r="D52" s="278" t="s">
        <v>516</v>
      </c>
      <c r="E52" s="305" t="s">
        <v>243</v>
      </c>
      <c r="F52" s="311">
        <v>12000</v>
      </c>
    </row>
    <row r="53" spans="2:6" x14ac:dyDescent="0.3">
      <c r="B53" s="493">
        <v>42500</v>
      </c>
      <c r="C53" s="251" t="s">
        <v>217</v>
      </c>
      <c r="D53" s="278" t="s">
        <v>517</v>
      </c>
      <c r="E53" s="305" t="s">
        <v>243</v>
      </c>
      <c r="F53" s="311">
        <v>8000</v>
      </c>
    </row>
    <row r="54" spans="2:6" x14ac:dyDescent="0.3">
      <c r="B54" s="493">
        <v>42500</v>
      </c>
      <c r="C54" s="251" t="s">
        <v>212</v>
      </c>
      <c r="D54" s="278" t="s">
        <v>518</v>
      </c>
      <c r="E54" s="305" t="s">
        <v>243</v>
      </c>
      <c r="F54" s="311">
        <v>22400</v>
      </c>
    </row>
    <row r="55" spans="2:6" x14ac:dyDescent="0.3">
      <c r="B55" s="493">
        <v>42501</v>
      </c>
      <c r="C55" s="306" t="s">
        <v>512</v>
      </c>
      <c r="D55" s="521" t="s">
        <v>519</v>
      </c>
      <c r="E55" s="305" t="s">
        <v>243</v>
      </c>
      <c r="F55" s="311">
        <v>44138</v>
      </c>
    </row>
    <row r="56" spans="2:6" x14ac:dyDescent="0.3">
      <c r="B56" s="493">
        <v>42501</v>
      </c>
      <c r="C56" s="306" t="s">
        <v>213</v>
      </c>
      <c r="D56" s="521" t="s">
        <v>520</v>
      </c>
      <c r="E56" s="305" t="s">
        <v>243</v>
      </c>
      <c r="F56" s="311">
        <v>10200</v>
      </c>
    </row>
    <row r="57" spans="2:6" x14ac:dyDescent="0.3">
      <c r="B57" s="493">
        <v>42501</v>
      </c>
      <c r="C57" s="306" t="s">
        <v>220</v>
      </c>
      <c r="D57" s="521" t="s">
        <v>521</v>
      </c>
      <c r="E57" s="305" t="s">
        <v>243</v>
      </c>
      <c r="F57" s="311">
        <v>15000</v>
      </c>
    </row>
    <row r="58" spans="2:6" x14ac:dyDescent="0.3">
      <c r="B58" s="512">
        <v>42501</v>
      </c>
      <c r="C58" s="498" t="s">
        <v>213</v>
      </c>
      <c r="D58" s="426" t="s">
        <v>522</v>
      </c>
      <c r="E58" s="498" t="s">
        <v>243</v>
      </c>
      <c r="F58" s="312">
        <v>20400</v>
      </c>
    </row>
    <row r="59" spans="2:6" x14ac:dyDescent="0.3">
      <c r="B59" s="512">
        <v>42501</v>
      </c>
      <c r="C59" s="498" t="s">
        <v>213</v>
      </c>
      <c r="D59" s="426" t="s">
        <v>248</v>
      </c>
      <c r="E59" s="498" t="s">
        <v>243</v>
      </c>
      <c r="F59" s="312">
        <v>7100</v>
      </c>
    </row>
    <row r="60" spans="2:6" x14ac:dyDescent="0.3">
      <c r="B60" s="512">
        <v>42501</v>
      </c>
      <c r="C60" s="498" t="s">
        <v>219</v>
      </c>
      <c r="D60" s="426" t="s">
        <v>523</v>
      </c>
      <c r="E60" s="498" t="s">
        <v>243</v>
      </c>
      <c r="F60" s="312">
        <v>200000</v>
      </c>
    </row>
    <row r="61" spans="2:6" x14ac:dyDescent="0.3">
      <c r="B61" s="512">
        <v>42501</v>
      </c>
      <c r="C61" s="498" t="s">
        <v>524</v>
      </c>
      <c r="D61" s="426" t="s">
        <v>525</v>
      </c>
      <c r="E61" s="498" t="s">
        <v>243</v>
      </c>
      <c r="F61" s="312">
        <v>30000</v>
      </c>
    </row>
    <row r="62" spans="2:6" x14ac:dyDescent="0.3">
      <c r="B62" s="512">
        <v>42501</v>
      </c>
      <c r="C62" s="499" t="s">
        <v>217</v>
      </c>
      <c r="D62" s="426" t="s">
        <v>526</v>
      </c>
      <c r="E62" s="499" t="s">
        <v>243</v>
      </c>
      <c r="F62" s="312">
        <v>30380</v>
      </c>
    </row>
    <row r="63" spans="2:6" x14ac:dyDescent="0.3">
      <c r="B63" s="512">
        <v>42502</v>
      </c>
      <c r="C63" s="499" t="s">
        <v>217</v>
      </c>
      <c r="D63" s="522" t="s">
        <v>527</v>
      </c>
      <c r="E63" s="499" t="s">
        <v>243</v>
      </c>
      <c r="F63" s="312">
        <v>300000</v>
      </c>
    </row>
    <row r="64" spans="2:6" x14ac:dyDescent="0.3">
      <c r="B64" s="512">
        <v>42502</v>
      </c>
      <c r="C64" s="499" t="s">
        <v>222</v>
      </c>
      <c r="D64" s="522" t="s">
        <v>528</v>
      </c>
      <c r="E64" s="499" t="s">
        <v>243</v>
      </c>
      <c r="F64" s="513">
        <v>9000</v>
      </c>
    </row>
    <row r="65" spans="2:6" x14ac:dyDescent="0.3">
      <c r="B65" s="512">
        <v>42503</v>
      </c>
      <c r="C65" s="500" t="s">
        <v>213</v>
      </c>
      <c r="D65" s="523" t="s">
        <v>213</v>
      </c>
      <c r="E65" s="499" t="s">
        <v>243</v>
      </c>
      <c r="F65" s="513">
        <v>2300</v>
      </c>
    </row>
    <row r="66" spans="2:6" x14ac:dyDescent="0.3">
      <c r="B66" s="512">
        <v>42503</v>
      </c>
      <c r="C66" s="246" t="s">
        <v>220</v>
      </c>
      <c r="D66" s="524" t="s">
        <v>529</v>
      </c>
      <c r="E66" s="499" t="s">
        <v>243</v>
      </c>
      <c r="F66" s="513">
        <v>4000</v>
      </c>
    </row>
    <row r="67" spans="2:6" x14ac:dyDescent="0.3">
      <c r="B67" s="512">
        <v>42504</v>
      </c>
      <c r="C67" s="246" t="s">
        <v>213</v>
      </c>
      <c r="D67" s="523" t="s">
        <v>213</v>
      </c>
      <c r="E67" s="499" t="s">
        <v>243</v>
      </c>
      <c r="F67" s="312">
        <v>10200</v>
      </c>
    </row>
    <row r="68" spans="2:6" x14ac:dyDescent="0.3">
      <c r="B68" s="512">
        <v>42504</v>
      </c>
      <c r="C68" s="246" t="s">
        <v>213</v>
      </c>
      <c r="D68" s="523" t="s">
        <v>213</v>
      </c>
      <c r="E68" s="499" t="s">
        <v>243</v>
      </c>
      <c r="F68" s="312">
        <v>7100</v>
      </c>
    </row>
    <row r="69" spans="2:6" x14ac:dyDescent="0.3">
      <c r="B69" s="512">
        <v>42504</v>
      </c>
      <c r="C69" s="246" t="s">
        <v>524</v>
      </c>
      <c r="D69" s="523" t="s">
        <v>525</v>
      </c>
      <c r="E69" s="499" t="s">
        <v>243</v>
      </c>
      <c r="F69" s="312">
        <v>100000</v>
      </c>
    </row>
    <row r="70" spans="2:6" x14ac:dyDescent="0.3">
      <c r="B70" s="512">
        <v>42504</v>
      </c>
      <c r="C70" s="246" t="s">
        <v>216</v>
      </c>
      <c r="D70" s="523" t="s">
        <v>530</v>
      </c>
      <c r="E70" s="499" t="s">
        <v>243</v>
      </c>
      <c r="F70" s="312">
        <v>172200</v>
      </c>
    </row>
    <row r="71" spans="2:6" x14ac:dyDescent="0.3">
      <c r="B71" s="512">
        <v>42505</v>
      </c>
      <c r="C71" s="246" t="s">
        <v>218</v>
      </c>
      <c r="D71" s="523" t="s">
        <v>531</v>
      </c>
      <c r="E71" s="499" t="s">
        <v>243</v>
      </c>
      <c r="F71" s="312">
        <v>120014</v>
      </c>
    </row>
    <row r="72" spans="2:6" x14ac:dyDescent="0.3">
      <c r="B72" s="512">
        <v>42506</v>
      </c>
      <c r="C72" s="246" t="s">
        <v>213</v>
      </c>
      <c r="D72" s="426" t="s">
        <v>213</v>
      </c>
      <c r="E72" s="499" t="s">
        <v>243</v>
      </c>
      <c r="F72" s="312">
        <v>2500</v>
      </c>
    </row>
    <row r="73" spans="2:6" x14ac:dyDescent="0.3">
      <c r="B73" s="512">
        <v>42506</v>
      </c>
      <c r="C73" s="246" t="s">
        <v>213</v>
      </c>
      <c r="D73" s="426" t="s">
        <v>213</v>
      </c>
      <c r="E73" s="499" t="s">
        <v>243</v>
      </c>
      <c r="F73" s="312">
        <v>2300</v>
      </c>
    </row>
    <row r="74" spans="2:6" x14ac:dyDescent="0.3">
      <c r="B74" s="512">
        <v>42507</v>
      </c>
      <c r="C74" s="246" t="s">
        <v>213</v>
      </c>
      <c r="D74" s="426" t="s">
        <v>213</v>
      </c>
      <c r="E74" s="497" t="s">
        <v>243</v>
      </c>
      <c r="F74" s="312">
        <v>10200</v>
      </c>
    </row>
    <row r="75" spans="2:6" x14ac:dyDescent="0.3">
      <c r="B75" s="512">
        <v>42507</v>
      </c>
      <c r="C75" s="501" t="s">
        <v>213</v>
      </c>
      <c r="D75" s="426" t="s">
        <v>213</v>
      </c>
      <c r="E75" s="497" t="s">
        <v>243</v>
      </c>
      <c r="F75" s="312">
        <v>7100</v>
      </c>
    </row>
    <row r="76" spans="2:6" x14ac:dyDescent="0.3">
      <c r="B76" s="512">
        <v>42508</v>
      </c>
      <c r="C76" s="246" t="s">
        <v>212</v>
      </c>
      <c r="D76" s="426" t="s">
        <v>245</v>
      </c>
      <c r="E76" s="497" t="s">
        <v>243</v>
      </c>
      <c r="F76" s="312">
        <v>8000</v>
      </c>
    </row>
    <row r="77" spans="2:6" x14ac:dyDescent="0.3">
      <c r="B77" s="512">
        <v>42508</v>
      </c>
      <c r="C77" s="246" t="s">
        <v>222</v>
      </c>
      <c r="D77" s="426" t="s">
        <v>532</v>
      </c>
      <c r="E77" s="497" t="s">
        <v>243</v>
      </c>
      <c r="F77" s="312">
        <v>12000</v>
      </c>
    </row>
    <row r="78" spans="2:6" x14ac:dyDescent="0.3">
      <c r="B78" s="512">
        <v>42508</v>
      </c>
      <c r="C78" s="246" t="s">
        <v>222</v>
      </c>
      <c r="D78" s="426" t="s">
        <v>533</v>
      </c>
      <c r="E78" s="497" t="s">
        <v>243</v>
      </c>
      <c r="F78" s="312">
        <v>18000</v>
      </c>
    </row>
    <row r="79" spans="2:6" x14ac:dyDescent="0.3">
      <c r="B79" s="512">
        <v>42508</v>
      </c>
      <c r="C79" s="246" t="s">
        <v>220</v>
      </c>
      <c r="D79" s="426" t="s">
        <v>534</v>
      </c>
      <c r="E79" s="497" t="s">
        <v>243</v>
      </c>
      <c r="F79" s="312">
        <v>8000</v>
      </c>
    </row>
    <row r="80" spans="2:6" x14ac:dyDescent="0.3">
      <c r="B80" s="512">
        <v>42508</v>
      </c>
      <c r="C80" s="246" t="s">
        <v>217</v>
      </c>
      <c r="D80" s="426" t="s">
        <v>535</v>
      </c>
      <c r="E80" s="497" t="s">
        <v>243</v>
      </c>
      <c r="F80" s="312">
        <v>256000</v>
      </c>
    </row>
    <row r="81" spans="2:6" x14ac:dyDescent="0.3">
      <c r="B81" s="512">
        <v>42509</v>
      </c>
      <c r="C81" s="246" t="s">
        <v>218</v>
      </c>
      <c r="D81" s="426" t="s">
        <v>531</v>
      </c>
      <c r="E81" s="497" t="s">
        <v>243</v>
      </c>
      <c r="F81" s="312">
        <v>128510</v>
      </c>
    </row>
    <row r="82" spans="2:6" x14ac:dyDescent="0.3">
      <c r="B82" s="512">
        <v>42509</v>
      </c>
      <c r="C82" s="246" t="s">
        <v>213</v>
      </c>
      <c r="D82" s="426" t="s">
        <v>536</v>
      </c>
      <c r="E82" s="497" t="s">
        <v>243</v>
      </c>
      <c r="F82" s="312">
        <v>7100</v>
      </c>
    </row>
    <row r="83" spans="2:6" x14ac:dyDescent="0.3">
      <c r="B83" s="512">
        <v>42509</v>
      </c>
      <c r="C83" s="498" t="s">
        <v>537</v>
      </c>
      <c r="D83" s="426" t="s">
        <v>538</v>
      </c>
      <c r="E83" s="498" t="s">
        <v>243</v>
      </c>
      <c r="F83" s="311">
        <v>13900</v>
      </c>
    </row>
    <row r="84" spans="2:6" x14ac:dyDescent="0.3">
      <c r="B84" s="512">
        <v>42509</v>
      </c>
      <c r="C84" s="498" t="s">
        <v>539</v>
      </c>
      <c r="D84" s="426" t="s">
        <v>540</v>
      </c>
      <c r="E84" s="498" t="s">
        <v>243</v>
      </c>
      <c r="F84" s="311">
        <v>2000</v>
      </c>
    </row>
    <row r="85" spans="2:6" x14ac:dyDescent="0.3">
      <c r="B85" s="512">
        <v>42509</v>
      </c>
      <c r="C85" s="498" t="s">
        <v>539</v>
      </c>
      <c r="D85" s="426" t="s">
        <v>541</v>
      </c>
      <c r="E85" s="498" t="s">
        <v>243</v>
      </c>
      <c r="F85" s="311">
        <v>10000</v>
      </c>
    </row>
    <row r="86" spans="2:6" x14ac:dyDescent="0.3">
      <c r="B86" s="512">
        <v>42509</v>
      </c>
      <c r="C86" s="498" t="s">
        <v>542</v>
      </c>
      <c r="D86" s="426" t="s">
        <v>213</v>
      </c>
      <c r="E86" s="498" t="s">
        <v>243</v>
      </c>
      <c r="F86" s="311">
        <v>10200</v>
      </c>
    </row>
    <row r="87" spans="2:6" x14ac:dyDescent="0.3">
      <c r="B87" s="512">
        <v>42509</v>
      </c>
      <c r="C87" s="498" t="s">
        <v>542</v>
      </c>
      <c r="D87" s="426" t="s">
        <v>213</v>
      </c>
      <c r="E87" s="498" t="s">
        <v>243</v>
      </c>
      <c r="F87" s="311">
        <v>2500</v>
      </c>
    </row>
    <row r="88" spans="2:6" x14ac:dyDescent="0.3">
      <c r="B88" s="512">
        <v>42510</v>
      </c>
      <c r="C88" s="499" t="s">
        <v>543</v>
      </c>
      <c r="D88" s="426" t="s">
        <v>544</v>
      </c>
      <c r="E88" s="498" t="s">
        <v>243</v>
      </c>
      <c r="F88" s="311">
        <v>320000</v>
      </c>
    </row>
    <row r="89" spans="2:6" x14ac:dyDescent="0.3">
      <c r="B89" s="512">
        <v>42510</v>
      </c>
      <c r="C89" s="499" t="s">
        <v>545</v>
      </c>
      <c r="D89" s="426" t="s">
        <v>546</v>
      </c>
      <c r="E89" s="498" t="s">
        <v>243</v>
      </c>
      <c r="F89" s="494">
        <v>238600</v>
      </c>
    </row>
    <row r="90" spans="2:6" x14ac:dyDescent="0.3">
      <c r="B90" s="512">
        <v>42510</v>
      </c>
      <c r="C90" s="500" t="s">
        <v>547</v>
      </c>
      <c r="D90" s="523" t="s">
        <v>548</v>
      </c>
      <c r="E90" s="498" t="s">
        <v>243</v>
      </c>
      <c r="F90" s="494">
        <v>52000</v>
      </c>
    </row>
    <row r="91" spans="2:6" x14ac:dyDescent="0.3">
      <c r="B91" s="512">
        <v>42510</v>
      </c>
      <c r="C91" s="246" t="s">
        <v>539</v>
      </c>
      <c r="D91" s="524" t="s">
        <v>549</v>
      </c>
      <c r="E91" s="498" t="s">
        <v>243</v>
      </c>
      <c r="F91" s="494">
        <v>17000</v>
      </c>
    </row>
    <row r="92" spans="2:6" x14ac:dyDescent="0.3">
      <c r="B92" s="512">
        <v>42510</v>
      </c>
      <c r="C92" s="246" t="s">
        <v>539</v>
      </c>
      <c r="D92" s="523" t="s">
        <v>550</v>
      </c>
      <c r="E92" s="498" t="s">
        <v>243</v>
      </c>
      <c r="F92" s="311">
        <v>18000</v>
      </c>
    </row>
    <row r="93" spans="2:6" x14ac:dyDescent="0.3">
      <c r="B93" s="512">
        <v>42510</v>
      </c>
      <c r="C93" s="246" t="s">
        <v>539</v>
      </c>
      <c r="D93" s="523" t="s">
        <v>551</v>
      </c>
      <c r="E93" s="498" t="s">
        <v>243</v>
      </c>
      <c r="F93" s="311">
        <v>27000</v>
      </c>
    </row>
    <row r="94" spans="2:6" x14ac:dyDescent="0.3">
      <c r="B94" s="512">
        <v>42510</v>
      </c>
      <c r="C94" s="246" t="s">
        <v>552</v>
      </c>
      <c r="D94" s="523" t="s">
        <v>553</v>
      </c>
      <c r="E94" s="498" t="s">
        <v>243</v>
      </c>
      <c r="F94" s="311">
        <v>5010</v>
      </c>
    </row>
    <row r="95" spans="2:6" x14ac:dyDescent="0.3">
      <c r="B95" s="512">
        <v>42510</v>
      </c>
      <c r="C95" s="246" t="s">
        <v>554</v>
      </c>
      <c r="D95" s="523" t="s">
        <v>555</v>
      </c>
      <c r="E95" s="498" t="s">
        <v>243</v>
      </c>
      <c r="F95" s="311">
        <v>5800</v>
      </c>
    </row>
    <row r="96" spans="2:6" x14ac:dyDescent="0.3">
      <c r="B96" s="512">
        <v>42510</v>
      </c>
      <c r="C96" s="246" t="s">
        <v>247</v>
      </c>
      <c r="D96" s="523" t="s">
        <v>556</v>
      </c>
      <c r="E96" s="498" t="s">
        <v>243</v>
      </c>
      <c r="F96" s="311">
        <v>320000</v>
      </c>
    </row>
    <row r="97" spans="2:6" x14ac:dyDescent="0.3">
      <c r="B97" s="512">
        <v>42513</v>
      </c>
      <c r="C97" s="246" t="s">
        <v>557</v>
      </c>
      <c r="D97" s="523" t="s">
        <v>558</v>
      </c>
      <c r="E97" s="498" t="s">
        <v>243</v>
      </c>
      <c r="F97" s="311">
        <v>34650</v>
      </c>
    </row>
    <row r="98" spans="2:6" x14ac:dyDescent="0.3">
      <c r="B98" s="512">
        <v>42511</v>
      </c>
      <c r="C98" s="246" t="s">
        <v>559</v>
      </c>
      <c r="D98" s="426" t="s">
        <v>560</v>
      </c>
      <c r="E98" s="498" t="s">
        <v>243</v>
      </c>
      <c r="F98" s="311">
        <v>3000</v>
      </c>
    </row>
    <row r="99" spans="2:6" x14ac:dyDescent="0.3">
      <c r="B99" s="514">
        <v>42511</v>
      </c>
      <c r="C99" s="500" t="s">
        <v>557</v>
      </c>
      <c r="D99" s="525" t="s">
        <v>561</v>
      </c>
      <c r="E99" s="498" t="s">
        <v>243</v>
      </c>
      <c r="F99" s="311">
        <v>26773</v>
      </c>
    </row>
    <row r="100" spans="2:6" x14ac:dyDescent="0.3">
      <c r="B100" s="514">
        <v>42511</v>
      </c>
      <c r="C100" s="502" t="s">
        <v>557</v>
      </c>
      <c r="D100" s="426" t="s">
        <v>562</v>
      </c>
      <c r="E100" s="498" t="s">
        <v>243</v>
      </c>
      <c r="F100" s="311">
        <v>40000</v>
      </c>
    </row>
    <row r="101" spans="2:6" x14ac:dyDescent="0.3">
      <c r="B101" s="255">
        <v>42511</v>
      </c>
      <c r="C101" s="498" t="s">
        <v>542</v>
      </c>
      <c r="D101" s="426" t="s">
        <v>563</v>
      </c>
      <c r="E101" s="498" t="s">
        <v>243</v>
      </c>
      <c r="F101" s="311">
        <v>8200</v>
      </c>
    </row>
    <row r="102" spans="2:6" x14ac:dyDescent="0.3">
      <c r="B102" s="512">
        <v>42511</v>
      </c>
      <c r="C102" s="498" t="s">
        <v>542</v>
      </c>
      <c r="D102" s="426" t="s">
        <v>213</v>
      </c>
      <c r="E102" s="498" t="s">
        <v>243</v>
      </c>
      <c r="F102" s="311">
        <v>7100</v>
      </c>
    </row>
    <row r="103" spans="2:6" x14ac:dyDescent="0.3">
      <c r="B103" s="512">
        <v>42511</v>
      </c>
      <c r="C103" s="498" t="s">
        <v>542</v>
      </c>
      <c r="D103" s="426" t="s">
        <v>213</v>
      </c>
      <c r="E103" s="498" t="s">
        <v>243</v>
      </c>
      <c r="F103" s="311">
        <v>10200</v>
      </c>
    </row>
    <row r="104" spans="2:6" x14ac:dyDescent="0.3">
      <c r="B104" s="512">
        <v>42509</v>
      </c>
      <c r="C104" s="246" t="s">
        <v>564</v>
      </c>
      <c r="D104" s="426" t="s">
        <v>564</v>
      </c>
      <c r="E104" s="498" t="s">
        <v>243</v>
      </c>
      <c r="F104" s="311">
        <v>3300</v>
      </c>
    </row>
    <row r="105" spans="2:6" x14ac:dyDescent="0.3">
      <c r="B105" s="512">
        <v>42495</v>
      </c>
      <c r="C105" s="246" t="s">
        <v>215</v>
      </c>
      <c r="D105" s="426" t="s">
        <v>565</v>
      </c>
      <c r="E105" s="498" t="s">
        <v>243</v>
      </c>
      <c r="F105" s="311">
        <v>4600</v>
      </c>
    </row>
    <row r="106" spans="2:6" x14ac:dyDescent="0.3">
      <c r="B106" s="512">
        <v>42512</v>
      </c>
      <c r="C106" s="498" t="s">
        <v>542</v>
      </c>
      <c r="D106" s="426" t="s">
        <v>213</v>
      </c>
      <c r="E106" s="498" t="s">
        <v>243</v>
      </c>
      <c r="F106" s="311">
        <v>2300</v>
      </c>
    </row>
    <row r="107" spans="2:6" x14ac:dyDescent="0.3">
      <c r="B107" s="512">
        <v>42511</v>
      </c>
      <c r="C107" s="246" t="s">
        <v>539</v>
      </c>
      <c r="D107" s="426" t="s">
        <v>566</v>
      </c>
      <c r="E107" s="498" t="s">
        <v>243</v>
      </c>
      <c r="F107" s="311">
        <v>13000</v>
      </c>
    </row>
    <row r="108" spans="2:6" x14ac:dyDescent="0.3">
      <c r="B108" s="512">
        <v>42513</v>
      </c>
      <c r="C108" s="246" t="s">
        <v>557</v>
      </c>
      <c r="D108" s="426" t="s">
        <v>567</v>
      </c>
      <c r="E108" s="498" t="s">
        <v>243</v>
      </c>
      <c r="F108" s="515">
        <v>9000</v>
      </c>
    </row>
    <row r="109" spans="2:6" x14ac:dyDescent="0.3">
      <c r="B109" s="512">
        <v>42514</v>
      </c>
      <c r="C109" s="246" t="s">
        <v>568</v>
      </c>
      <c r="D109" s="426" t="s">
        <v>569</v>
      </c>
      <c r="E109" s="498" t="s">
        <v>243</v>
      </c>
      <c r="F109" s="508">
        <v>9500</v>
      </c>
    </row>
    <row r="110" spans="2:6" x14ac:dyDescent="0.3">
      <c r="B110" s="512">
        <v>42514</v>
      </c>
      <c r="C110" s="246" t="s">
        <v>570</v>
      </c>
      <c r="D110" s="426" t="s">
        <v>571</v>
      </c>
      <c r="E110" s="498" t="s">
        <v>243</v>
      </c>
      <c r="F110" s="508">
        <v>105000</v>
      </c>
    </row>
    <row r="111" spans="2:6" x14ac:dyDescent="0.3">
      <c r="B111" s="512">
        <v>42515</v>
      </c>
      <c r="C111" s="246" t="s">
        <v>557</v>
      </c>
      <c r="D111" s="426" t="s">
        <v>572</v>
      </c>
      <c r="E111" s="498" t="s">
        <v>243</v>
      </c>
      <c r="F111" s="508">
        <v>50000</v>
      </c>
    </row>
    <row r="112" spans="2:6" x14ac:dyDescent="0.3">
      <c r="B112" s="512">
        <v>42515</v>
      </c>
      <c r="C112" s="498" t="s">
        <v>542</v>
      </c>
      <c r="D112" s="426" t="s">
        <v>213</v>
      </c>
      <c r="E112" s="498" t="s">
        <v>243</v>
      </c>
      <c r="F112" s="508">
        <v>7100</v>
      </c>
    </row>
    <row r="113" spans="2:6" x14ac:dyDescent="0.3">
      <c r="B113" s="512">
        <v>42515</v>
      </c>
      <c r="C113" s="498" t="s">
        <v>542</v>
      </c>
      <c r="D113" s="426" t="s">
        <v>213</v>
      </c>
      <c r="E113" s="498" t="s">
        <v>243</v>
      </c>
      <c r="F113" s="508">
        <v>10200</v>
      </c>
    </row>
    <row r="114" spans="2:6" x14ac:dyDescent="0.3">
      <c r="B114" s="512">
        <v>42515</v>
      </c>
      <c r="C114" s="498" t="s">
        <v>542</v>
      </c>
      <c r="D114" s="426" t="s">
        <v>213</v>
      </c>
      <c r="E114" s="498" t="s">
        <v>243</v>
      </c>
      <c r="F114" s="508">
        <v>2300</v>
      </c>
    </row>
    <row r="115" spans="2:6" x14ac:dyDescent="0.3">
      <c r="B115" s="512">
        <v>42515</v>
      </c>
      <c r="C115" s="498" t="s">
        <v>547</v>
      </c>
      <c r="D115" s="426" t="s">
        <v>573</v>
      </c>
      <c r="E115" s="498" t="s">
        <v>243</v>
      </c>
      <c r="F115" s="508">
        <v>4800</v>
      </c>
    </row>
    <row r="116" spans="2:6" x14ac:dyDescent="0.3">
      <c r="B116" s="512">
        <v>42515</v>
      </c>
      <c r="C116" s="498" t="s">
        <v>574</v>
      </c>
      <c r="D116" s="426" t="s">
        <v>575</v>
      </c>
      <c r="E116" s="498" t="s">
        <v>243</v>
      </c>
      <c r="F116" s="508">
        <v>207060</v>
      </c>
    </row>
    <row r="117" spans="2:6" x14ac:dyDescent="0.3">
      <c r="B117" s="255">
        <v>42515</v>
      </c>
      <c r="C117" s="250" t="s">
        <v>576</v>
      </c>
      <c r="D117" s="523" t="s">
        <v>577</v>
      </c>
      <c r="E117" s="498" t="s">
        <v>243</v>
      </c>
      <c r="F117" s="508">
        <v>297276</v>
      </c>
    </row>
    <row r="118" spans="2:6" x14ac:dyDescent="0.3">
      <c r="B118" s="255">
        <v>42515</v>
      </c>
      <c r="C118" s="250" t="s">
        <v>246</v>
      </c>
      <c r="D118" s="523" t="s">
        <v>373</v>
      </c>
      <c r="E118" s="498" t="s">
        <v>243</v>
      </c>
      <c r="F118" s="508">
        <v>37021</v>
      </c>
    </row>
    <row r="119" spans="2:6" x14ac:dyDescent="0.3">
      <c r="B119" s="509" t="s">
        <v>578</v>
      </c>
      <c r="C119" s="251" t="s">
        <v>213</v>
      </c>
      <c r="D119" s="278" t="s">
        <v>579</v>
      </c>
      <c r="E119" s="504" t="s">
        <v>243</v>
      </c>
      <c r="F119" s="510">
        <v>2300</v>
      </c>
    </row>
    <row r="120" spans="2:6" x14ac:dyDescent="0.3">
      <c r="B120" s="509" t="s">
        <v>578</v>
      </c>
      <c r="C120" s="251" t="s">
        <v>213</v>
      </c>
      <c r="D120" s="278" t="s">
        <v>579</v>
      </c>
      <c r="E120" s="504" t="s">
        <v>243</v>
      </c>
      <c r="F120" s="510">
        <v>2300</v>
      </c>
    </row>
    <row r="121" spans="2:6" x14ac:dyDescent="0.3">
      <c r="B121" s="516" t="s">
        <v>580</v>
      </c>
      <c r="C121" s="251" t="s">
        <v>213</v>
      </c>
      <c r="D121" s="278" t="s">
        <v>581</v>
      </c>
      <c r="E121" s="504" t="s">
        <v>243</v>
      </c>
      <c r="F121" s="517">
        <v>2500</v>
      </c>
    </row>
    <row r="122" spans="2:6" x14ac:dyDescent="0.3">
      <c r="B122" s="516" t="s">
        <v>580</v>
      </c>
      <c r="C122" s="251" t="s">
        <v>213</v>
      </c>
      <c r="D122" s="278" t="s">
        <v>582</v>
      </c>
      <c r="E122" s="504" t="s">
        <v>243</v>
      </c>
      <c r="F122" s="510">
        <v>7100</v>
      </c>
    </row>
    <row r="123" spans="2:6" x14ac:dyDescent="0.3">
      <c r="B123" s="516" t="s">
        <v>580</v>
      </c>
      <c r="C123" s="251" t="s">
        <v>213</v>
      </c>
      <c r="D123" s="278" t="s">
        <v>582</v>
      </c>
      <c r="E123" s="504" t="s">
        <v>243</v>
      </c>
      <c r="F123" s="510">
        <v>7100</v>
      </c>
    </row>
    <row r="124" spans="2:6" x14ac:dyDescent="0.3">
      <c r="B124" s="511" t="s">
        <v>580</v>
      </c>
      <c r="C124" s="505" t="s">
        <v>583</v>
      </c>
      <c r="D124" s="526" t="s">
        <v>583</v>
      </c>
      <c r="E124" s="504" t="s">
        <v>243</v>
      </c>
      <c r="F124" s="510">
        <v>20000</v>
      </c>
    </row>
    <row r="125" spans="2:6" x14ac:dyDescent="0.3">
      <c r="B125" s="511" t="s">
        <v>580</v>
      </c>
      <c r="C125" s="306" t="s">
        <v>217</v>
      </c>
      <c r="D125" s="521" t="s">
        <v>584</v>
      </c>
      <c r="E125" s="504" t="s">
        <v>243</v>
      </c>
      <c r="F125" s="517">
        <v>25000</v>
      </c>
    </row>
    <row r="126" spans="2:6" x14ac:dyDescent="0.3">
      <c r="B126" s="511" t="s">
        <v>585</v>
      </c>
      <c r="C126" s="306" t="s">
        <v>582</v>
      </c>
      <c r="D126" s="521" t="s">
        <v>582</v>
      </c>
      <c r="E126" s="504" t="s">
        <v>243</v>
      </c>
      <c r="F126" s="510">
        <v>7100</v>
      </c>
    </row>
    <row r="127" spans="2:6" x14ac:dyDescent="0.3">
      <c r="B127" s="511" t="s">
        <v>585</v>
      </c>
      <c r="C127" s="306" t="s">
        <v>582</v>
      </c>
      <c r="D127" s="521" t="s">
        <v>582</v>
      </c>
      <c r="E127" s="504" t="s">
        <v>243</v>
      </c>
      <c r="F127" s="510">
        <v>10200</v>
      </c>
    </row>
    <row r="128" spans="2:6" x14ac:dyDescent="0.3">
      <c r="B128" s="511" t="s">
        <v>585</v>
      </c>
      <c r="C128" s="306" t="s">
        <v>28</v>
      </c>
      <c r="D128" s="521" t="s">
        <v>28</v>
      </c>
      <c r="E128" s="504" t="s">
        <v>243</v>
      </c>
      <c r="F128" s="510">
        <v>81073</v>
      </c>
    </row>
    <row r="129" spans="2:6" x14ac:dyDescent="0.3">
      <c r="B129" s="511" t="s">
        <v>585</v>
      </c>
      <c r="C129" s="306" t="s">
        <v>217</v>
      </c>
      <c r="D129" s="521" t="s">
        <v>586</v>
      </c>
      <c r="E129" s="504" t="s">
        <v>243</v>
      </c>
      <c r="F129" s="510">
        <v>80000</v>
      </c>
    </row>
    <row r="130" spans="2:6" x14ac:dyDescent="0.3">
      <c r="B130" s="511" t="s">
        <v>587</v>
      </c>
      <c r="C130" s="506" t="s">
        <v>220</v>
      </c>
      <c r="D130" s="527" t="s">
        <v>588</v>
      </c>
      <c r="E130" s="507" t="s">
        <v>243</v>
      </c>
      <c r="F130" s="517">
        <v>9000</v>
      </c>
    </row>
    <row r="131" spans="2:6" x14ac:dyDescent="0.3">
      <c r="B131" s="511" t="s">
        <v>587</v>
      </c>
      <c r="C131" s="506" t="s">
        <v>220</v>
      </c>
      <c r="D131" s="521" t="s">
        <v>588</v>
      </c>
      <c r="E131" s="507" t="s">
        <v>243</v>
      </c>
      <c r="F131" s="517">
        <v>12000</v>
      </c>
    </row>
    <row r="132" spans="2:6" x14ac:dyDescent="0.3">
      <c r="B132" s="511" t="s">
        <v>587</v>
      </c>
      <c r="C132" s="506" t="s">
        <v>220</v>
      </c>
      <c r="D132" s="521" t="s">
        <v>588</v>
      </c>
      <c r="E132" s="507" t="s">
        <v>243</v>
      </c>
      <c r="F132" s="510">
        <v>8500</v>
      </c>
    </row>
    <row r="133" spans="2:6" x14ac:dyDescent="0.3">
      <c r="B133" s="509" t="s">
        <v>587</v>
      </c>
      <c r="C133" s="506" t="s">
        <v>220</v>
      </c>
      <c r="D133" s="521" t="s">
        <v>588</v>
      </c>
      <c r="E133" s="507" t="s">
        <v>243</v>
      </c>
      <c r="F133" s="510">
        <v>9000</v>
      </c>
    </row>
    <row r="134" spans="2:6" x14ac:dyDescent="0.3">
      <c r="B134" s="509" t="s">
        <v>587</v>
      </c>
      <c r="C134" s="506" t="s">
        <v>220</v>
      </c>
      <c r="D134" s="521" t="s">
        <v>588</v>
      </c>
      <c r="E134" s="507" t="s">
        <v>243</v>
      </c>
      <c r="F134" s="510">
        <v>9000</v>
      </c>
    </row>
    <row r="135" spans="2:6" x14ac:dyDescent="0.3">
      <c r="B135" s="509" t="s">
        <v>589</v>
      </c>
      <c r="C135" s="506" t="s">
        <v>220</v>
      </c>
      <c r="D135" s="521" t="s">
        <v>588</v>
      </c>
      <c r="E135" s="507" t="s">
        <v>243</v>
      </c>
      <c r="F135" s="510">
        <v>9000</v>
      </c>
    </row>
    <row r="136" spans="2:6" x14ac:dyDescent="0.3">
      <c r="B136" s="509" t="s">
        <v>590</v>
      </c>
      <c r="C136" s="506" t="s">
        <v>220</v>
      </c>
      <c r="D136" s="521" t="s">
        <v>588</v>
      </c>
      <c r="E136" s="504" t="s">
        <v>243</v>
      </c>
      <c r="F136" s="510">
        <v>29000</v>
      </c>
    </row>
    <row r="137" spans="2:6" x14ac:dyDescent="0.3">
      <c r="B137" s="511" t="s">
        <v>580</v>
      </c>
      <c r="C137" s="505" t="s">
        <v>215</v>
      </c>
      <c r="D137" s="526" t="s">
        <v>583</v>
      </c>
      <c r="E137" s="504" t="s">
        <v>243</v>
      </c>
      <c r="F137" s="510">
        <v>29000</v>
      </c>
    </row>
    <row r="138" spans="2:6" x14ac:dyDescent="0.3">
      <c r="B138" s="511" t="s">
        <v>578</v>
      </c>
      <c r="C138" s="251" t="s">
        <v>601</v>
      </c>
      <c r="D138" s="278" t="s">
        <v>591</v>
      </c>
      <c r="E138" s="504" t="s">
        <v>243</v>
      </c>
      <c r="F138" s="510">
        <v>9600</v>
      </c>
    </row>
    <row r="139" spans="2:6" x14ac:dyDescent="0.3">
      <c r="B139" s="511" t="s">
        <v>578</v>
      </c>
      <c r="C139" s="251" t="s">
        <v>215</v>
      </c>
      <c r="D139" s="278" t="s">
        <v>592</v>
      </c>
      <c r="E139" s="504" t="s">
        <v>243</v>
      </c>
      <c r="F139" s="510">
        <v>4350</v>
      </c>
    </row>
    <row r="140" spans="2:6" x14ac:dyDescent="0.3">
      <c r="B140" s="509" t="s">
        <v>580</v>
      </c>
      <c r="C140" s="251" t="s">
        <v>212</v>
      </c>
      <c r="D140" s="278" t="s">
        <v>212</v>
      </c>
      <c r="E140" s="504" t="s">
        <v>243</v>
      </c>
      <c r="F140" s="510">
        <v>8000</v>
      </c>
    </row>
    <row r="141" spans="2:6" x14ac:dyDescent="0.3">
      <c r="B141" s="509" t="s">
        <v>587</v>
      </c>
      <c r="C141" s="251" t="s">
        <v>602</v>
      </c>
      <c r="D141" s="278" t="s">
        <v>593</v>
      </c>
      <c r="E141" s="504" t="s">
        <v>243</v>
      </c>
      <c r="F141" s="510">
        <v>10700</v>
      </c>
    </row>
    <row r="142" spans="2:6" x14ac:dyDescent="0.3">
      <c r="B142" s="509" t="s">
        <v>587</v>
      </c>
      <c r="C142" s="251" t="s">
        <v>220</v>
      </c>
      <c r="D142" s="278" t="s">
        <v>594</v>
      </c>
      <c r="E142" s="504" t="s">
        <v>243</v>
      </c>
      <c r="F142" s="510">
        <v>17000</v>
      </c>
    </row>
    <row r="143" spans="2:6" x14ac:dyDescent="0.3">
      <c r="B143" s="509" t="s">
        <v>587</v>
      </c>
      <c r="C143" s="251" t="s">
        <v>217</v>
      </c>
      <c r="D143" s="278" t="s">
        <v>595</v>
      </c>
      <c r="E143" s="504" t="s">
        <v>243</v>
      </c>
      <c r="F143" s="510">
        <v>30000</v>
      </c>
    </row>
    <row r="144" spans="2:6" x14ac:dyDescent="0.3">
      <c r="B144" s="509" t="s">
        <v>587</v>
      </c>
      <c r="C144" s="251" t="s">
        <v>220</v>
      </c>
      <c r="D144" s="278" t="s">
        <v>596</v>
      </c>
      <c r="E144" s="504" t="s">
        <v>243</v>
      </c>
      <c r="F144" s="510">
        <v>12000</v>
      </c>
    </row>
    <row r="145" spans="2:6" x14ac:dyDescent="0.3">
      <c r="B145" s="518" t="s">
        <v>587</v>
      </c>
      <c r="C145" s="306" t="s">
        <v>217</v>
      </c>
      <c r="D145" s="521" t="s">
        <v>597</v>
      </c>
      <c r="E145" s="504" t="s">
        <v>243</v>
      </c>
      <c r="F145" s="510">
        <v>24000</v>
      </c>
    </row>
    <row r="146" spans="2:6" x14ac:dyDescent="0.3">
      <c r="B146" s="518" t="s">
        <v>587</v>
      </c>
      <c r="C146" s="306" t="s">
        <v>220</v>
      </c>
      <c r="D146" s="521" t="s">
        <v>588</v>
      </c>
      <c r="E146" s="504" t="s">
        <v>243</v>
      </c>
      <c r="F146" s="510">
        <v>12000</v>
      </c>
    </row>
    <row r="147" spans="2:6" x14ac:dyDescent="0.3">
      <c r="B147" s="518" t="s">
        <v>598</v>
      </c>
      <c r="C147" s="306" t="s">
        <v>220</v>
      </c>
      <c r="D147" s="521" t="s">
        <v>599</v>
      </c>
      <c r="E147" s="504" t="s">
        <v>243</v>
      </c>
      <c r="F147" s="510">
        <v>10000</v>
      </c>
    </row>
    <row r="148" spans="2:6" x14ac:dyDescent="0.3">
      <c r="B148" s="518" t="s">
        <v>600</v>
      </c>
      <c r="C148" s="306" t="s">
        <v>564</v>
      </c>
      <c r="D148" s="521" t="s">
        <v>564</v>
      </c>
      <c r="E148" s="504" t="s">
        <v>243</v>
      </c>
      <c r="F148" s="510">
        <v>3300</v>
      </c>
    </row>
    <row r="149" spans="2:6" ht="16.5" thickBot="1" x14ac:dyDescent="0.35">
      <c r="B149" s="313"/>
      <c r="C149" s="314"/>
      <c r="D149" s="528"/>
      <c r="E149" s="316"/>
      <c r="F149" s="519">
        <v>0</v>
      </c>
    </row>
    <row r="150" spans="2:6" ht="16.5" thickBot="1" x14ac:dyDescent="0.35">
      <c r="F150" s="195">
        <f>SUM(F33:F149)</f>
        <v>4932812</v>
      </c>
    </row>
  </sheetData>
  <mergeCells count="3">
    <mergeCell ref="B3:E3"/>
    <mergeCell ref="B30:F30"/>
    <mergeCell ref="B8:F8"/>
  </mergeCells>
  <pageMargins left="0.70866141732283472" right="0.70866141732283472" top="0.74803149606299213" bottom="0.74803149606299213" header="0.31496062992125984" footer="0.31496062992125984"/>
  <pageSetup scale="70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I17" sqref="I17"/>
    </sheetView>
  </sheetViews>
  <sheetFormatPr baseColWidth="10" defaultRowHeight="15.75" x14ac:dyDescent="0.3"/>
  <cols>
    <col min="2" max="2" width="26.5546875" customWidth="1"/>
    <col min="3" max="3" width="20.21875" customWidth="1"/>
    <col min="4" max="4" width="28.88671875" customWidth="1"/>
    <col min="5" max="5" width="24.33203125" customWidth="1"/>
  </cols>
  <sheetData>
    <row r="1" spans="2:5" ht="16.5" thickBot="1" x14ac:dyDescent="0.35"/>
    <row r="2" spans="2:5" ht="23.25" customHeight="1" thickBot="1" x14ac:dyDescent="0.35">
      <c r="B2" s="613" t="s">
        <v>633</v>
      </c>
      <c r="C2" s="614"/>
      <c r="D2" s="614"/>
      <c r="E2" s="615"/>
    </row>
    <row r="3" spans="2:5" ht="18.75" thickBot="1" x14ac:dyDescent="0.35">
      <c r="B3" s="100"/>
      <c r="C3" s="100"/>
      <c r="D3" s="100"/>
      <c r="E3" s="100"/>
    </row>
    <row r="4" spans="2:5" ht="25.5" customHeight="1" x14ac:dyDescent="0.3">
      <c r="B4" s="616" t="s">
        <v>39</v>
      </c>
      <c r="C4" s="617"/>
      <c r="D4" s="617"/>
      <c r="E4" s="618"/>
    </row>
    <row r="5" spans="2:5" ht="22.5" customHeight="1" x14ac:dyDescent="0.3">
      <c r="B5" s="152" t="s">
        <v>11</v>
      </c>
      <c r="C5" s="153" t="s">
        <v>40</v>
      </c>
      <c r="D5" s="153" t="s">
        <v>41</v>
      </c>
      <c r="E5" s="154" t="s">
        <v>12</v>
      </c>
    </row>
    <row r="6" spans="2:5" s="53" customFormat="1" ht="21.75" customHeight="1" x14ac:dyDescent="0.25">
      <c r="B6" s="54" t="s">
        <v>13</v>
      </c>
      <c r="C6" s="55">
        <f>+VENTAS!C18</f>
        <v>0</v>
      </c>
      <c r="D6" s="56">
        <v>60</v>
      </c>
      <c r="E6" s="52">
        <f>C6*D6</f>
        <v>0</v>
      </c>
    </row>
    <row r="7" spans="2:5" s="53" customFormat="1" ht="21.75" customHeight="1" x14ac:dyDescent="0.25">
      <c r="B7" s="51" t="s">
        <v>14</v>
      </c>
      <c r="C7" s="57">
        <f>+VENTAS!E33</f>
        <v>0</v>
      </c>
      <c r="D7" s="58">
        <v>60</v>
      </c>
      <c r="E7" s="59">
        <f>C7*D7</f>
        <v>0</v>
      </c>
    </row>
    <row r="8" spans="2:5" ht="16.5" thickBot="1" x14ac:dyDescent="0.35">
      <c r="B8" s="148" t="s">
        <v>1</v>
      </c>
      <c r="C8" s="149">
        <f>SUM(C6:C7)</f>
        <v>0</v>
      </c>
      <c r="D8" s="150" t="s">
        <v>15</v>
      </c>
      <c r="E8" s="151">
        <f>SUM(E6:E7)</f>
        <v>0</v>
      </c>
    </row>
    <row r="10" spans="2:5" x14ac:dyDescent="0.3">
      <c r="E10" s="119"/>
    </row>
    <row r="11" spans="2:5" x14ac:dyDescent="0.3">
      <c r="E11" s="60"/>
    </row>
  </sheetData>
  <mergeCells count="2">
    <mergeCell ref="B2:E2"/>
    <mergeCell ref="B4:E4"/>
  </mergeCells>
  <pageMargins left="0.7" right="0.7" top="0.75" bottom="0.75" header="0.3" footer="0.3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36"/>
  <sheetViews>
    <sheetView workbookViewId="0">
      <selection activeCell="F36" sqref="F36"/>
    </sheetView>
  </sheetViews>
  <sheetFormatPr baseColWidth="10" defaultRowHeight="12.75" x14ac:dyDescent="0.2"/>
  <cols>
    <col min="1" max="1" width="11.5546875" style="9"/>
    <col min="2" max="2" width="5.21875" style="3" bestFit="1" customWidth="1"/>
    <col min="3" max="3" width="28.77734375" style="3" bestFit="1" customWidth="1"/>
    <col min="4" max="4" width="19.6640625" style="3" bestFit="1" customWidth="1"/>
    <col min="5" max="5" width="15" style="3" bestFit="1" customWidth="1"/>
    <col min="6" max="7" width="13.77734375" style="3" bestFit="1" customWidth="1"/>
    <col min="8" max="8" width="15" style="3" bestFit="1" customWidth="1"/>
    <col min="9" max="9" width="11.5546875" style="3" customWidth="1"/>
    <col min="10" max="16384" width="11.5546875" style="3"/>
  </cols>
  <sheetData>
    <row r="1" spans="1:81" x14ac:dyDescent="0.2">
      <c r="A1" s="3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</row>
    <row r="2" spans="1:81" ht="13.5" thickBot="1" x14ac:dyDescent="0.25">
      <c r="A2" s="3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</row>
    <row r="3" spans="1:81" ht="21" thickBot="1" x14ac:dyDescent="0.35">
      <c r="A3" s="3"/>
      <c r="B3" s="619" t="s">
        <v>632</v>
      </c>
      <c r="C3" s="620"/>
      <c r="D3" s="620"/>
      <c r="E3" s="620"/>
      <c r="F3" s="620"/>
      <c r="G3" s="620"/>
      <c r="H3" s="621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</row>
    <row r="4" spans="1:81" s="139" customFormat="1" ht="16.5" customHeight="1" thickBot="1" x14ac:dyDescent="0.3">
      <c r="A4" s="3"/>
      <c r="B4" s="318" t="s">
        <v>65</v>
      </c>
      <c r="C4" s="319" t="s">
        <v>16</v>
      </c>
      <c r="D4" s="320" t="s">
        <v>17</v>
      </c>
      <c r="E4" s="320" t="s">
        <v>25</v>
      </c>
      <c r="F4" s="320" t="s">
        <v>161</v>
      </c>
      <c r="G4" s="320" t="s">
        <v>162</v>
      </c>
      <c r="H4" s="321" t="s">
        <v>1</v>
      </c>
      <c r="I4" s="3"/>
      <c r="J4" s="256"/>
      <c r="K4" s="256"/>
      <c r="L4" s="25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</row>
    <row r="5" spans="1:81" ht="15.75" customHeight="1" x14ac:dyDescent="0.2">
      <c r="A5" s="3"/>
      <c r="B5" s="323">
        <v>1</v>
      </c>
      <c r="C5" s="530" t="s">
        <v>64</v>
      </c>
      <c r="D5" s="324" t="s">
        <v>18</v>
      </c>
      <c r="E5" s="325">
        <v>3500000</v>
      </c>
      <c r="F5" s="326">
        <v>1610000</v>
      </c>
      <c r="G5" s="326">
        <v>1610000</v>
      </c>
      <c r="H5" s="327">
        <f>Tabla435[[#This Row],[1Q SEPT]]+Tabla435[[#This Row],[2Q SEPT]]</f>
        <v>3220000</v>
      </c>
      <c r="I5" s="192"/>
      <c r="M5" s="94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pans="1:81" ht="17.25" customHeight="1" x14ac:dyDescent="0.2">
      <c r="A6" s="3"/>
      <c r="B6" s="37">
        <v>2</v>
      </c>
      <c r="C6" s="529" t="s">
        <v>133</v>
      </c>
      <c r="D6" s="11" t="s">
        <v>44</v>
      </c>
      <c r="E6" s="105">
        <v>1400000</v>
      </c>
      <c r="F6" s="322">
        <v>544000</v>
      </c>
      <c r="G6" s="322">
        <v>644000</v>
      </c>
      <c r="H6" s="38">
        <f>Tabla435[[#This Row],[1Q SEPT]]+Tabla435[[#This Row],[2Q SEPT]]</f>
        <v>1188000</v>
      </c>
      <c r="I6" s="192"/>
      <c r="M6" s="94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</row>
    <row r="7" spans="1:81" ht="12.75" customHeight="1" x14ac:dyDescent="0.2">
      <c r="A7" s="3"/>
      <c r="B7" s="37">
        <v>3</v>
      </c>
      <c r="C7" s="529" t="s">
        <v>251</v>
      </c>
      <c r="D7" s="10" t="s">
        <v>256</v>
      </c>
      <c r="E7" s="106">
        <v>689454</v>
      </c>
      <c r="F7" s="322">
        <v>355998.84</v>
      </c>
      <c r="G7" s="322">
        <v>355998.84</v>
      </c>
      <c r="H7" s="38">
        <f>Tabla435[[#This Row],[1Q SEPT]]+Tabla435[[#This Row],[2Q SEPT]]</f>
        <v>711997.68</v>
      </c>
      <c r="I7" s="192"/>
      <c r="M7" s="94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1:81" x14ac:dyDescent="0.2">
      <c r="A8" s="3"/>
      <c r="B8" s="37">
        <v>4</v>
      </c>
      <c r="C8" s="529" t="s">
        <v>252</v>
      </c>
      <c r="D8" s="10" t="s">
        <v>19</v>
      </c>
      <c r="E8" s="104">
        <v>1030000</v>
      </c>
      <c r="F8" s="36">
        <v>613135</v>
      </c>
      <c r="G8" s="322">
        <v>519560</v>
      </c>
      <c r="H8" s="38">
        <f>Tabla435[[#This Row],[1Q SEPT]]+Tabla435[[#This Row],[2Q SEPT]]</f>
        <v>1132695</v>
      </c>
      <c r="I8" s="192"/>
      <c r="M8" s="94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 ht="17.25" customHeight="1" x14ac:dyDescent="0.2">
      <c r="A9" s="3"/>
      <c r="B9" s="37">
        <v>5</v>
      </c>
      <c r="C9" s="529" t="s">
        <v>253</v>
      </c>
      <c r="D9" s="10" t="s">
        <v>19</v>
      </c>
      <c r="E9" s="106">
        <v>1030000</v>
      </c>
      <c r="F9" s="36">
        <v>522323</v>
      </c>
      <c r="G9" s="322">
        <v>322323</v>
      </c>
      <c r="H9" s="38">
        <f>Tabla435[[#This Row],[1Q SEPT]]+Tabla435[[#This Row],[2Q SEPT]]</f>
        <v>844646</v>
      </c>
      <c r="I9" s="192"/>
      <c r="M9" s="9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 ht="17.25" customHeight="1" x14ac:dyDescent="0.2">
      <c r="A10" s="3"/>
      <c r="B10" s="37">
        <v>6</v>
      </c>
      <c r="C10" s="529" t="s">
        <v>254</v>
      </c>
      <c r="D10" s="11" t="s">
        <v>257</v>
      </c>
      <c r="E10" s="106">
        <v>689454</v>
      </c>
      <c r="F10" s="36">
        <v>511270</v>
      </c>
      <c r="G10" s="322">
        <v>362606</v>
      </c>
      <c r="H10" s="38">
        <f>Tabla435[[#This Row],[1Q SEPT]]+Tabla435[[#This Row],[2Q SEPT]]</f>
        <v>873876</v>
      </c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pans="1:81" ht="17.25" customHeight="1" x14ac:dyDescent="0.2">
      <c r="A11" s="3"/>
      <c r="B11" s="37">
        <v>7</v>
      </c>
      <c r="C11" s="529" t="s">
        <v>255</v>
      </c>
      <c r="D11" s="11" t="s">
        <v>257</v>
      </c>
      <c r="E11" s="106">
        <v>689454</v>
      </c>
      <c r="F11" s="322">
        <v>355998.84</v>
      </c>
      <c r="G11" s="322">
        <v>402250</v>
      </c>
      <c r="H11" s="38">
        <f>Tabla435[[#This Row],[1Q SEPT]]+Tabla435[[#This Row],[2Q SEPT]]</f>
        <v>758248.84000000008</v>
      </c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 ht="17.25" customHeight="1" x14ac:dyDescent="0.2">
      <c r="A12" s="3"/>
      <c r="B12" s="37">
        <v>8</v>
      </c>
      <c r="C12" s="529" t="s">
        <v>249</v>
      </c>
      <c r="D12" s="11" t="s">
        <v>257</v>
      </c>
      <c r="E12" s="106">
        <v>720585</v>
      </c>
      <c r="F12" s="36">
        <v>417938</v>
      </c>
      <c r="G12" s="322">
        <v>507565</v>
      </c>
      <c r="H12" s="38">
        <f>Tabla435[[#This Row],[1Q SEPT]]+Tabla435[[#This Row],[2Q SEPT]]</f>
        <v>925503</v>
      </c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17.25" customHeight="1" x14ac:dyDescent="0.2">
      <c r="A13" s="3"/>
      <c r="B13" s="37">
        <v>9</v>
      </c>
      <c r="C13" s="529" t="s">
        <v>250</v>
      </c>
      <c r="D13" s="11" t="s">
        <v>258</v>
      </c>
      <c r="E13" s="106">
        <v>689454</v>
      </c>
      <c r="F13" s="322">
        <v>355998.84</v>
      </c>
      <c r="G13" s="322">
        <v>0</v>
      </c>
      <c r="H13" s="38">
        <f>Tabla435[[#This Row],[1Q SEPT]]+Tabla435[[#This Row],[2Q SEPT]]</f>
        <v>355998.84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pans="1:81" ht="17.25" customHeight="1" thickBot="1" x14ac:dyDescent="0.25">
      <c r="A14" s="3"/>
      <c r="B14" s="328">
        <v>10</v>
      </c>
      <c r="C14" s="531" t="s">
        <v>184</v>
      </c>
      <c r="D14" s="329" t="s">
        <v>170</v>
      </c>
      <c r="E14" s="330">
        <v>689454</v>
      </c>
      <c r="F14" s="335">
        <v>355998.84</v>
      </c>
      <c r="G14" s="335">
        <v>355998.84</v>
      </c>
      <c r="H14" s="331">
        <f>Tabla435[[#This Row],[1Q SEPT]]+Tabla435[[#This Row],[2Q SEPT]]</f>
        <v>711997.68</v>
      </c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81" s="12" customFormat="1" ht="18.75" thickBot="1" x14ac:dyDescent="0.3">
      <c r="A15" s="3"/>
      <c r="B15" s="532"/>
      <c r="C15" s="533" t="s">
        <v>20</v>
      </c>
      <c r="D15" s="332"/>
      <c r="E15" s="333">
        <f>SUBTOTAL(109,E5:E14)</f>
        <v>11127855</v>
      </c>
      <c r="F15" s="333">
        <f>SUBTOTAL(109,F5:F14)</f>
        <v>5642661.3599999994</v>
      </c>
      <c r="G15" s="333">
        <f>SUBTOTAL(109,G5:G14)</f>
        <v>5080301.68</v>
      </c>
      <c r="H15" s="334">
        <f>SUBTOTAL(109,H5:H14)</f>
        <v>10722963.039999999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</row>
    <row r="16" spans="1:81" ht="14.25" customHeight="1" x14ac:dyDescent="0.2">
      <c r="A16" s="3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pans="1:81" ht="13.5" thickBot="1" x14ac:dyDescent="0.25">
      <c r="A17" s="3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pans="1:81" ht="18.75" thickBot="1" x14ac:dyDescent="0.3">
      <c r="A18" s="3"/>
      <c r="B18" s="622" t="s">
        <v>259</v>
      </c>
      <c r="C18" s="623"/>
      <c r="D18" s="623"/>
      <c r="E18" s="623"/>
      <c r="F18" s="623"/>
      <c r="G18" s="623"/>
      <c r="H18" s="62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81" s="142" customFormat="1" ht="15.75" x14ac:dyDescent="0.25">
      <c r="A19" s="3"/>
      <c r="B19" s="140" t="s">
        <v>65</v>
      </c>
      <c r="C19" s="128" t="s">
        <v>16</v>
      </c>
      <c r="D19" s="128" t="s">
        <v>17</v>
      </c>
      <c r="E19" s="128" t="s">
        <v>25</v>
      </c>
      <c r="F19" s="128" t="s">
        <v>138</v>
      </c>
      <c r="G19" s="128" t="s">
        <v>139</v>
      </c>
      <c r="H19" s="141" t="s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</row>
    <row r="20" spans="1:81" x14ac:dyDescent="0.2">
      <c r="A20" s="3"/>
      <c r="B20" s="37">
        <v>1</v>
      </c>
      <c r="C20" s="90" t="s">
        <v>279</v>
      </c>
      <c r="D20" s="11" t="s">
        <v>617</v>
      </c>
      <c r="E20" s="105">
        <v>1500000</v>
      </c>
      <c r="F20" s="103">
        <v>750000</v>
      </c>
      <c r="G20" s="107"/>
      <c r="H20" s="108">
        <f>+Tabla4353[[#This Row],[2Q JUNIO]]+Tabla4353[[#This Row],[1Q JUNIO]]</f>
        <v>750000</v>
      </c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pans="1:81" x14ac:dyDescent="0.2">
      <c r="A21" s="3"/>
      <c r="B21" s="37"/>
      <c r="C21" s="90"/>
      <c r="D21" s="5"/>
      <c r="E21" s="104"/>
      <c r="F21" s="36"/>
      <c r="G21" s="36"/>
      <c r="H21" s="10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18.75" thickBot="1" x14ac:dyDescent="0.3">
      <c r="A22" s="3"/>
      <c r="B22" s="133"/>
      <c r="C22" s="134" t="s">
        <v>20</v>
      </c>
      <c r="D22" s="134"/>
      <c r="E22" s="135">
        <f>SUBTOTAL(109,E20:E21)</f>
        <v>1500000</v>
      </c>
      <c r="F22" s="136">
        <f>SUBTOTAL(109,F20:F21)</f>
        <v>750000</v>
      </c>
      <c r="G22" s="136">
        <f>SUBTOTAL(109,G20:G21)</f>
        <v>0</v>
      </c>
      <c r="H22" s="137">
        <f>SUBTOTAL(109,H20:H21)</f>
        <v>750000</v>
      </c>
    </row>
    <row r="23" spans="1:81" x14ac:dyDescent="0.2">
      <c r="A23" s="3"/>
    </row>
    <row r="24" spans="1:81" x14ac:dyDescent="0.2">
      <c r="A24" s="3"/>
    </row>
    <row r="25" spans="1:81" x14ac:dyDescent="0.2">
      <c r="A25" s="3"/>
    </row>
    <row r="26" spans="1:81" x14ac:dyDescent="0.2">
      <c r="A26" s="3"/>
    </row>
    <row r="27" spans="1:81" x14ac:dyDescent="0.2">
      <c r="A27" s="3"/>
    </row>
    <row r="28" spans="1:81" x14ac:dyDescent="0.2">
      <c r="A28" s="3"/>
    </row>
    <row r="29" spans="1:81" x14ac:dyDescent="0.2">
      <c r="A29" s="3"/>
    </row>
    <row r="30" spans="1:81" x14ac:dyDescent="0.2">
      <c r="A30" s="3"/>
    </row>
    <row r="31" spans="1:81" x14ac:dyDescent="0.2">
      <c r="A31" s="3"/>
    </row>
    <row r="32" spans="1:8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</sheetData>
  <mergeCells count="2">
    <mergeCell ref="B3:H3"/>
    <mergeCell ref="B18:H18"/>
  </mergeCells>
  <pageMargins left="0.70866141732283472" right="0.70866141732283472" top="0.74803149606299213" bottom="0.74803149606299213" header="0.31496062992125984" footer="0.31496062992125984"/>
  <pageSetup scale="85" orientation="landscape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7</vt:i4>
      </vt:variant>
    </vt:vector>
  </HeadingPairs>
  <TitlesOfParts>
    <vt:vector size="21" baseType="lpstr">
      <vt:lpstr>INFORME MAYO</vt:lpstr>
      <vt:lpstr>JUNIO 2016</vt:lpstr>
      <vt:lpstr>VENTAS</vt:lpstr>
      <vt:lpstr>MAQUINARIA</vt:lpstr>
      <vt:lpstr>DIFERIDOS</vt:lpstr>
      <vt:lpstr>TERRAJE</vt:lpstr>
      <vt:lpstr>C M</vt:lpstr>
      <vt:lpstr>comision gerente</vt:lpstr>
      <vt:lpstr>NOMINA</vt:lpstr>
      <vt:lpstr>LIBRO DE BANCO cta cte</vt:lpstr>
      <vt:lpstr>CUADRE DE GAST CANTERA Y OFIC</vt:lpstr>
      <vt:lpstr>CUADRE DE GAST CAJA OFICINA</vt:lpstr>
      <vt:lpstr>LIBRO DE BANCO cta Ahorro</vt:lpstr>
      <vt:lpstr>Acumulados</vt:lpstr>
      <vt:lpstr>'C M'!Área_de_impresión</vt:lpstr>
      <vt:lpstr>'comision gerente'!Área_de_impresión</vt:lpstr>
      <vt:lpstr>'JUNIO 2016'!Área_de_impresión</vt:lpstr>
      <vt:lpstr>'LIBRO DE BANCO cta Ahorro'!Área_de_impresión</vt:lpstr>
      <vt:lpstr>MAQUINARIA!Área_de_impresión</vt:lpstr>
      <vt:lpstr>NOMINA!Área_de_impresión</vt:lpstr>
      <vt:lpstr>VENTAS!Área_de_impresión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USUARTIO</cp:lastModifiedBy>
  <cp:lastPrinted>2016-03-01T13:38:20Z</cp:lastPrinted>
  <dcterms:created xsi:type="dcterms:W3CDTF">2012-05-01T15:14:54Z</dcterms:created>
  <dcterms:modified xsi:type="dcterms:W3CDTF">2016-07-12T15:03:12Z</dcterms:modified>
</cp:coreProperties>
</file>