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25253F-D830-43E5-91B6-7ADA2FDF4DE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icio" sheetId="1" r:id="rId1"/>
    <sheet name="Insumos" sheetId="2" r:id="rId2"/>
    <sheet name="Postre" sheetId="3" r:id="rId3"/>
    <sheet name="Explosión" sheetId="4" r:id="rId4"/>
  </sheets>
  <definedNames>
    <definedName name="_xlchart.v1.0" hidden="1">Explosión!$C$39:$C$41</definedName>
    <definedName name="_xlchart.v1.1" hidden="1">Explosión!$G$39:$G$41</definedName>
    <definedName name="_xlchart.v1.2" hidden="1">Explosión!$G$47:$G$51</definedName>
    <definedName name="_xlchart.v1.3" hidden="1">Explosión!$H$47:$H$51</definedName>
    <definedName name="Insumos">TablaInsumos[Nombre]</definedName>
    <definedName name="Platillo">TablaPlatillos[Nombre de Platillo]</definedName>
    <definedName name="Recepción">Insumos!$L$6:$L$8</definedName>
    <definedName name="Unidades">Tabla2[Unidades]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3" l="1"/>
  <c r="AL22" i="3"/>
  <c r="AI22" i="3"/>
  <c r="AF22" i="3"/>
  <c r="AC22" i="3"/>
  <c r="Z22" i="3"/>
  <c r="W22" i="3"/>
  <c r="T22" i="3"/>
  <c r="Q22" i="3"/>
  <c r="N22" i="3"/>
  <c r="K22" i="3"/>
  <c r="H22" i="3"/>
  <c r="E22" i="3"/>
  <c r="AL21" i="3"/>
  <c r="AI21" i="3"/>
  <c r="AF21" i="3"/>
  <c r="AC21" i="3"/>
  <c r="Z21" i="3"/>
  <c r="W21" i="3"/>
  <c r="T21" i="3"/>
  <c r="Q21" i="3"/>
  <c r="N21" i="3"/>
  <c r="K21" i="3"/>
  <c r="H21" i="3"/>
  <c r="E21" i="3"/>
  <c r="AL20" i="3"/>
  <c r="AI20" i="3"/>
  <c r="AF20" i="3"/>
  <c r="AC20" i="3"/>
  <c r="Z20" i="3"/>
  <c r="W20" i="3"/>
  <c r="T20" i="3"/>
  <c r="Q20" i="3"/>
  <c r="N20" i="3"/>
  <c r="K20" i="3"/>
  <c r="H20" i="3"/>
  <c r="E20" i="3"/>
  <c r="AR19" i="3"/>
  <c r="AP19" i="3"/>
  <c r="AO19" i="3"/>
  <c r="AN19" i="3"/>
  <c r="AL19" i="3"/>
  <c r="AI19" i="3"/>
  <c r="AG19" i="3"/>
  <c r="AF19" i="3"/>
  <c r="AC19" i="3"/>
  <c r="AA19" i="3"/>
  <c r="Z19" i="3"/>
  <c r="X19" i="3"/>
  <c r="W19" i="3"/>
  <c r="U19" i="3"/>
  <c r="T19" i="3"/>
  <c r="R19" i="3"/>
  <c r="Q19" i="3"/>
  <c r="O19" i="3"/>
  <c r="N19" i="3"/>
  <c r="L19" i="3"/>
  <c r="K19" i="3"/>
  <c r="I19" i="3"/>
  <c r="H19" i="3"/>
  <c r="F19" i="3"/>
  <c r="E19" i="3"/>
  <c r="AS18" i="3"/>
  <c r="AR18" i="3"/>
  <c r="AP18" i="3"/>
  <c r="AO18" i="3"/>
  <c r="AN18" i="3"/>
  <c r="AL18" i="3"/>
  <c r="AJ18" i="3"/>
  <c r="AI18" i="3"/>
  <c r="AG18" i="3"/>
  <c r="AF18" i="3"/>
  <c r="AC18" i="3"/>
  <c r="AA18" i="3"/>
  <c r="Z18" i="3"/>
  <c r="X18" i="3"/>
  <c r="W18" i="3"/>
  <c r="U18" i="3"/>
  <c r="T18" i="3"/>
  <c r="R18" i="3"/>
  <c r="Q18" i="3"/>
  <c r="O18" i="3"/>
  <c r="N18" i="3"/>
  <c r="L18" i="3"/>
  <c r="K18" i="3"/>
  <c r="I18" i="3"/>
  <c r="H18" i="3"/>
  <c r="F18" i="3"/>
  <c r="E18" i="3"/>
  <c r="AS17" i="3"/>
  <c r="AR17" i="3"/>
  <c r="AP17" i="3"/>
  <c r="AO17" i="3"/>
  <c r="AN17" i="3"/>
  <c r="AM17" i="3"/>
  <c r="AL17" i="3"/>
  <c r="AJ17" i="3"/>
  <c r="AI17" i="3"/>
  <c r="AG17" i="3"/>
  <c r="AF17" i="3"/>
  <c r="AC17" i="3"/>
  <c r="AA17" i="3"/>
  <c r="Z17" i="3"/>
  <c r="X17" i="3"/>
  <c r="W17" i="3"/>
  <c r="U17" i="3"/>
  <c r="T17" i="3"/>
  <c r="R17" i="3"/>
  <c r="Q17" i="3"/>
  <c r="O17" i="3"/>
  <c r="N17" i="3"/>
  <c r="L17" i="3"/>
  <c r="K17" i="3"/>
  <c r="I17" i="3"/>
  <c r="H17" i="3"/>
  <c r="F17" i="3"/>
  <c r="E17" i="3"/>
  <c r="AR16" i="3"/>
  <c r="AP16" i="3"/>
  <c r="AO16" i="3"/>
  <c r="AN16" i="3"/>
  <c r="AL16" i="3"/>
  <c r="AI16" i="3"/>
  <c r="AG16" i="3"/>
  <c r="AF16" i="3"/>
  <c r="AC16" i="3"/>
  <c r="AA16" i="3"/>
  <c r="Z16" i="3"/>
  <c r="X16" i="3"/>
  <c r="W16" i="3"/>
  <c r="U16" i="3"/>
  <c r="T16" i="3"/>
  <c r="R16" i="3"/>
  <c r="Q16" i="3"/>
  <c r="O16" i="3"/>
  <c r="N16" i="3"/>
  <c r="L16" i="3"/>
  <c r="K16" i="3"/>
  <c r="I16" i="3"/>
  <c r="H16" i="3"/>
  <c r="F16" i="3"/>
  <c r="E16" i="3"/>
  <c r="AR15" i="3"/>
  <c r="AP15" i="3"/>
  <c r="AO15" i="3"/>
  <c r="AN15" i="3"/>
  <c r="AL15" i="3"/>
  <c r="AI15" i="3"/>
  <c r="AG15" i="3"/>
  <c r="AF15" i="3"/>
  <c r="AC15" i="3"/>
  <c r="AA15" i="3"/>
  <c r="Z15" i="3"/>
  <c r="X15" i="3"/>
  <c r="W15" i="3"/>
  <c r="U15" i="3"/>
  <c r="T15" i="3"/>
  <c r="R15" i="3"/>
  <c r="Q15" i="3"/>
  <c r="O15" i="3"/>
  <c r="N15" i="3"/>
  <c r="L15" i="3"/>
  <c r="K15" i="3"/>
  <c r="I15" i="3"/>
  <c r="H15" i="3"/>
  <c r="F15" i="3"/>
  <c r="E15" i="3"/>
  <c r="AR14" i="3"/>
  <c r="AO14" i="3"/>
  <c r="AL14" i="3"/>
  <c r="AI14" i="3"/>
  <c r="AF14" i="3"/>
  <c r="AC14" i="3"/>
  <c r="Z14" i="3"/>
  <c r="W14" i="3"/>
  <c r="T14" i="3"/>
  <c r="Q14" i="3"/>
  <c r="N14" i="3"/>
  <c r="K14" i="3"/>
  <c r="H14" i="3"/>
  <c r="E14" i="3"/>
  <c r="AR13" i="3"/>
  <c r="AO13" i="3"/>
  <c r="AL13" i="3"/>
  <c r="AI13" i="3"/>
  <c r="AF13" i="3"/>
  <c r="AC13" i="3"/>
  <c r="Z13" i="3"/>
  <c r="W13" i="3"/>
  <c r="T13" i="3"/>
  <c r="Q13" i="3"/>
  <c r="N13" i="3"/>
  <c r="K13" i="3"/>
  <c r="H13" i="3"/>
  <c r="E13" i="3"/>
  <c r="C9" i="3"/>
  <c r="G9" i="3" s="1"/>
  <c r="D33" i="4" s="1"/>
  <c r="G33" i="4" s="1"/>
  <c r="C8" i="3"/>
  <c r="M7" i="3" s="1"/>
  <c r="G24" i="2"/>
  <c r="D24" i="2"/>
  <c r="I23" i="2"/>
  <c r="J23" i="2" s="1"/>
  <c r="H23" i="2"/>
  <c r="J22" i="2"/>
  <c r="I22" i="2"/>
  <c r="H22" i="2"/>
  <c r="J21" i="2"/>
  <c r="I21" i="2"/>
  <c r="H21" i="2"/>
  <c r="I20" i="2"/>
  <c r="H20" i="2"/>
  <c r="J20" i="2" s="1"/>
  <c r="I19" i="2"/>
  <c r="J19" i="2" s="1"/>
  <c r="H19" i="2"/>
  <c r="J18" i="2"/>
  <c r="I18" i="2"/>
  <c r="H18" i="2"/>
  <c r="I17" i="2"/>
  <c r="J17" i="2" s="1"/>
  <c r="H17" i="2"/>
  <c r="I16" i="2"/>
  <c r="J16" i="2" s="1"/>
  <c r="H16" i="2"/>
  <c r="I15" i="2"/>
  <c r="J15" i="2" s="1"/>
  <c r="H15" i="2"/>
  <c r="J14" i="2"/>
  <c r="I14" i="2"/>
  <c r="H14" i="2"/>
  <c r="J13" i="2"/>
  <c r="I13" i="2"/>
  <c r="H13" i="2"/>
  <c r="I12" i="2"/>
  <c r="H12" i="2"/>
  <c r="J12" i="2" s="1"/>
  <c r="I11" i="2"/>
  <c r="J11" i="2" s="1"/>
  <c r="H11" i="2"/>
  <c r="J10" i="2"/>
  <c r="I10" i="2"/>
  <c r="I24" i="2" s="1"/>
  <c r="H10" i="2"/>
  <c r="G50" i="4"/>
  <c r="G48" i="4"/>
  <c r="L44" i="4"/>
  <c r="C41" i="4"/>
  <c r="J41" i="4" s="1"/>
  <c r="O41" i="4" s="1"/>
  <c r="C40" i="4"/>
  <c r="J40" i="4" s="1"/>
  <c r="O40" i="4" s="1"/>
  <c r="C39" i="4"/>
  <c r="J39" i="4" s="1"/>
  <c r="O39" i="4" s="1"/>
  <c r="C34" i="4"/>
  <c r="G49" i="4" s="1"/>
  <c r="C33" i="4"/>
  <c r="J33" i="4" s="1"/>
  <c r="O33" i="4" s="1"/>
  <c r="J32" i="4"/>
  <c r="O32" i="4" s="1"/>
  <c r="C32" i="4"/>
  <c r="G47" i="4" s="1"/>
  <c r="C27" i="4"/>
  <c r="D27" i="4" s="1"/>
  <c r="C26" i="4"/>
  <c r="F26" i="4" s="1"/>
  <c r="C25" i="4"/>
  <c r="D25" i="4" s="1"/>
  <c r="C24" i="4"/>
  <c r="F24" i="4" s="1"/>
  <c r="C23" i="4"/>
  <c r="F23" i="4" s="1"/>
  <c r="C22" i="4"/>
  <c r="F22" i="4" s="1"/>
  <c r="C21" i="4"/>
  <c r="F21" i="4" s="1"/>
  <c r="C20" i="4"/>
  <c r="F20" i="4" s="1"/>
  <c r="C19" i="4"/>
  <c r="D19" i="4" s="1"/>
  <c r="C18" i="4"/>
  <c r="F18" i="4" s="1"/>
  <c r="C17" i="4"/>
  <c r="D17" i="4" s="1"/>
  <c r="C16" i="4"/>
  <c r="F16" i="4" s="1"/>
  <c r="L13" i="4"/>
  <c r="K13" i="4"/>
  <c r="K12" i="4" s="1"/>
  <c r="Q12" i="4"/>
  <c r="E40" i="4" l="1"/>
  <c r="F17" i="4"/>
  <c r="E34" i="4"/>
  <c r="F25" i="4"/>
  <c r="E33" i="4"/>
  <c r="E41" i="4"/>
  <c r="F27" i="4"/>
  <c r="F19" i="4"/>
  <c r="E39" i="4"/>
  <c r="E32" i="4"/>
  <c r="J24" i="2"/>
  <c r="D21" i="4"/>
  <c r="H48" i="4"/>
  <c r="K33" i="4"/>
  <c r="L33" i="4" s="1"/>
  <c r="P33" i="4"/>
  <c r="D23" i="4"/>
  <c r="J16" i="4"/>
  <c r="O16" i="4" s="1"/>
  <c r="E17" i="4"/>
  <c r="G17" i="4" s="1"/>
  <c r="J18" i="4"/>
  <c r="O18" i="4" s="1"/>
  <c r="E19" i="4"/>
  <c r="G19" i="4" s="1"/>
  <c r="J20" i="4"/>
  <c r="O20" i="4" s="1"/>
  <c r="E21" i="4"/>
  <c r="J22" i="4"/>
  <c r="O22" i="4" s="1"/>
  <c r="E23" i="4"/>
  <c r="J24" i="4"/>
  <c r="O24" i="4" s="1"/>
  <c r="E25" i="4"/>
  <c r="G25" i="4" s="1"/>
  <c r="J26" i="4"/>
  <c r="O26" i="4" s="1"/>
  <c r="E27" i="4"/>
  <c r="G27" i="4" s="1"/>
  <c r="J9" i="3"/>
  <c r="D40" i="4" s="1"/>
  <c r="G40" i="4" s="1"/>
  <c r="G10" i="3"/>
  <c r="D34" i="4" s="1"/>
  <c r="G34" i="4" s="1"/>
  <c r="D16" i="4"/>
  <c r="D18" i="4"/>
  <c r="D20" i="4"/>
  <c r="D22" i="4"/>
  <c r="D24" i="4"/>
  <c r="D26" i="4"/>
  <c r="G8" i="3"/>
  <c r="J10" i="3"/>
  <c r="D41" i="4" s="1"/>
  <c r="G41" i="4" s="1"/>
  <c r="E16" i="4"/>
  <c r="J17" i="4"/>
  <c r="O17" i="4" s="1"/>
  <c r="E18" i="4"/>
  <c r="J19" i="4"/>
  <c r="O19" i="4" s="1"/>
  <c r="E20" i="4"/>
  <c r="J21" i="4"/>
  <c r="O21" i="4" s="1"/>
  <c r="E22" i="4"/>
  <c r="J23" i="4"/>
  <c r="O23" i="4" s="1"/>
  <c r="E24" i="4"/>
  <c r="J25" i="4"/>
  <c r="O25" i="4" s="1"/>
  <c r="E26" i="4"/>
  <c r="J27" i="4"/>
  <c r="O27" i="4" s="1"/>
  <c r="J8" i="3"/>
  <c r="D39" i="4" s="1"/>
  <c r="G39" i="4" s="1"/>
  <c r="J34" i="4"/>
  <c r="O34" i="4" s="1"/>
  <c r="G24" i="4" l="1"/>
  <c r="P24" i="4" s="1"/>
  <c r="G26" i="4"/>
  <c r="K26" i="4" s="1"/>
  <c r="L26" i="4" s="1"/>
  <c r="K25" i="4"/>
  <c r="L25" i="4" s="1"/>
  <c r="P25" i="4"/>
  <c r="K27" i="4"/>
  <c r="L27" i="4" s="1"/>
  <c r="P27" i="4"/>
  <c r="K19" i="4"/>
  <c r="L19" i="4" s="1"/>
  <c r="P19" i="4"/>
  <c r="K17" i="4"/>
  <c r="L17" i="4" s="1"/>
  <c r="P17" i="4"/>
  <c r="P40" i="4"/>
  <c r="K40" i="4"/>
  <c r="L40" i="4" s="1"/>
  <c r="M10" i="3"/>
  <c r="G22" i="4"/>
  <c r="G20" i="4"/>
  <c r="K39" i="4"/>
  <c r="G42" i="4"/>
  <c r="H40" i="4" s="1"/>
  <c r="P39" i="4"/>
  <c r="G18" i="4"/>
  <c r="G23" i="4"/>
  <c r="G21" i="4"/>
  <c r="G16" i="4"/>
  <c r="D32" i="4"/>
  <c r="G32" i="4" s="1"/>
  <c r="M9" i="3"/>
  <c r="P41" i="4"/>
  <c r="K41" i="4"/>
  <c r="L41" i="4" s="1"/>
  <c r="P34" i="4"/>
  <c r="H49" i="4"/>
  <c r="K34" i="4"/>
  <c r="L34" i="4" s="1"/>
  <c r="K24" i="4" l="1"/>
  <c r="L24" i="4" s="1"/>
  <c r="P26" i="4"/>
  <c r="G35" i="4"/>
  <c r="P32" i="4"/>
  <c r="H47" i="4"/>
  <c r="K32" i="4"/>
  <c r="H32" i="4"/>
  <c r="H20" i="4"/>
  <c r="P20" i="4"/>
  <c r="K20" i="4"/>
  <c r="L20" i="4" s="1"/>
  <c r="K21" i="4"/>
  <c r="L21" i="4" s="1"/>
  <c r="P21" i="4"/>
  <c r="K22" i="4"/>
  <c r="L22" i="4" s="1"/>
  <c r="P22" i="4"/>
  <c r="L39" i="4"/>
  <c r="K38" i="4"/>
  <c r="L38" i="4" s="1"/>
  <c r="H39" i="4"/>
  <c r="P16" i="4"/>
  <c r="K16" i="4"/>
  <c r="G28" i="4"/>
  <c r="H22" i="4" s="1"/>
  <c r="K23" i="4"/>
  <c r="L23" i="4" s="1"/>
  <c r="H23" i="4"/>
  <c r="P23" i="4"/>
  <c r="H41" i="4"/>
  <c r="P18" i="4"/>
  <c r="K18" i="4"/>
  <c r="L18" i="4" s="1"/>
  <c r="P38" i="4"/>
  <c r="H21" i="4" l="1"/>
  <c r="M8" i="3"/>
  <c r="H27" i="4"/>
  <c r="H26" i="4"/>
  <c r="H17" i="4"/>
  <c r="H24" i="4"/>
  <c r="H19" i="4"/>
  <c r="H25" i="4"/>
  <c r="L32" i="4"/>
  <c r="K31" i="4"/>
  <c r="L31" i="4" s="1"/>
  <c r="P31" i="4"/>
  <c r="H18" i="4"/>
  <c r="H16" i="4"/>
  <c r="H50" i="4"/>
  <c r="H33" i="4"/>
  <c r="H34" i="4"/>
  <c r="K15" i="4"/>
  <c r="L16" i="4"/>
  <c r="P15" i="4"/>
  <c r="H42" i="4"/>
  <c r="H35" i="4" l="1"/>
  <c r="H28" i="4"/>
  <c r="L15" i="4"/>
  <c r="J14" i="4"/>
  <c r="K28" i="4"/>
  <c r="P13" i="4"/>
  <c r="P12" i="4" l="1"/>
  <c r="P28" i="4"/>
  <c r="Q13" i="4"/>
  <c r="P43" i="4"/>
  <c r="Q43" i="4"/>
  <c r="Q33" i="4"/>
  <c r="Q26" i="4"/>
  <c r="Q25" i="4"/>
  <c r="Q34" i="4"/>
  <c r="Q41" i="4"/>
  <c r="Q17" i="4"/>
  <c r="Q24" i="4"/>
  <c r="Q19" i="4"/>
  <c r="Q40" i="4"/>
  <c r="Q39" i="4"/>
  <c r="Q27" i="4"/>
  <c r="Q20" i="4"/>
  <c r="Q21" i="4"/>
  <c r="Q16" i="4"/>
  <c r="Q22" i="4"/>
  <c r="Q23" i="4"/>
  <c r="Q38" i="4"/>
  <c r="Q18" i="4"/>
  <c r="Q32" i="4"/>
  <c r="Q15" i="4"/>
  <c r="Q31" i="4"/>
  <c r="K35" i="4"/>
  <c r="L28" i="4"/>
  <c r="Q28" i="4" l="1"/>
  <c r="P35" i="4"/>
  <c r="K42" i="4"/>
  <c r="L35" i="4"/>
  <c r="K43" i="4" l="1"/>
  <c r="L42" i="4"/>
  <c r="P42" i="4"/>
  <c r="Q42" i="4" s="1"/>
  <c r="Q35" i="4"/>
  <c r="L43" i="4" l="1"/>
  <c r="L12" i="4"/>
</calcChain>
</file>

<file path=xl/sharedStrings.xml><?xml version="1.0" encoding="utf-8"?>
<sst xmlns="http://schemas.openxmlformats.org/spreadsheetml/2006/main" count="291" uniqueCount="162">
  <si>
    <t>🥑 LISTADO DE INSUMOS E INGREDIENTES</t>
  </si>
  <si>
    <t>Recepción</t>
  </si>
  <si>
    <t>Unidades</t>
  </si>
  <si>
    <t>Sucursal</t>
  </si>
  <si>
    <t>Porcentaje Estimado de Costo Logístico:</t>
  </si>
  <si>
    <t xml:space="preserve">   El porcentaje de costo logístico es el incremento en el costo de los insumos proveniente de traslados y/o almacenamiento de los insumos comprados en caso de contar con un CEDIS o Centro de Distribución.</t>
  </si>
  <si>
    <t>CEDIS</t>
  </si>
  <si>
    <t>Kilo</t>
  </si>
  <si>
    <t>¿Cómo recibes el insumo?</t>
  </si>
  <si>
    <t>% Estimado de Merma</t>
  </si>
  <si>
    <t>Afectación según recepción de compra</t>
  </si>
  <si>
    <t>Almacén</t>
  </si>
  <si>
    <t>Litro</t>
  </si>
  <si>
    <t>Nombre</t>
  </si>
  <si>
    <t>Recepción de Compra</t>
  </si>
  <si>
    <t>Costo de Compra</t>
  </si>
  <si>
    <t>Cantidad</t>
  </si>
  <si>
    <t>Unidad de Compra</t>
  </si>
  <si>
    <t>% Merma</t>
  </si>
  <si>
    <t>Costo Unitario</t>
  </si>
  <si>
    <t>Costo Logístico</t>
  </si>
  <si>
    <t>Costo Unitario Total</t>
  </si>
  <si>
    <t>Onza</t>
  </si>
  <si>
    <t>Gramo</t>
  </si>
  <si>
    <t>Libra</t>
  </si>
  <si>
    <t>Mililitro</t>
  </si>
  <si>
    <t>Rollo</t>
  </si>
  <si>
    <t>Galón</t>
  </si>
  <si>
    <t>Metro</t>
  </si>
  <si>
    <t>INFORMACIÓN GENERAL</t>
  </si>
  <si>
    <t>GASTOS DIRECTOS</t>
  </si>
  <si>
    <t>GASTOS INDIRECTOS</t>
  </si>
  <si>
    <t>Ingresos</t>
  </si>
  <si>
    <t>Sueldos Admin.</t>
  </si>
  <si>
    <t>Insumos</t>
  </si>
  <si>
    <t>Gastos Directos</t>
  </si>
  <si>
    <t>% Utilidad Deseada</t>
  </si>
  <si>
    <t>Otros Gastos</t>
  </si>
  <si>
    <t>Gastos Indirectos</t>
  </si>
  <si>
    <t>Nombre de Platillo</t>
  </si>
  <si>
    <t>Precio Platillo</t>
  </si>
  <si>
    <t>Insumo 1</t>
  </si>
  <si>
    <t>Unidad 1</t>
  </si>
  <si>
    <t>Cantidad 1</t>
  </si>
  <si>
    <t>Insumo 2</t>
  </si>
  <si>
    <t>Unidad 2</t>
  </si>
  <si>
    <t>Cantidad 2</t>
  </si>
  <si>
    <t>Insumo 3</t>
  </si>
  <si>
    <t>Unidad 3</t>
  </si>
  <si>
    <t>Cantidad 3</t>
  </si>
  <si>
    <t>Insumo 4</t>
  </si>
  <si>
    <t>Unidad 4</t>
  </si>
  <si>
    <t>Cantidad 4</t>
  </si>
  <si>
    <t>Seleccionar Platillo</t>
  </si>
  <si>
    <t>INSUMOS &amp; LOGÍSTICA</t>
  </si>
  <si>
    <t>(+) Precio</t>
  </si>
  <si>
    <t>Producto</t>
  </si>
  <si>
    <t>Unidad</t>
  </si>
  <si>
    <t>Costo Total</t>
  </si>
  <si>
    <t>Ponderación</t>
  </si>
  <si>
    <t>(-) Costos</t>
  </si>
  <si>
    <t>TOTAL</t>
  </si>
  <si>
    <t>(=) Margen Bruto</t>
  </si>
  <si>
    <t>Descripción</t>
  </si>
  <si>
    <t>Total</t>
  </si>
  <si>
    <t>Utilización</t>
  </si>
  <si>
    <t>(-) Gastos Directos</t>
  </si>
  <si>
    <t>Tiempo</t>
  </si>
  <si>
    <t>Moneda</t>
  </si>
  <si>
    <t>(=) Margen de Contribución</t>
  </si>
  <si>
    <t>(-) Gastos Indirectos</t>
  </si>
  <si>
    <t>(=) Utilidad del Producto</t>
  </si>
  <si>
    <t>Información Gráfica</t>
  </si>
  <si>
    <t>Última actualización de la información:</t>
  </si>
  <si>
    <t>Mano de Obra</t>
  </si>
  <si>
    <t>Margen objetivo sobre venta</t>
  </si>
  <si>
    <t>Gastos Oper. / Domicilio</t>
  </si>
  <si>
    <t>Mínimo</t>
  </si>
  <si>
    <t>Máximo</t>
  </si>
  <si>
    <t>Materia prima</t>
  </si>
  <si>
    <t>Gastos oper. / domicilio</t>
  </si>
  <si>
    <t>NOTAS Y SUPUESTOS</t>
  </si>
  <si>
    <t>Harina</t>
  </si>
  <si>
    <t>Azúcar</t>
  </si>
  <si>
    <t>Azúcar glas</t>
  </si>
  <si>
    <t>Huevos</t>
  </si>
  <si>
    <t>Leche entera</t>
  </si>
  <si>
    <t>Polvo para hornear</t>
  </si>
  <si>
    <t>Galletas Oreo</t>
  </si>
  <si>
    <t>🌮 PRODUCCIÓN DE POSTRES Y TORTAS</t>
  </si>
  <si>
    <t>CopCake de chocolate</t>
  </si>
  <si>
    <t>Paquete</t>
  </si>
  <si>
    <t>Vitina (margarina)</t>
  </si>
  <si>
    <t>Sal (pizca)</t>
  </si>
  <si>
    <t>Esencia de vainilla</t>
  </si>
  <si>
    <t>Mantequilla</t>
  </si>
  <si>
    <t>Base de cartón torta</t>
  </si>
  <si>
    <t>Capacillo</t>
  </si>
  <si>
    <t>Caja x12 cupcakes</t>
  </si>
  <si>
    <t>Nota: el costo de cada producto se calcula con las cantidades por unidad de la hoja Postre (Insumo / Cantidad) y el costo unitario de esta hoja.</t>
  </si>
  <si>
    <t>Precios corregidos según los PDF "Costos y utilidad - Torta de vainilla" (28/09/2026) y "Costos y precio comercial - Cupcakes de vainilla" (29/09/2026).</t>
  </si>
  <si>
    <t>Fuentes de los PDF: Éxito (harina, azúcar, mantequilla, huevos, leche, polvo, azúcar pulverizada), Mercacentro (esencia), Dispropan Caribe (Vitina Hojaldre), Orquídea (capacillos), Los Cartujos (caja x12). Base de cartón y sal: estimados.</t>
  </si>
  <si>
    <t>Unidades estandarizadas a gramo / mililitro / unidad. El % de merma es informativo: las fórmulas de la plantilla no lo aplican (los PDF tampoco).</t>
  </si>
  <si>
    <t>Precio de venta (producto elegido)</t>
  </si>
  <si>
    <t>Según el producto elegido en Explosión</t>
  </si>
  <si>
    <t>Unidades por lote</t>
  </si>
  <si>
    <t>Automático: 30 si es cupcake, 1 si es torta</t>
  </si>
  <si>
    <t>Servicios (Agua, Luz, Gas)</t>
  </si>
  <si>
    <t>Depreciación / desgaste</t>
  </si>
  <si>
    <t>Insumo 5</t>
  </si>
  <si>
    <t>Unidad 5</t>
  </si>
  <si>
    <t>Cantidad 5</t>
  </si>
  <si>
    <t>Insumo 6</t>
  </si>
  <si>
    <t>Unidad 6</t>
  </si>
  <si>
    <t>Cantidad 6</t>
  </si>
  <si>
    <t>Insumo 7</t>
  </si>
  <si>
    <t>Unidad 7</t>
  </si>
  <si>
    <t>Cantidad 7</t>
  </si>
  <si>
    <t>Insumo 8</t>
  </si>
  <si>
    <t>Unidad 8</t>
  </si>
  <si>
    <t>Cantidad 8</t>
  </si>
  <si>
    <t>Insumo 9</t>
  </si>
  <si>
    <t>Unidad 9</t>
  </si>
  <si>
    <t>Cantidad 9</t>
  </si>
  <si>
    <t>Insumo 10</t>
  </si>
  <si>
    <t>Unidad 10</t>
  </si>
  <si>
    <t>Cantidad 10</t>
  </si>
  <si>
    <t>Insumo 11</t>
  </si>
  <si>
    <t>Unidad 11</t>
  </si>
  <si>
    <t>Cantidad 11</t>
  </si>
  <si>
    <t>Insumo 12</t>
  </si>
  <si>
    <t>Unidad 12</t>
  </si>
  <si>
    <t>Cantidad 12</t>
  </si>
  <si>
    <t>Servicios</t>
  </si>
  <si>
    <t>Oper. Domicilio</t>
  </si>
  <si>
    <t>Depreciación</t>
  </si>
  <si>
    <t>Torta Vainilla - Vitina</t>
  </si>
  <si>
    <t>Torta Vainilla - Mantequilla</t>
  </si>
  <si>
    <t>CopCake vainilla - Vitina</t>
  </si>
  <si>
    <t>CopCake vainilla - Mantequilla</t>
  </si>
  <si>
    <t>CopCake vainilla decorado - Vitina</t>
  </si>
  <si>
    <t>CopCake vainilla decorado - Mantequilla</t>
  </si>
  <si>
    <t>COSTOS POR TORTA (Deligaby, solo referencia)</t>
  </si>
  <si>
    <t>MANTENIMIENTO DE EQUIPOS</t>
  </si>
  <si>
    <t>REPARTO</t>
  </si>
  <si>
    <t>Horno</t>
  </si>
  <si>
    <t>Producciones que cubre</t>
  </si>
  <si>
    <t>Batidora</t>
  </si>
  <si>
    <t>Por torta / lote</t>
  </si>
  <si>
    <t>1. Corregido según los PDF "Costos y utilidad - Torta de vainilla" (28/09/2026) y "Costos y precio comercial - Cupcakes de vainilla" (29/09/2026). Torta: receta con 500 g de harina, se vende completa a $75.000, sin cobertura.</t>
  </si>
  <si>
    <t>2. Todo está por UNIDAD (1 torta completa o 1 cupcake). Las cantidades del cupcake son el lote de 30 dividido entre 30 (ej.: 500/30 g de harina; 3 cajas x12 / 30).</t>
  </si>
  <si>
    <t>3. Gastos por unidad (columnas Mano de Obra a Otros Gastos). Torta: mano de obra 1,5 h x $10.000; servicios luz $2.000 + agua/aseo $500; mantenimiento de equipos (horno + batidora, ver bloque MANTENIMIENTO DE EQUIPOS) por torta. Cupcake: mano de obra $25.000/30 (+$10.000/30 si es decorado); servicios ($3.000+$1.000)/30; mantenimiento por lote / 30; otros = manga $500/30 (decorado). Mano de obra y servicios son supuestos de los PDF.</t>
  </si>
  <si>
    <t>4. Cambios sobre los PDF: se quitó la caja para torta ($4.481) y el desgaste estimado del PDF se reemplazó por el mantenimiento real del horno ($70.000) y la batidora ($25.000), repartido entre las producciones que indiques (celda J25). Un lote de 30 cupcakes cuenta como una producción.</t>
  </si>
  <si>
    <t>5. Gastos directos (Mano de Obra, Servicios, Oper./Domicilio) se muestran en Explosión como total del LOTE y se dividen entre las unidades por lote (Postre C9: 30 cupcakes o 1 torta); por eso la Utilización de cada cupcake es 3,33% (1/30). Oper./Domicilio: $7.000 por lote de cupcakes ($7.000/30 por unidad); en tortas está en $0, escríbelo en la columna Oper. Domicilio si aplica. No incluye arriendo, impuestos, comisiones ni publicidad.</t>
  </si>
  <si>
    <t>6. CopCake de chocolate: no hay PDF para este producto. Se dejó con la base del cupcake de vainilla (Vitina); falta agregar el cacao/chocolate y revisar su precio de $5.000.</t>
  </si>
  <si>
    <t>7. Vitina: el precio usado es Vitina Hojaldre ($6.500 / 500 g). Si compras Vitina Professional (para ponqué), cambia el precio en Insumos. Elige el producto a analizar en la hoja Explosión (celda C10).</t>
  </si>
  <si>
    <t>REFERENCIA: PRECIO PARA LOGRAR EL MARGEN DESEADO</t>
  </si>
  <si>
    <t>Precio &amp; Margen real</t>
  </si>
  <si>
    <t>Precio necesario &amp; Margen deseado</t>
  </si>
  <si>
    <t>(+) Precio necesario</t>
  </si>
  <si>
    <t>Diferencia vs. margen deseado (Postre C10)</t>
  </si>
  <si>
    <t>Aumento de precio necesario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</si>
</sst>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;;;@"/>
    <numFmt numFmtId="166" formatCode="0.0000%"/>
    <numFmt numFmtId="167" formatCode="&quot;$&quot;\ 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i/>
      <sz val="11"/>
      <color theme="9" tint="0.39997558519241921"/>
      <name val="Calibri"/>
      <family val="2"/>
      <scheme val="minor"/>
    </font>
    <font>
      <b/>
      <sz val="11"/>
      <color theme="7"/>
      <name val="Calibri"/>
      <family val="2"/>
      <scheme val="minor"/>
    </font>
    <font>
      <i/>
      <sz val="10"/>
      <color theme="7"/>
      <name val="Calibri"/>
      <family val="2"/>
      <scheme val="minor"/>
    </font>
    <font>
      <sz val="10"/>
      <color theme="7"/>
      <name val="Calibri"/>
      <family val="2"/>
      <scheme val="minor"/>
    </font>
    <font>
      <b/>
      <sz val="11"/>
      <color theme="8"/>
      <name val="Calibri"/>
      <family val="2"/>
      <scheme val="minor"/>
    </font>
    <font>
      <i/>
      <sz val="10"/>
      <color theme="8"/>
      <name val="Calibri"/>
      <family val="2"/>
      <scheme val="minor"/>
    </font>
    <font>
      <b/>
      <sz val="11"/>
      <color theme="5"/>
      <name val="Calibri"/>
      <family val="2"/>
      <scheme val="minor"/>
    </font>
    <font>
      <i/>
      <sz val="10"/>
      <color theme="5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9"/>
      <color theme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AB86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double">
        <color theme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DAB861"/>
      </left>
      <right/>
      <top style="medium">
        <color rgb="FFDAB861"/>
      </top>
      <bottom style="medium">
        <color rgb="FFDAB861"/>
      </bottom>
      <diagonal/>
    </border>
    <border>
      <left/>
      <right style="medium">
        <color rgb="FFDAB861"/>
      </right>
      <top style="medium">
        <color rgb="FFDAB861"/>
      </top>
      <bottom style="medium">
        <color rgb="FFDAB86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0" fontId="11" fillId="0" borderId="0" xfId="1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10" fontId="6" fillId="3" borderId="2" xfId="1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0" fontId="14" fillId="0" borderId="4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6" fillId="6" borderId="5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3" fillId="6" borderId="9" xfId="0" applyFont="1" applyFill="1" applyBorder="1" applyAlignment="1">
      <alignment horizontal="center" vertical="center"/>
    </xf>
    <xf numFmtId="0" fontId="0" fillId="6" borderId="8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0" fontId="6" fillId="6" borderId="0" xfId="0" applyFont="1" applyFill="1" applyAlignment="1">
      <alignment vertical="center"/>
    </xf>
    <xf numFmtId="0" fontId="6" fillId="6" borderId="9" xfId="0" applyFont="1" applyFill="1" applyBorder="1" applyAlignment="1">
      <alignment vertical="center"/>
    </xf>
    <xf numFmtId="0" fontId="16" fillId="7" borderId="0" xfId="0" applyFont="1" applyFill="1" applyAlignment="1">
      <alignment vertical="center"/>
    </xf>
    <xf numFmtId="164" fontId="16" fillId="7" borderId="0" xfId="0" applyNumberFormat="1" applyFont="1" applyFill="1" applyAlignment="1">
      <alignment vertical="center"/>
    </xf>
    <xf numFmtId="9" fontId="16" fillId="7" borderId="0" xfId="1" applyFont="1" applyFill="1" applyBorder="1" applyAlignment="1">
      <alignment vertical="center"/>
    </xf>
    <xf numFmtId="0" fontId="6" fillId="8" borderId="0" xfId="0" applyFont="1" applyFill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0" fontId="3" fillId="3" borderId="12" xfId="1" applyNumberFormat="1" applyFont="1" applyFill="1" applyBorder="1" applyAlignment="1">
      <alignment vertical="center"/>
    </xf>
    <xf numFmtId="0" fontId="13" fillId="9" borderId="2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vertical="center"/>
    </xf>
    <xf numFmtId="164" fontId="17" fillId="2" borderId="11" xfId="0" applyNumberFormat="1" applyFont="1" applyFill="1" applyBorder="1" applyAlignment="1">
      <alignment vertical="center"/>
    </xf>
    <xf numFmtId="10" fontId="17" fillId="2" borderId="12" xfId="1" applyNumberFormat="1" applyFont="1" applyFill="1" applyBorder="1" applyAlignment="1">
      <alignment vertical="center"/>
    </xf>
    <xf numFmtId="165" fontId="6" fillId="10" borderId="2" xfId="0" applyNumberFormat="1" applyFont="1" applyFill="1" applyBorder="1" applyAlignment="1">
      <alignment vertical="center"/>
    </xf>
    <xf numFmtId="164" fontId="6" fillId="10" borderId="2" xfId="0" applyNumberFormat="1" applyFont="1" applyFill="1" applyBorder="1" applyAlignment="1">
      <alignment horizontal="center" vertical="center"/>
    </xf>
    <xf numFmtId="10" fontId="6" fillId="10" borderId="2" xfId="1" applyNumberFormat="1" applyFont="1" applyFill="1" applyBorder="1" applyAlignment="1">
      <alignment horizontal="center" vertical="center"/>
    </xf>
    <xf numFmtId="0" fontId="18" fillId="6" borderId="0" xfId="0" applyFont="1" applyFill="1" applyAlignment="1">
      <alignment vertical="center"/>
    </xf>
    <xf numFmtId="164" fontId="18" fillId="6" borderId="13" xfId="0" applyNumberFormat="1" applyFont="1" applyFill="1" applyBorder="1" applyAlignment="1">
      <alignment vertical="center"/>
    </xf>
    <xf numFmtId="10" fontId="19" fillId="6" borderId="13" xfId="1" applyNumberFormat="1" applyFont="1" applyFill="1" applyBorder="1" applyAlignment="1">
      <alignment vertical="center"/>
    </xf>
    <xf numFmtId="165" fontId="6" fillId="2" borderId="2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64" fontId="18" fillId="6" borderId="0" xfId="0" applyNumberFormat="1" applyFont="1" applyFill="1" applyAlignment="1">
      <alignment vertical="center"/>
    </xf>
    <xf numFmtId="10" fontId="19" fillId="6" borderId="0" xfId="1" applyNumberFormat="1" applyFont="1" applyFill="1" applyBorder="1" applyAlignment="1">
      <alignment vertical="center"/>
    </xf>
    <xf numFmtId="10" fontId="13" fillId="9" borderId="0" xfId="1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vertical="center"/>
    </xf>
    <xf numFmtId="164" fontId="3" fillId="9" borderId="0" xfId="0" applyNumberFormat="1" applyFont="1" applyFill="1" applyAlignment="1">
      <alignment vertical="center"/>
    </xf>
    <xf numFmtId="10" fontId="3" fillId="9" borderId="0" xfId="1" applyNumberFormat="1" applyFont="1" applyFill="1" applyBorder="1" applyAlignment="1">
      <alignment vertical="center"/>
    </xf>
    <xf numFmtId="10" fontId="6" fillId="6" borderId="0" xfId="0" applyNumberFormat="1" applyFont="1" applyFill="1" applyAlignment="1">
      <alignment vertical="center"/>
    </xf>
    <xf numFmtId="0" fontId="6" fillId="11" borderId="0" xfId="0" applyFont="1" applyFill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vertical="center"/>
    </xf>
    <xf numFmtId="164" fontId="20" fillId="4" borderId="11" xfId="0" applyNumberFormat="1" applyFont="1" applyFill="1" applyBorder="1" applyAlignment="1">
      <alignment vertical="center"/>
    </xf>
    <xf numFmtId="10" fontId="20" fillId="4" borderId="12" xfId="1" applyNumberFormat="1" applyFont="1" applyFill="1" applyBorder="1" applyAlignment="1">
      <alignment vertical="center"/>
    </xf>
    <xf numFmtId="166" fontId="6" fillId="10" borderId="2" xfId="1" applyNumberFormat="1" applyFont="1" applyFill="1" applyBorder="1" applyAlignment="1">
      <alignment horizontal="center" vertical="center"/>
    </xf>
    <xf numFmtId="0" fontId="21" fillId="6" borderId="0" xfId="0" applyFont="1" applyFill="1" applyAlignment="1">
      <alignment vertical="center"/>
    </xf>
    <xf numFmtId="10" fontId="21" fillId="6" borderId="0" xfId="1" applyNumberFormat="1" applyFont="1" applyFill="1" applyBorder="1" applyAlignment="1">
      <alignment vertical="center"/>
    </xf>
    <xf numFmtId="165" fontId="6" fillId="4" borderId="2" xfId="0" applyNumberFormat="1" applyFont="1" applyFill="1" applyBorder="1" applyAlignment="1">
      <alignment vertical="center"/>
    </xf>
    <xf numFmtId="166" fontId="6" fillId="4" borderId="2" xfId="1" applyNumberFormat="1" applyFont="1" applyFill="1" applyBorder="1" applyAlignment="1">
      <alignment horizontal="center" vertical="center"/>
    </xf>
    <xf numFmtId="10" fontId="6" fillId="4" borderId="2" xfId="1" applyNumberFormat="1" applyFont="1" applyFill="1" applyBorder="1" applyAlignment="1">
      <alignment horizontal="center" vertical="center"/>
    </xf>
    <xf numFmtId="0" fontId="13" fillId="12" borderId="0" xfId="0" applyFont="1" applyFill="1" applyAlignment="1">
      <alignment vertical="center"/>
    </xf>
    <xf numFmtId="0" fontId="13" fillId="12" borderId="0" xfId="0" applyFont="1" applyFill="1" applyAlignment="1">
      <alignment horizontal="center" vertical="center"/>
    </xf>
    <xf numFmtId="164" fontId="13" fillId="12" borderId="0" xfId="0" applyNumberFormat="1" applyFont="1" applyFill="1" applyAlignment="1">
      <alignment horizontal="center" vertical="center"/>
    </xf>
    <xf numFmtId="10" fontId="13" fillId="12" borderId="0" xfId="1" applyNumberFormat="1" applyFont="1" applyFill="1" applyBorder="1" applyAlignment="1">
      <alignment horizontal="center" vertical="center"/>
    </xf>
    <xf numFmtId="0" fontId="3" fillId="12" borderId="0" xfId="0" applyFont="1" applyFill="1" applyAlignment="1">
      <alignment vertical="center"/>
    </xf>
    <xf numFmtId="164" fontId="3" fillId="12" borderId="0" xfId="0" applyNumberFormat="1" applyFont="1" applyFill="1" applyAlignment="1">
      <alignment vertical="center"/>
    </xf>
    <xf numFmtId="10" fontId="3" fillId="12" borderId="0" xfId="1" applyNumberFormat="1" applyFont="1" applyFill="1" applyBorder="1" applyAlignment="1">
      <alignment vertical="center"/>
    </xf>
    <xf numFmtId="0" fontId="6" fillId="13" borderId="0" xfId="0" applyFont="1" applyFill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vertical="center"/>
    </xf>
    <xf numFmtId="164" fontId="22" fillId="5" borderId="11" xfId="0" applyNumberFormat="1" applyFont="1" applyFill="1" applyBorder="1" applyAlignment="1">
      <alignment vertical="center"/>
    </xf>
    <xf numFmtId="10" fontId="22" fillId="5" borderId="12" xfId="1" applyNumberFormat="1" applyFont="1" applyFill="1" applyBorder="1" applyAlignment="1">
      <alignment vertical="center"/>
    </xf>
    <xf numFmtId="10" fontId="23" fillId="6" borderId="13" xfId="1" applyNumberFormat="1" applyFont="1" applyFill="1" applyBorder="1" applyAlignment="1">
      <alignment vertical="center"/>
    </xf>
    <xf numFmtId="165" fontId="6" fillId="5" borderId="2" xfId="0" applyNumberFormat="1" applyFont="1" applyFill="1" applyBorder="1" applyAlignment="1">
      <alignment vertical="center"/>
    </xf>
    <xf numFmtId="166" fontId="6" fillId="5" borderId="2" xfId="1" applyNumberFormat="1" applyFont="1" applyFill="1" applyBorder="1" applyAlignment="1">
      <alignment horizontal="center" vertical="center"/>
    </xf>
    <xf numFmtId="10" fontId="6" fillId="5" borderId="2" xfId="1" applyNumberFormat="1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vertical="center"/>
    </xf>
    <xf numFmtId="10" fontId="23" fillId="6" borderId="14" xfId="1" applyNumberFormat="1" applyFont="1" applyFill="1" applyBorder="1" applyAlignment="1">
      <alignment vertical="center"/>
    </xf>
    <xf numFmtId="0" fontId="13" fillId="14" borderId="0" xfId="0" applyFont="1" applyFill="1" applyAlignment="1">
      <alignment vertical="center"/>
    </xf>
    <xf numFmtId="0" fontId="13" fillId="14" borderId="0" xfId="0" applyFont="1" applyFill="1" applyAlignment="1">
      <alignment horizontal="center" vertical="center"/>
    </xf>
    <xf numFmtId="164" fontId="13" fillId="14" borderId="0" xfId="0" applyNumberFormat="1" applyFont="1" applyFill="1" applyAlignment="1">
      <alignment horizontal="center" vertical="center"/>
    </xf>
    <xf numFmtId="10" fontId="13" fillId="14" borderId="0" xfId="1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vertical="center"/>
    </xf>
    <xf numFmtId="164" fontId="3" fillId="14" borderId="0" xfId="0" applyNumberFormat="1" applyFont="1" applyFill="1" applyAlignment="1">
      <alignment vertical="center"/>
    </xf>
    <xf numFmtId="10" fontId="3" fillId="14" borderId="0" xfId="1" applyNumberFormat="1" applyFont="1" applyFill="1" applyBorder="1" applyAlignment="1">
      <alignment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vertical="center"/>
    </xf>
    <xf numFmtId="14" fontId="6" fillId="3" borderId="15" xfId="0" applyNumberFormat="1" applyFont="1" applyFill="1" applyBorder="1" applyAlignment="1">
      <alignment horizontal="center" vertical="center"/>
    </xf>
    <xf numFmtId="165" fontId="24" fillId="6" borderId="0" xfId="0" applyNumberFormat="1" applyFont="1" applyFill="1" applyAlignment="1">
      <alignment vertical="center"/>
    </xf>
    <xf numFmtId="164" fontId="24" fillId="6" borderId="0" xfId="0" applyNumberFormat="1" applyFont="1" applyFill="1" applyAlignment="1">
      <alignment vertical="center"/>
    </xf>
    <xf numFmtId="0" fontId="24" fillId="6" borderId="0" xfId="0" applyFont="1" applyFill="1" applyAlignment="1">
      <alignment vertical="center"/>
    </xf>
    <xf numFmtId="0" fontId="6" fillId="6" borderId="16" xfId="0" applyFont="1" applyFill="1" applyBorder="1" applyAlignment="1">
      <alignment vertical="center"/>
    </xf>
    <xf numFmtId="0" fontId="6" fillId="6" borderId="17" xfId="0" applyFont="1" applyFill="1" applyBorder="1" applyAlignment="1">
      <alignment vertical="center"/>
    </xf>
    <xf numFmtId="0" fontId="24" fillId="6" borderId="17" xfId="0" applyFont="1" applyFill="1" applyBorder="1" applyAlignment="1">
      <alignment vertical="center"/>
    </xf>
    <xf numFmtId="0" fontId="6" fillId="6" borderId="18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10" fontId="23" fillId="6" borderId="0" xfId="1" applyNumberFormat="1" applyFont="1" applyFill="1" applyBorder="1" applyAlignment="1">
      <alignment vertical="center"/>
    </xf>
    <xf numFmtId="0" fontId="23" fillId="6" borderId="0" xfId="0" applyFont="1" applyFill="1" applyAlignment="1">
      <alignment vertical="center"/>
    </xf>
    <xf numFmtId="0" fontId="23" fillId="6" borderId="13" xfId="0" applyFont="1" applyFill="1" applyBorder="1" applyAlignment="1">
      <alignment vertical="center"/>
    </xf>
    <xf numFmtId="2" fontId="6" fillId="10" borderId="2" xfId="0" applyNumberFormat="1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vertical="center"/>
    </xf>
    <xf numFmtId="164" fontId="18" fillId="6" borderId="20" xfId="0" applyNumberFormat="1" applyFont="1" applyFill="1" applyBorder="1" applyAlignment="1">
      <alignment vertical="center"/>
    </xf>
    <xf numFmtId="10" fontId="19" fillId="6" borderId="20" xfId="1" applyNumberFormat="1" applyFont="1" applyFill="1" applyBorder="1" applyAlignment="1">
      <alignment vertical="center"/>
    </xf>
    <xf numFmtId="0" fontId="21" fillId="6" borderId="20" xfId="0" applyFont="1" applyFill="1" applyBorder="1" applyAlignment="1">
      <alignment vertical="center"/>
    </xf>
    <xf numFmtId="164" fontId="21" fillId="6" borderId="20" xfId="0" applyNumberFormat="1" applyFont="1" applyFill="1" applyBorder="1" applyAlignment="1">
      <alignment vertical="center"/>
    </xf>
    <xf numFmtId="10" fontId="21" fillId="6" borderId="20" xfId="1" applyNumberFormat="1" applyFont="1" applyFill="1" applyBorder="1" applyAlignment="1">
      <alignment vertical="center"/>
    </xf>
    <xf numFmtId="3" fontId="6" fillId="3" borderId="2" xfId="0" applyNumberFormat="1" applyFont="1" applyFill="1" applyBorder="1" applyAlignment="1">
      <alignment horizontal="center" vertical="center"/>
    </xf>
    <xf numFmtId="164" fontId="21" fillId="6" borderId="13" xfId="0" applyNumberFormat="1" applyFont="1" applyFill="1" applyBorder="1" applyAlignment="1">
      <alignment vertical="center"/>
    </xf>
    <xf numFmtId="164" fontId="21" fillId="6" borderId="0" xfId="0" applyNumberFormat="1" applyFont="1" applyFill="1" applyAlignment="1">
      <alignment vertical="center"/>
    </xf>
    <xf numFmtId="164" fontId="23" fillId="6" borderId="13" xfId="0" applyNumberFormat="1" applyFont="1" applyFill="1" applyBorder="1" applyAlignment="1">
      <alignment vertical="center"/>
    </xf>
    <xf numFmtId="164" fontId="23" fillId="6" borderId="0" xfId="0" applyNumberFormat="1" applyFont="1" applyFill="1" applyAlignment="1">
      <alignment vertical="center"/>
    </xf>
    <xf numFmtId="164" fontId="23" fillId="6" borderId="21" xfId="0" applyNumberFormat="1" applyFont="1" applyFill="1" applyBorder="1" applyAlignment="1">
      <alignment vertical="center"/>
    </xf>
    <xf numFmtId="0" fontId="25" fillId="6" borderId="0" xfId="0" applyFont="1" applyFill="1" applyAlignment="1">
      <alignment vertical="center"/>
    </xf>
    <xf numFmtId="0" fontId="26" fillId="6" borderId="0" xfId="0" applyFont="1" applyFill="1" applyAlignment="1">
      <alignment vertical="center"/>
    </xf>
    <xf numFmtId="0" fontId="26" fillId="6" borderId="17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6" fillId="6" borderId="9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0" fillId="15" borderId="0" xfId="0" applyFill="1"/>
    <xf numFmtId="0" fontId="0" fillId="15" borderId="0" xfId="0" applyFill="1" applyAlignment="1">
      <alignment vertical="center"/>
    </xf>
    <xf numFmtId="0" fontId="6" fillId="15" borderId="0" xfId="0" applyFont="1" applyFill="1" applyAlignment="1">
      <alignment vertical="center"/>
    </xf>
    <xf numFmtId="0" fontId="28" fillId="0" borderId="0" xfId="0" applyFont="1"/>
    <xf numFmtId="0" fontId="2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0" fontId="0" fillId="16" borderId="0" xfId="0" applyFill="1"/>
    <xf numFmtId="0" fontId="0" fillId="16" borderId="0" xfId="0" applyFill="1" applyAlignment="1">
      <alignment vertical="center"/>
    </xf>
    <xf numFmtId="0" fontId="6" fillId="16" borderId="0" xfId="0" applyFont="1" applyFill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167" fontId="13" fillId="8" borderId="0" xfId="0" applyNumberFormat="1" applyFont="1" applyFill="1" applyAlignment="1">
      <alignment horizontal="center" vertical="center"/>
    </xf>
    <xf numFmtId="167" fontId="6" fillId="8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right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67">
    <dxf>
      <font>
        <color rgb="FF00B050"/>
      </font>
    </dxf>
    <dxf>
      <font>
        <color rgb="FFFF0000"/>
      </font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rgb="FFFFCC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</dxf>
    <dxf>
      <fill>
        <patternFill>
          <bgColor rgb="FFFFCC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 patternType="lightUp"/>
      </fill>
    </dxf>
    <dxf>
      <fill>
        <patternFill>
          <bgColor rgb="FFFFCC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 patternType="lightUp"/>
      </fill>
    </dxf>
    <dxf>
      <fill>
        <patternFill patternType="lightUp"/>
      </fill>
    </dxf>
    <dxf>
      <fill>
        <patternFill>
          <bgColor rgb="FFFFCC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 patternType="lightUp"/>
      </fill>
    </dxf>
    <dxf>
      <fill>
        <patternFill patternType="lightUp"/>
      </fill>
    </dxf>
    <dxf>
      <fill>
        <patternFill>
          <bgColor rgb="FFFFCC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auto="1"/>
        <name val="Calibri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9"/>
        <name val="Calibri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0070C0"/>
        <name val="Calibri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AB861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/>
              <a:t>Distribución de Costos Estimada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14-4732-B328-3CA9AA48F67D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14-4732-B328-3CA9AA48F67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14-4732-B328-3CA9AA48F67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14-4732-B328-3CA9AA48F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Postre!$L$7:$L$10</c:f>
              <c:strCache>
                <c:ptCount val="4"/>
                <c:pt idx="0">
                  <c:v>Ingresos</c:v>
                </c:pt>
                <c:pt idx="1">
                  <c:v>Insumos</c:v>
                </c:pt>
                <c:pt idx="2">
                  <c:v>Gastos Directos</c:v>
                </c:pt>
                <c:pt idx="3">
                  <c:v>Gastos Indirectos</c:v>
                </c:pt>
              </c:strCache>
            </c:strRef>
          </c:cat>
          <c:val>
            <c:numRef>
              <c:f>Postre!$M$7:$M$10</c:f>
              <c:numCache>
                <c:formatCode>"$"#,##0.00</c:formatCode>
                <c:ptCount val="4"/>
                <c:pt idx="0">
                  <c:v>75000</c:v>
                </c:pt>
                <c:pt idx="1">
                  <c:v>40837.016129032258</c:v>
                </c:pt>
                <c:pt idx="2">
                  <c:v>17500</c:v>
                </c:pt>
                <c:pt idx="3">
                  <c:v>16662.9838709677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4-4732-B328-3CA9AA48F6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74849888"/>
        <c:axId val="977113608"/>
      </c:barChart>
      <c:catAx>
        <c:axId val="574849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7113608"/>
        <c:crosses val="autoZero"/>
        <c:auto val="1"/>
        <c:lblAlgn val="ctr"/>
        <c:lblOffset val="100"/>
        <c:noMultiLvlLbl val="0"/>
      </c:catAx>
      <c:valAx>
        <c:axId val="977113608"/>
        <c:scaling>
          <c:orientation val="minMax"/>
        </c:scaling>
        <c:delete val="1"/>
        <c:axPos val="t"/>
        <c:numFmt formatCode="&quot;$&quot;#,##0.00" sourceLinked="1"/>
        <c:majorTickMark val="none"/>
        <c:minorTickMark val="none"/>
        <c:tickLblPos val="nextTo"/>
        <c:crossAx val="57484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Costo de Ingredientes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4"/>
                </a:gs>
                <a:gs pos="58000">
                  <a:schemeClr val="accent4">
                    <a:lumMod val="20000"/>
                    <a:lumOff val="80000"/>
                  </a:schemeClr>
                </a:gs>
              </a:gsLst>
              <a:lin ang="14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Explosión!$C$16:$C$27</c:f>
              <c:strCache>
                <c:ptCount val="9"/>
                <c:pt idx="0">
                  <c:v>Harina</c:v>
                </c:pt>
                <c:pt idx="1">
                  <c:v>Azúcar</c:v>
                </c:pt>
                <c:pt idx="2">
                  <c:v>Mantequilla</c:v>
                </c:pt>
                <c:pt idx="3">
                  <c:v>Huevos</c:v>
                </c:pt>
                <c:pt idx="4">
                  <c:v>Leche entera</c:v>
                </c:pt>
                <c:pt idx="5">
                  <c:v>Polvo para hornear</c:v>
                </c:pt>
                <c:pt idx="6">
                  <c:v>Esencia de vainilla</c:v>
                </c:pt>
                <c:pt idx="7">
                  <c:v>Sal (pizca)</c:v>
                </c:pt>
                <c:pt idx="8">
                  <c:v>Base de cartón torta</c:v>
                </c:pt>
              </c:strCache>
            </c:strRef>
          </c:cat>
          <c:val>
            <c:numRef>
              <c:f>Explosión!$G$16:$G$27</c:f>
              <c:numCache>
                <c:formatCode>"$"#,##0.00</c:formatCode>
                <c:ptCount val="12"/>
                <c:pt idx="0">
                  <c:v>2250</c:v>
                </c:pt>
                <c:pt idx="1">
                  <c:v>2039.9999999999998</c:v>
                </c:pt>
                <c:pt idx="2">
                  <c:v>24880</c:v>
                </c:pt>
                <c:pt idx="3">
                  <c:v>7120</c:v>
                </c:pt>
                <c:pt idx="4">
                  <c:v>1122.5</c:v>
                </c:pt>
                <c:pt idx="5">
                  <c:v>1410</c:v>
                </c:pt>
                <c:pt idx="6">
                  <c:v>464.51612903225805</c:v>
                </c:pt>
                <c:pt idx="7">
                  <c:v>50</c:v>
                </c:pt>
                <c:pt idx="8">
                  <c:v>1500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E-4BC4-988F-624B25A1A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267568"/>
        <c:axId val="760275440"/>
      </c:barChart>
      <c:catAx>
        <c:axId val="760267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0275440"/>
        <c:crosses val="autoZero"/>
        <c:auto val="1"/>
        <c:lblAlgn val="ctr"/>
        <c:lblOffset val="100"/>
        <c:noMultiLvlLbl val="0"/>
      </c:catAx>
      <c:valAx>
        <c:axId val="760275440"/>
        <c:scaling>
          <c:orientation val="minMax"/>
        </c:scaling>
        <c:delete val="1"/>
        <c:axPos val="t"/>
        <c:numFmt formatCode="&quot;$&quot;#,##0.00" sourceLinked="1"/>
        <c:majorTickMark val="none"/>
        <c:minorTickMark val="none"/>
        <c:tickLblPos val="nextTo"/>
        <c:crossAx val="76026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alpha val="7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Impacto de Gastos Indirectos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Calibri" panose="020F0502020204030204"/>
            </a:rPr>
            <a:t>Impacto de Gastos Indirectos</a:t>
          </a:r>
        </a:p>
      </cx:txPr>
    </cx:title>
    <cx:plotArea>
      <cx:plotAreaRegion>
        <cx:series layoutId="waterfall" uniqueId="{186EE92B-31CC-43E9-A525-52B9611832BE}">
          <cx:spPr>
            <a:gradFill>
              <a:gsLst>
                <a:gs pos="0">
                  <a:schemeClr val="accent2"/>
                </a:gs>
                <a:gs pos="58000">
                  <a:schemeClr val="accent2">
                    <a:lumMod val="20000"/>
                    <a:lumOff val="80000"/>
                  </a:schemeClr>
                </a:gs>
              </a:gsLst>
              <a:lin ang="14400000" scaled="0"/>
            </a:gradFill>
          </cx:spPr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MX">
                  <a:solidFill>
                    <a:schemeClr val="bg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MX">
              <a:solidFill>
                <a:schemeClr val="bg1"/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MX">
              <a:solidFill>
                <a:schemeClr val="bg1"/>
              </a:solidFill>
            </a:endParaRPr>
          </a:p>
        </cx:txPr>
      </cx:axis>
    </cx:plotArea>
  </cx:chart>
  <cx:spPr>
    <a:solidFill>
      <a:schemeClr val="tx1">
        <a:alpha val="70000"/>
      </a:schemeClr>
    </a:soli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Distribución de Gastos Directos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Calibri" panose="020F0502020204030204"/>
            </a:rPr>
            <a:t>Distribución de Gastos Directos</a:t>
          </a:r>
        </a:p>
      </cx:txPr>
    </cx:title>
    <cx:plotArea>
      <cx:plotAreaRegion>
        <cx:series layoutId="waterfall" uniqueId="{6DD86C47-A31A-4846-AD5B-D296CA4DF17C}">
          <cx:spPr>
            <a:gradFill>
              <a:gsLst>
                <a:gs pos="3000">
                  <a:schemeClr val="accent5"/>
                </a:gs>
                <a:gs pos="100000">
                  <a:schemeClr val="accent5">
                    <a:lumMod val="20000"/>
                    <a:lumOff val="80000"/>
                  </a:schemeClr>
                </a:gs>
              </a:gsLst>
              <a:lin ang="5400000" scaled="0"/>
            </a:gradFill>
          </cx:spPr>
          <cx:dataPt idx="3">
            <cx:spPr>
              <a:gradFill>
                <a:gsLst>
                  <a:gs pos="3000">
                    <a:sysClr val="window" lastClr="FFFFFF">
                      <a:lumMod val="75000"/>
                    </a:sysClr>
                  </a:gs>
                  <a:gs pos="100000">
                    <a:srgbClr val="5B9BD5">
                      <a:lumMod val="20000"/>
                      <a:lumOff val="80000"/>
                    </a:srgbClr>
                  </a:gs>
                </a:gsLst>
              </a:gradFill>
            </cx:spPr>
          </cx:dataPt>
          <cx:dataPt idx="5">
            <cx:spPr>
              <a:gradFill>
                <a:gsLst>
                  <a:gs pos="51000">
                    <a:sysClr val="window" lastClr="FFFFFF">
                      <a:lumMod val="75000"/>
                    </a:sysClr>
                  </a:gs>
                  <a:gs pos="100000">
                    <a:sysClr val="window" lastClr="FFFFFF"/>
                  </a:gs>
                </a:gsLst>
                <a:lin ang="5400000" scaled="0"/>
              </a:gra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MX">
                  <a:solidFill>
                    <a:schemeClr val="bg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3"/>
              <cx:idx val="5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MX">
              <a:solidFill>
                <a:schemeClr val="bg1"/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MX">
              <a:solidFill>
                <a:schemeClr val="bg1"/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MX">
            <a:solidFill>
              <a:schemeClr val="bg1"/>
            </a:solidFill>
          </a:endParaRPr>
        </a:p>
      </cx:txPr>
    </cx:legend>
  </cx:chart>
  <cx:spPr>
    <a:solidFill>
      <a:schemeClr val="tx1">
        <a:alpha val="70000"/>
      </a:schemeClr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hyperlink" Target="#Explosi&#243;n!A1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hyperlink" Target="#Postre!A1"/><Relationship Id="rId5" Type="http://schemas.openxmlformats.org/officeDocument/2006/relationships/hyperlink" Target="#Insumos!A1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Explosi&#243;n!A1"/><Relationship Id="rId2" Type="http://schemas.openxmlformats.org/officeDocument/2006/relationships/hyperlink" Target="#Postre!A1"/><Relationship Id="rId1" Type="http://schemas.openxmlformats.org/officeDocument/2006/relationships/hyperlink" Target="#Insumo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ostre!A1"/><Relationship Id="rId2" Type="http://schemas.openxmlformats.org/officeDocument/2006/relationships/hyperlink" Target="#Insumos!A1"/><Relationship Id="rId1" Type="http://schemas.openxmlformats.org/officeDocument/2006/relationships/chart" Target="../charts/chart1.xml"/><Relationship Id="rId4" Type="http://schemas.openxmlformats.org/officeDocument/2006/relationships/hyperlink" Target="#Explosi&#243;n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0.png"/><Relationship Id="rId3" Type="http://schemas.microsoft.com/office/2014/relationships/chartEx" Target="../charts/chartEx1.xml"/><Relationship Id="rId7" Type="http://schemas.openxmlformats.org/officeDocument/2006/relationships/image" Target="../media/image7.svg"/><Relationship Id="rId12" Type="http://schemas.openxmlformats.org/officeDocument/2006/relationships/hyperlink" Target="#Explosi&#243;n!A1"/><Relationship Id="rId2" Type="http://schemas.microsoft.com/office/2007/relationships/hdphoto" Target="../media/hdphoto1.wdp"/><Relationship Id="rId1" Type="http://schemas.openxmlformats.org/officeDocument/2006/relationships/image" Target="../media/image5.png"/><Relationship Id="rId6" Type="http://schemas.openxmlformats.org/officeDocument/2006/relationships/image" Target="../media/image6.png"/><Relationship Id="rId11" Type="http://schemas.openxmlformats.org/officeDocument/2006/relationships/hyperlink" Target="#Postre!A1"/><Relationship Id="rId5" Type="http://schemas.microsoft.com/office/2014/relationships/chartEx" Target="../charts/chartEx2.xml"/><Relationship Id="rId10" Type="http://schemas.openxmlformats.org/officeDocument/2006/relationships/hyperlink" Target="#Insumos!A1"/><Relationship Id="rId4" Type="http://schemas.openxmlformats.org/officeDocument/2006/relationships/chart" Target="../charts/chart2.xml"/><Relationship Id="rId9" Type="http://schemas.openxmlformats.org/officeDocument/2006/relationships/image" Target="../media/image9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5080</xdr:rowOff>
    </xdr:from>
    <xdr:to>
      <xdr:col>21</xdr:col>
      <xdr:colOff>152400</xdr:colOff>
      <xdr:row>30</xdr:row>
      <xdr:rowOff>80583</xdr:rowOff>
    </xdr:to>
    <xdr:pic>
      <xdr:nvPicPr>
        <xdr:cNvPr id="16" name="Imagen 15" descr="Food Wallpaper - Foods Wallpaper Hd - 2560x1600 Wallpaper - teahub.io">
          <a:extLst>
            <a:ext uri="{FF2B5EF4-FFF2-40B4-BE49-F238E27FC236}">
              <a16:creationId xmlns:a16="http://schemas.microsoft.com/office/drawing/2014/main" id="{84571F75-819D-4400-99B9-4BAB95C5D0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701" r="35563" b="59507"/>
        <a:stretch/>
      </xdr:blipFill>
      <xdr:spPr bwMode="auto">
        <a:xfrm>
          <a:off x="0" y="640080"/>
          <a:ext cx="15917333" cy="5290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25399</xdr:colOff>
      <xdr:row>2</xdr:row>
      <xdr:rowOff>7621</xdr:rowOff>
    </xdr:from>
    <xdr:to>
      <xdr:col>21</xdr:col>
      <xdr:colOff>270933</xdr:colOff>
      <xdr:row>30</xdr:row>
      <xdr:rowOff>84666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20B3195-5BB0-4CAF-B9A7-E4E9002529A9}"/>
            </a:ext>
          </a:extLst>
        </xdr:cNvPr>
        <xdr:cNvSpPr/>
      </xdr:nvSpPr>
      <xdr:spPr>
        <a:xfrm>
          <a:off x="25399" y="642621"/>
          <a:ext cx="15891934" cy="5292512"/>
        </a:xfrm>
        <a:prstGeom prst="rect">
          <a:avLst/>
        </a:prstGeom>
        <a:solidFill>
          <a:schemeClr val="tx1">
            <a:alpha val="7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13</xdr:col>
      <xdr:colOff>745065</xdr:colOff>
      <xdr:row>10</xdr:row>
      <xdr:rowOff>160628</xdr:rowOff>
    </xdr:from>
    <xdr:to>
      <xdr:col>18</xdr:col>
      <xdr:colOff>194733</xdr:colOff>
      <xdr:row>27</xdr:row>
      <xdr:rowOff>94564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11C8626-EB1B-4698-8637-5B871B5A59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2"/>
        <a:stretch/>
      </xdr:blipFill>
      <xdr:spPr>
        <a:xfrm>
          <a:off x="10557932" y="2285761"/>
          <a:ext cx="3429001" cy="3100470"/>
        </a:xfrm>
        <a:prstGeom prst="rect">
          <a:avLst/>
        </a:prstGeom>
      </xdr:spPr>
    </xdr:pic>
    <xdr:clientData/>
  </xdr:twoCellAnchor>
  <xdr:twoCellAnchor editAs="oneCell">
    <xdr:from>
      <xdr:col>8</xdr:col>
      <xdr:colOff>338667</xdr:colOff>
      <xdr:row>10</xdr:row>
      <xdr:rowOff>149999</xdr:rowOff>
    </xdr:from>
    <xdr:to>
      <xdr:col>12</xdr:col>
      <xdr:colOff>567267</xdr:colOff>
      <xdr:row>27</xdr:row>
      <xdr:rowOff>95154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69C37DA-CC04-4588-BCBB-D9D40760E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89" r="11609"/>
        <a:stretch/>
      </xdr:blipFill>
      <xdr:spPr>
        <a:xfrm>
          <a:off x="6172200" y="2275132"/>
          <a:ext cx="3412067" cy="3111689"/>
        </a:xfrm>
        <a:prstGeom prst="rect">
          <a:avLst/>
        </a:prstGeom>
      </xdr:spPr>
    </xdr:pic>
    <xdr:clientData/>
  </xdr:twoCellAnchor>
  <xdr:twoCellAnchor editAs="oneCell">
    <xdr:from>
      <xdr:col>2</xdr:col>
      <xdr:colOff>736600</xdr:colOff>
      <xdr:row>10</xdr:row>
      <xdr:rowOff>143935</xdr:rowOff>
    </xdr:from>
    <xdr:to>
      <xdr:col>7</xdr:col>
      <xdr:colOff>186266</xdr:colOff>
      <xdr:row>27</xdr:row>
      <xdr:rowOff>101600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C63BFA2-2E91-4CED-ACD6-8804F565C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86" r="13272"/>
        <a:stretch/>
      </xdr:blipFill>
      <xdr:spPr>
        <a:xfrm>
          <a:off x="1794933" y="2269068"/>
          <a:ext cx="3429000" cy="3124199"/>
        </a:xfrm>
        <a:prstGeom prst="rect">
          <a:avLst/>
        </a:prstGeom>
      </xdr:spPr>
    </xdr:pic>
    <xdr:clientData/>
  </xdr:twoCellAnchor>
  <xdr:twoCellAnchor>
    <xdr:from>
      <xdr:col>4</xdr:col>
      <xdr:colOff>730878</xdr:colOff>
      <xdr:row>3</xdr:row>
      <xdr:rowOff>149016</xdr:rowOff>
    </xdr:from>
    <xdr:to>
      <xdr:col>16</xdr:col>
      <xdr:colOff>188612</xdr:colOff>
      <xdr:row>8</xdr:row>
      <xdr:rowOff>139703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76F2035-7268-44AC-8833-F7D3A7867C45}"/>
            </a:ext>
          </a:extLst>
        </xdr:cNvPr>
        <xdr:cNvSpPr txBox="1"/>
      </xdr:nvSpPr>
      <xdr:spPr>
        <a:xfrm>
          <a:off x="3380945" y="970283"/>
          <a:ext cx="9008134" cy="922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4000">
              <a:solidFill>
                <a:schemeClr val="bg1"/>
              </a:solidFill>
              <a:latin typeface="Franklin Gothic Book" panose="020B0503020102020204" pitchFamily="34" charset="0"/>
            </a:rPr>
            <a:t>COSTEO DE</a:t>
          </a:r>
          <a:r>
            <a:rPr lang="es-MX" sz="4000" baseline="0">
              <a:solidFill>
                <a:schemeClr val="bg1"/>
              </a:solidFill>
              <a:latin typeface="Franklin Gothic Book" panose="020B0503020102020204" pitchFamily="34" charset="0"/>
            </a:rPr>
            <a:t> POSTRE</a:t>
          </a:r>
        </a:p>
        <a:p>
          <a:pPr algn="ctr"/>
          <a:r>
            <a:rPr lang="es-MX" sz="1400" baseline="0">
              <a:solidFill>
                <a:schemeClr val="bg1"/>
              </a:solidFill>
              <a:latin typeface="Franklin Gothic Book" panose="020B0503020102020204" pitchFamily="34" charset="0"/>
            </a:rPr>
            <a:t>Deligaby Repostería </a:t>
          </a:r>
          <a:endParaRPr lang="es-MX" sz="1400">
            <a:solidFill>
              <a:schemeClr val="bg1"/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>
    <xdr:from>
      <xdr:col>2</xdr:col>
      <xdr:colOff>745918</xdr:colOff>
      <xdr:row>10</xdr:row>
      <xdr:rowOff>160444</xdr:rowOff>
    </xdr:from>
    <xdr:to>
      <xdr:col>7</xdr:col>
      <xdr:colOff>173408</xdr:colOff>
      <xdr:row>27</xdr:row>
      <xdr:rowOff>80010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DCFB364-1FAC-488D-A93B-04A94562F620}"/>
            </a:ext>
          </a:extLst>
        </xdr:cNvPr>
        <xdr:cNvSpPr/>
      </xdr:nvSpPr>
      <xdr:spPr>
        <a:xfrm>
          <a:off x="1804251" y="2285577"/>
          <a:ext cx="3406824" cy="3086100"/>
        </a:xfrm>
        <a:prstGeom prst="rect">
          <a:avLst/>
        </a:prstGeom>
        <a:solidFill>
          <a:schemeClr val="tx1">
            <a:alpha val="70000"/>
          </a:schemeClr>
        </a:solidFill>
        <a:ln w="381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 b="1">
              <a:solidFill>
                <a:schemeClr val="bg1"/>
              </a:solidFill>
            </a:rPr>
            <a:t>INSUMOS &amp; LOGÍSTICA</a:t>
          </a:r>
        </a:p>
        <a:p>
          <a:pPr algn="ctr"/>
          <a:r>
            <a:rPr lang="es-MX" sz="1800">
              <a:solidFill>
                <a:schemeClr val="bg1"/>
              </a:solidFill>
            </a:rPr>
            <a:t>Compras y Recetas</a:t>
          </a:r>
          <a:r>
            <a:rPr lang="es-MX" sz="1800" baseline="0">
              <a:solidFill>
                <a:schemeClr val="bg1"/>
              </a:solidFill>
            </a:rPr>
            <a:t> de Menú</a:t>
          </a:r>
          <a:endParaRPr lang="es-MX" sz="18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346366</xdr:colOff>
      <xdr:row>10</xdr:row>
      <xdr:rowOff>160444</xdr:rowOff>
    </xdr:from>
    <xdr:to>
      <xdr:col>12</xdr:col>
      <xdr:colOff>569723</xdr:colOff>
      <xdr:row>27</xdr:row>
      <xdr:rowOff>80010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597F8AED-D4A7-4826-8B78-49067BCD9399}"/>
            </a:ext>
          </a:extLst>
        </xdr:cNvPr>
        <xdr:cNvSpPr/>
      </xdr:nvSpPr>
      <xdr:spPr>
        <a:xfrm>
          <a:off x="6179899" y="2285577"/>
          <a:ext cx="3406824" cy="3086100"/>
        </a:xfrm>
        <a:prstGeom prst="rect">
          <a:avLst/>
        </a:prstGeom>
        <a:solidFill>
          <a:schemeClr val="tx1">
            <a:alpha val="70000"/>
          </a:schemeClr>
        </a:solidFill>
        <a:ln w="381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GASTOS DIRECTOS</a:t>
          </a:r>
          <a:endParaRPr lang="es-MX" sz="2400">
            <a:solidFill>
              <a:schemeClr val="bg1"/>
            </a:solidFill>
            <a:effectLst/>
          </a:endParaRPr>
        </a:p>
        <a:p>
          <a:pPr algn="ctr"/>
          <a:r>
            <a:rPr lang="es-MX" sz="1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Transformación Operativa</a:t>
          </a:r>
          <a:endParaRPr lang="es-MX" sz="18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746080</xdr:colOff>
      <xdr:row>10</xdr:row>
      <xdr:rowOff>160444</xdr:rowOff>
    </xdr:from>
    <xdr:to>
      <xdr:col>18</xdr:col>
      <xdr:colOff>173571</xdr:colOff>
      <xdr:row>27</xdr:row>
      <xdr:rowOff>80010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27A46DFB-3BDF-42F3-910E-901EDB2260B6}"/>
            </a:ext>
          </a:extLst>
        </xdr:cNvPr>
        <xdr:cNvSpPr/>
      </xdr:nvSpPr>
      <xdr:spPr>
        <a:xfrm>
          <a:off x="10558947" y="2285577"/>
          <a:ext cx="3406824" cy="3086100"/>
        </a:xfrm>
        <a:prstGeom prst="rect">
          <a:avLst/>
        </a:prstGeom>
        <a:solidFill>
          <a:schemeClr val="tx1">
            <a:alpha val="70000"/>
          </a:schemeClr>
        </a:solidFill>
        <a:ln w="3810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GASTOS INDIRECTOS</a:t>
          </a:r>
        </a:p>
        <a:p>
          <a:pPr algn="ctr"/>
          <a:r>
            <a:rPr lang="es-MX" sz="18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Administración y Otros Gastos</a:t>
          </a:r>
          <a:endParaRPr lang="es-MX" sz="18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49317</xdr:colOff>
      <xdr:row>0</xdr:row>
      <xdr:rowOff>0</xdr:rowOff>
    </xdr:from>
    <xdr:to>
      <xdr:col>4</xdr:col>
      <xdr:colOff>785917</xdr:colOff>
      <xdr:row>1</xdr:row>
      <xdr:rowOff>0</xdr:rowOff>
    </xdr:to>
    <xdr:sp macro="" textlink="">
      <xdr:nvSpPr>
        <xdr:cNvPr id="18" name="Rectángulo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F548F7-F2BC-4CD4-9E22-6EF20A5D0C91}"/>
            </a:ext>
          </a:extLst>
        </xdr:cNvPr>
        <xdr:cNvSpPr/>
      </xdr:nvSpPr>
      <xdr:spPr>
        <a:xfrm>
          <a:off x="1903517" y="0"/>
          <a:ext cx="1532467" cy="381000"/>
        </a:xfrm>
        <a:prstGeom prst="rect">
          <a:avLst/>
        </a:prstGeom>
        <a:solidFill>
          <a:srgbClr val="DAB861"/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🥑</a:t>
          </a:r>
          <a:r>
            <a:rPr lang="es-MX" sz="1100" b="0"/>
            <a:t> Insumos</a:t>
          </a:r>
        </a:p>
      </xdr:txBody>
    </xdr:sp>
    <xdr:clientData/>
  </xdr:twoCellAnchor>
  <xdr:twoCellAnchor>
    <xdr:from>
      <xdr:col>4</xdr:col>
      <xdr:colOff>785916</xdr:colOff>
      <xdr:row>0</xdr:row>
      <xdr:rowOff>0</xdr:rowOff>
    </xdr:from>
    <xdr:to>
      <xdr:col>6</xdr:col>
      <xdr:colOff>726650</xdr:colOff>
      <xdr:row>1</xdr:row>
      <xdr:rowOff>0</xdr:rowOff>
    </xdr:to>
    <xdr:sp macro="" textlink="">
      <xdr:nvSpPr>
        <xdr:cNvPr id="19" name="Rectángulo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D8C172-3525-4007-99DE-95E5FBCF08EE}"/>
            </a:ext>
          </a:extLst>
        </xdr:cNvPr>
        <xdr:cNvSpPr/>
      </xdr:nvSpPr>
      <xdr:spPr>
        <a:xfrm>
          <a:off x="3435983" y="0"/>
          <a:ext cx="1532467" cy="381000"/>
        </a:xfrm>
        <a:prstGeom prst="rect">
          <a:avLst/>
        </a:prstGeom>
        <a:solidFill>
          <a:srgbClr val="DAB861"/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🌮</a:t>
          </a:r>
          <a:r>
            <a:rPr lang="es-MX" sz="1100" b="0">
              <a:solidFill>
                <a:schemeClr val="lt1"/>
              </a:solidFill>
              <a:latin typeface="+mn-lt"/>
              <a:ea typeface="+mn-ea"/>
              <a:cs typeface="+mn-cs"/>
            </a:rPr>
            <a:t> Platillos</a:t>
          </a:r>
        </a:p>
      </xdr:txBody>
    </xdr:sp>
    <xdr:clientData/>
  </xdr:twoCellAnchor>
  <xdr:twoCellAnchor>
    <xdr:from>
      <xdr:col>6</xdr:col>
      <xdr:colOff>726650</xdr:colOff>
      <xdr:row>0</xdr:row>
      <xdr:rowOff>0</xdr:rowOff>
    </xdr:from>
    <xdr:to>
      <xdr:col>8</xdr:col>
      <xdr:colOff>667384</xdr:colOff>
      <xdr:row>1</xdr:row>
      <xdr:rowOff>0</xdr:rowOff>
    </xdr:to>
    <xdr:sp macro="" textlink="">
      <xdr:nvSpPr>
        <xdr:cNvPr id="20" name="Rectángulo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06CED7-6AA5-406C-8B01-7ECD1ED8E86C}"/>
            </a:ext>
          </a:extLst>
        </xdr:cNvPr>
        <xdr:cNvSpPr/>
      </xdr:nvSpPr>
      <xdr:spPr>
        <a:xfrm>
          <a:off x="4968450" y="0"/>
          <a:ext cx="1532467" cy="381000"/>
        </a:xfrm>
        <a:prstGeom prst="rect">
          <a:avLst/>
        </a:prstGeom>
        <a:solidFill>
          <a:srgbClr val="DAB861"/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💵 Costeo</a:t>
          </a:r>
          <a:endParaRPr lang="es-MX" b="0">
            <a:effectLst/>
          </a:endParaRPr>
        </a:p>
      </xdr:txBody>
    </xdr:sp>
    <xdr:clientData/>
  </xdr:twoCellAnchor>
  <xdr:twoCellAnchor>
    <xdr:from>
      <xdr:col>2</xdr:col>
      <xdr:colOff>736600</xdr:colOff>
      <xdr:row>9</xdr:row>
      <xdr:rowOff>0</xdr:rowOff>
    </xdr:from>
    <xdr:to>
      <xdr:col>18</xdr:col>
      <xdr:colOff>220133</xdr:colOff>
      <xdr:row>9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B4138534-A08E-6A6E-896E-52ECDE356D9A}"/>
            </a:ext>
          </a:extLst>
        </xdr:cNvPr>
        <xdr:cNvCxnSpPr/>
      </xdr:nvCxnSpPr>
      <xdr:spPr>
        <a:xfrm flipV="1">
          <a:off x="1794933" y="1938867"/>
          <a:ext cx="12217400" cy="0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1641050</xdr:colOff>
      <xdr:row>0</xdr:row>
      <xdr:rowOff>0</xdr:rowOff>
    </xdr:from>
    <xdr:to>
      <xdr:col>2</xdr:col>
      <xdr:colOff>142451</xdr:colOff>
      <xdr:row>1</xdr:row>
      <xdr:rowOff>0</xdr:rowOff>
    </xdr:to>
    <xdr:sp macro="" textlink="">
      <xdr:nvSpPr>
        <xdr:cNvPr id="3" name="Rectá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1F749B-97BE-4DB3-9B4C-1627F63E4FD0}"/>
            </a:ext>
          </a:extLst>
        </xdr:cNvPr>
        <xdr:cNvSpPr/>
      </xdr:nvSpPr>
      <xdr:spPr>
        <a:xfrm>
          <a:off x="1903517" y="0"/>
          <a:ext cx="1532467" cy="381000"/>
        </a:xfrm>
        <a:prstGeom prst="rect">
          <a:avLst/>
        </a:prstGeom>
        <a:solidFill>
          <a:srgbClr val="DAB861"/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🥑</a:t>
          </a:r>
          <a:r>
            <a:rPr lang="es-MX" sz="1100" b="1"/>
            <a:t> Insumos</a:t>
          </a:r>
        </a:p>
      </xdr:txBody>
    </xdr:sp>
    <xdr:clientData/>
  </xdr:twoCellAnchor>
  <xdr:twoCellAnchor>
    <xdr:from>
      <xdr:col>2</xdr:col>
      <xdr:colOff>142450</xdr:colOff>
      <xdr:row>0</xdr:row>
      <xdr:rowOff>0</xdr:rowOff>
    </xdr:from>
    <xdr:to>
      <xdr:col>2</xdr:col>
      <xdr:colOff>1674917</xdr:colOff>
      <xdr:row>1</xdr:row>
      <xdr:rowOff>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1282BA-6B03-4584-ADA2-7C79AB306E88}"/>
            </a:ext>
          </a:extLst>
        </xdr:cNvPr>
        <xdr:cNvSpPr/>
      </xdr:nvSpPr>
      <xdr:spPr>
        <a:xfrm>
          <a:off x="3435983" y="0"/>
          <a:ext cx="1532467" cy="38100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🌮</a:t>
          </a:r>
          <a:r>
            <a:rPr lang="es-MX" sz="1100" b="0">
              <a:solidFill>
                <a:schemeClr val="tx1"/>
              </a:solidFill>
              <a:latin typeface="+mn-lt"/>
              <a:ea typeface="+mn-ea"/>
              <a:cs typeface="+mn-cs"/>
            </a:rPr>
            <a:t> Platillos</a:t>
          </a:r>
        </a:p>
      </xdr:txBody>
    </xdr:sp>
    <xdr:clientData/>
  </xdr:twoCellAnchor>
  <xdr:twoCellAnchor>
    <xdr:from>
      <xdr:col>2</xdr:col>
      <xdr:colOff>1674917</xdr:colOff>
      <xdr:row>0</xdr:row>
      <xdr:rowOff>0</xdr:rowOff>
    </xdr:from>
    <xdr:to>
      <xdr:col>3</xdr:col>
      <xdr:colOff>1480184</xdr:colOff>
      <xdr:row>1</xdr:row>
      <xdr:rowOff>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5C5B88-131F-4878-A64D-1C73C96A2CF9}"/>
            </a:ext>
          </a:extLst>
        </xdr:cNvPr>
        <xdr:cNvSpPr/>
      </xdr:nvSpPr>
      <xdr:spPr>
        <a:xfrm>
          <a:off x="4968450" y="0"/>
          <a:ext cx="1532467" cy="38100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💵 Costeo</a:t>
          </a:r>
          <a:endParaRPr lang="es-MX" b="0">
            <a:solidFill>
              <a:schemeClr val="tx1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126999</xdr:colOff>
      <xdr:row>5</xdr:row>
      <xdr:rowOff>42332</xdr:rowOff>
    </xdr:from>
    <xdr:to>
      <xdr:col>14</xdr:col>
      <xdr:colOff>982132</xdr:colOff>
      <xdr:row>10</xdr:row>
      <xdr:rowOff>160866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FE5133-E5CE-4D75-A0B6-681B2F5A8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1641050</xdr:colOff>
      <xdr:row>0</xdr:row>
      <xdr:rowOff>0</xdr:rowOff>
    </xdr:from>
    <xdr:to>
      <xdr:col>2</xdr:col>
      <xdr:colOff>1090717</xdr:colOff>
      <xdr:row>1</xdr:row>
      <xdr:rowOff>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90479E-39BD-4C50-ABCC-8191BE9EAB65}"/>
            </a:ext>
          </a:extLst>
        </xdr:cNvPr>
        <xdr:cNvSpPr/>
      </xdr:nvSpPr>
      <xdr:spPr>
        <a:xfrm>
          <a:off x="1903517" y="0"/>
          <a:ext cx="1532467" cy="38100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🥑</a:t>
          </a:r>
          <a:r>
            <a:rPr lang="es-MX" sz="1100" b="0" i="0">
              <a:solidFill>
                <a:schemeClr val="tx1"/>
              </a:solidFill>
            </a:rPr>
            <a:t> Insumos</a:t>
          </a:r>
        </a:p>
      </xdr:txBody>
    </xdr:sp>
    <xdr:clientData/>
  </xdr:twoCellAnchor>
  <xdr:twoCellAnchor>
    <xdr:from>
      <xdr:col>2</xdr:col>
      <xdr:colOff>1090716</xdr:colOff>
      <xdr:row>0</xdr:row>
      <xdr:rowOff>0</xdr:rowOff>
    </xdr:from>
    <xdr:to>
      <xdr:col>4</xdr:col>
      <xdr:colOff>303317</xdr:colOff>
      <xdr:row>1</xdr:row>
      <xdr:rowOff>0</xdr:rowOff>
    </xdr:to>
    <xdr:sp macro="" textlink="">
      <xdr:nvSpPr>
        <xdr:cNvPr id="5" name="Rectá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40DEF0-6612-40B0-B601-4EC853709096}"/>
            </a:ext>
          </a:extLst>
        </xdr:cNvPr>
        <xdr:cNvSpPr/>
      </xdr:nvSpPr>
      <xdr:spPr>
        <a:xfrm>
          <a:off x="3435983" y="0"/>
          <a:ext cx="1532467" cy="381000"/>
        </a:xfrm>
        <a:prstGeom prst="rect">
          <a:avLst/>
        </a:prstGeom>
        <a:solidFill>
          <a:srgbClr val="DAB861"/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🌮</a:t>
          </a:r>
          <a:r>
            <a:rPr lang="es-MX" sz="1100" b="1">
              <a:solidFill>
                <a:schemeClr val="lt1"/>
              </a:solidFill>
              <a:latin typeface="+mn-lt"/>
              <a:ea typeface="+mn-ea"/>
              <a:cs typeface="+mn-cs"/>
            </a:rPr>
            <a:t> Platillos</a:t>
          </a:r>
        </a:p>
      </xdr:txBody>
    </xdr:sp>
    <xdr:clientData/>
  </xdr:twoCellAnchor>
  <xdr:twoCellAnchor>
    <xdr:from>
      <xdr:col>4</xdr:col>
      <xdr:colOff>303317</xdr:colOff>
      <xdr:row>0</xdr:row>
      <xdr:rowOff>0</xdr:rowOff>
    </xdr:from>
    <xdr:to>
      <xdr:col>5</xdr:col>
      <xdr:colOff>963717</xdr:colOff>
      <xdr:row>1</xdr:row>
      <xdr:rowOff>0</xdr:rowOff>
    </xdr:to>
    <xdr:sp macro="" textlink="">
      <xdr:nvSpPr>
        <xdr:cNvPr id="6" name="Rectá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510C6C-17EC-4637-AED0-2289948CDD24}"/>
            </a:ext>
          </a:extLst>
        </xdr:cNvPr>
        <xdr:cNvSpPr/>
      </xdr:nvSpPr>
      <xdr:spPr>
        <a:xfrm>
          <a:off x="4968450" y="0"/>
          <a:ext cx="1532467" cy="38100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💵 Costeo</a:t>
          </a:r>
          <a:endParaRPr lang="es-MX" b="0">
            <a:solidFill>
              <a:schemeClr val="tx1"/>
            </a:solidFill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262465</xdr:colOff>
      <xdr:row>45</xdr:row>
      <xdr:rowOff>34707</xdr:rowOff>
    </xdr:from>
    <xdr:to>
      <xdr:col>12</xdr:col>
      <xdr:colOff>700</xdr:colOff>
      <xdr:row>59</xdr:row>
      <xdr:rowOff>54609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F9A79A-E024-456D-A0F4-78814D4E4E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41956" b="29739"/>
        <a:stretch/>
      </xdr:blipFill>
      <xdr:spPr>
        <a:xfrm>
          <a:off x="524932" y="7349907"/>
          <a:ext cx="13021947" cy="2746169"/>
        </a:xfrm>
        <a:prstGeom prst="rect">
          <a:avLst/>
        </a:prstGeom>
      </xdr:spPr>
    </xdr:pic>
    <xdr:clientData/>
  </xdr:twoCellAnchor>
  <xdr:twoCellAnchor>
    <xdr:from>
      <xdr:col>9</xdr:col>
      <xdr:colOff>1126068</xdr:colOff>
      <xdr:row>45</xdr:row>
      <xdr:rowOff>33866</xdr:rowOff>
    </xdr:from>
    <xdr:to>
      <xdr:col>12</xdr:col>
      <xdr:colOff>2</xdr:colOff>
      <xdr:row>59</xdr:row>
      <xdr:rowOff>43179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8" name="Gráfico 27">
              <a:extLst>
                <a:ext uri="{FF2B5EF4-FFF2-40B4-BE49-F238E27FC236}">
                  <a16:creationId xmlns:a16="http://schemas.microsoft.com/office/drawing/2014/main" id="{4C14C49C-800A-4470-8574-20BD8355A2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5748" y="8728286"/>
              <a:ext cx="3491654" cy="2676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45</xdr:row>
      <xdr:rowOff>33866</xdr:rowOff>
    </xdr:from>
    <xdr:to>
      <xdr:col>5</xdr:col>
      <xdr:colOff>321733</xdr:colOff>
      <xdr:row>59</xdr:row>
      <xdr:rowOff>43179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230B704C-3E7A-474D-90AB-69D6254E1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524935</xdr:colOff>
      <xdr:row>45</xdr:row>
      <xdr:rowOff>33866</xdr:rowOff>
    </xdr:from>
    <xdr:to>
      <xdr:col>9</xdr:col>
      <xdr:colOff>939802</xdr:colOff>
      <xdr:row>59</xdr:row>
      <xdr:rowOff>43179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6" name="Gráfico 25">
              <a:extLst>
                <a:ext uri="{FF2B5EF4-FFF2-40B4-BE49-F238E27FC236}">
                  <a16:creationId xmlns:a16="http://schemas.microsoft.com/office/drawing/2014/main" id="{671BD09B-C3DF-4D51-9C00-BF5A74182D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6955" y="8728286"/>
              <a:ext cx="4552527" cy="2676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253997</xdr:colOff>
      <xdr:row>2</xdr:row>
      <xdr:rowOff>9313</xdr:rowOff>
    </xdr:from>
    <xdr:to>
      <xdr:col>13</xdr:col>
      <xdr:colOff>5707</xdr:colOff>
      <xdr:row>6</xdr:row>
      <xdr:rowOff>182458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12124FE5-7E07-490E-A105-1B993BD684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52013" b="38473"/>
        <a:stretch/>
      </xdr:blipFill>
      <xdr:spPr>
        <a:xfrm>
          <a:off x="250187" y="639868"/>
          <a:ext cx="13523740" cy="935145"/>
        </a:xfrm>
        <a:prstGeom prst="rect">
          <a:avLst/>
        </a:prstGeom>
      </xdr:spPr>
    </xdr:pic>
    <xdr:clientData/>
  </xdr:twoCellAnchor>
  <xdr:twoCellAnchor>
    <xdr:from>
      <xdr:col>9</xdr:col>
      <xdr:colOff>948263</xdr:colOff>
      <xdr:row>8</xdr:row>
      <xdr:rowOff>32351</xdr:rowOff>
    </xdr:from>
    <xdr:to>
      <xdr:col>11</xdr:col>
      <xdr:colOff>427564</xdr:colOff>
      <xdr:row>10</xdr:row>
      <xdr:rowOff>111585</xdr:rowOff>
    </xdr:to>
    <xdr:sp macro="" textlink="">
      <xdr:nvSpPr>
        <xdr:cNvPr id="6" name="CuadroTexto 3">
          <a:extLst>
            <a:ext uri="{FF2B5EF4-FFF2-40B4-BE49-F238E27FC236}">
              <a16:creationId xmlns:a16="http://schemas.microsoft.com/office/drawing/2014/main" id="{B8817DEE-E015-497D-B1AE-BB7C39D865C4}"/>
            </a:ext>
          </a:extLst>
        </xdr:cNvPr>
        <xdr:cNvSpPr txBox="1"/>
      </xdr:nvSpPr>
      <xdr:spPr>
        <a:xfrm>
          <a:off x="9842708" y="1802096"/>
          <a:ext cx="2769236" cy="519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ysClr val="windowText" lastClr="000000"/>
              </a:solidFill>
            </a:rPr>
            <a:t>ESTRUCTURA FINANCIERA</a:t>
          </a:r>
        </a:p>
        <a:p>
          <a:pPr algn="ctr"/>
          <a:r>
            <a:rPr lang="es-MX" sz="1200" b="0">
              <a:solidFill>
                <a:sysClr val="windowText" lastClr="000000"/>
              </a:solidFill>
            </a:rPr>
            <a:t>Insumos</a:t>
          </a:r>
          <a:r>
            <a:rPr lang="es-MX" sz="1200" b="0" baseline="0">
              <a:solidFill>
                <a:sysClr val="windowText" lastClr="000000"/>
              </a:solidFill>
            </a:rPr>
            <a:t> | Directos | Indirectos</a:t>
          </a:r>
          <a:endParaRPr lang="es-MX" sz="12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67734</xdr:colOff>
      <xdr:row>2</xdr:row>
      <xdr:rowOff>131233</xdr:rowOff>
    </xdr:from>
    <xdr:to>
      <xdr:col>2</xdr:col>
      <xdr:colOff>1769535</xdr:colOff>
      <xdr:row>4</xdr:row>
      <xdr:rowOff>29633</xdr:rowOff>
    </xdr:to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501AADA5-F2CE-457E-B4F3-E184ABFB6BE5}"/>
            </a:ext>
          </a:extLst>
        </xdr:cNvPr>
        <xdr:cNvSpPr txBox="1"/>
      </xdr:nvSpPr>
      <xdr:spPr>
        <a:xfrm>
          <a:off x="323004" y="763693"/>
          <a:ext cx="1964691" cy="273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111761</xdr:colOff>
      <xdr:row>2</xdr:row>
      <xdr:rowOff>131233</xdr:rowOff>
    </xdr:from>
    <xdr:to>
      <xdr:col>4</xdr:col>
      <xdr:colOff>1161628</xdr:colOff>
      <xdr:row>6</xdr:row>
      <xdr:rowOff>55034</xdr:rowOff>
    </xdr:to>
    <xdr:sp macro="" textlink="$K$31">
      <xdr:nvSpPr>
        <xdr:cNvPr id="9" name="Rectángulo: esquinas redondeadas 6">
          <a:extLst>
            <a:ext uri="{FF2B5EF4-FFF2-40B4-BE49-F238E27FC236}">
              <a16:creationId xmlns:a16="http://schemas.microsoft.com/office/drawing/2014/main" id="{BAA2B4FB-C428-4BDF-888F-433C79D7AA28}"/>
            </a:ext>
          </a:extLst>
        </xdr:cNvPr>
        <xdr:cNvSpPr/>
      </xdr:nvSpPr>
      <xdr:spPr>
        <a:xfrm>
          <a:off x="2588261" y="763693"/>
          <a:ext cx="2006177" cy="685801"/>
        </a:xfrm>
        <a:prstGeom prst="roundRect">
          <a:avLst/>
        </a:prstGeom>
        <a:solidFill>
          <a:schemeClr val="accent5">
            <a:alpha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57C08AD2-33A6-4910-813C-5FA5DC0E3B2B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$17.500,00</a:t>
          </a:fld>
          <a:endParaRPr lang="es-MX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128695</xdr:colOff>
      <xdr:row>2</xdr:row>
      <xdr:rowOff>131233</xdr:rowOff>
    </xdr:from>
    <xdr:to>
      <xdr:col>4</xdr:col>
      <xdr:colOff>1136229</xdr:colOff>
      <xdr:row>4</xdr:row>
      <xdr:rowOff>29633</xdr:rowOff>
    </xdr:to>
    <xdr:sp macro="" textlink="">
      <xdr:nvSpPr>
        <xdr:cNvPr id="10" name="CuadroTexto 7">
          <a:extLst>
            <a:ext uri="{FF2B5EF4-FFF2-40B4-BE49-F238E27FC236}">
              <a16:creationId xmlns:a16="http://schemas.microsoft.com/office/drawing/2014/main" id="{3CC5AD1B-4CA2-4333-8007-BF83D7C024BE}"/>
            </a:ext>
          </a:extLst>
        </xdr:cNvPr>
        <xdr:cNvSpPr txBox="1"/>
      </xdr:nvSpPr>
      <xdr:spPr>
        <a:xfrm>
          <a:off x="2609005" y="763693"/>
          <a:ext cx="1954319" cy="273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GASTOS DIRECTOS</a:t>
          </a:r>
        </a:p>
      </xdr:txBody>
    </xdr:sp>
    <xdr:clientData/>
  </xdr:twoCellAnchor>
  <xdr:twoCellAnchor>
    <xdr:from>
      <xdr:col>5</xdr:col>
      <xdr:colOff>113455</xdr:colOff>
      <xdr:row>2</xdr:row>
      <xdr:rowOff>131233</xdr:rowOff>
    </xdr:from>
    <xdr:to>
      <xdr:col>6</xdr:col>
      <xdr:colOff>790788</xdr:colOff>
      <xdr:row>6</xdr:row>
      <xdr:rowOff>55034</xdr:rowOff>
    </xdr:to>
    <xdr:sp macro="" textlink="$K$38">
      <xdr:nvSpPr>
        <xdr:cNvPr id="11" name="Rectángulo: esquinas redondeadas 8">
          <a:extLst>
            <a:ext uri="{FF2B5EF4-FFF2-40B4-BE49-F238E27FC236}">
              <a16:creationId xmlns:a16="http://schemas.microsoft.com/office/drawing/2014/main" id="{FD600A0F-4352-4A6D-BC10-1F899D5C83A6}"/>
            </a:ext>
          </a:extLst>
        </xdr:cNvPr>
        <xdr:cNvSpPr/>
      </xdr:nvSpPr>
      <xdr:spPr>
        <a:xfrm>
          <a:off x="4866430" y="763693"/>
          <a:ext cx="1999403" cy="685801"/>
        </a:xfrm>
        <a:prstGeom prst="roundRect">
          <a:avLst/>
        </a:prstGeom>
        <a:solidFill>
          <a:schemeClr val="accent2">
            <a:alpha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s-MX" sz="2400" b="1">
              <a:solidFill>
                <a:schemeClr val="bg1"/>
              </a:solidFill>
            </a:rPr>
            <a:t>1.055,56</a:t>
          </a:r>
        </a:p>
      </xdr:txBody>
    </xdr:sp>
    <xdr:clientData/>
  </xdr:twoCellAnchor>
  <xdr:twoCellAnchor>
    <xdr:from>
      <xdr:col>5</xdr:col>
      <xdr:colOff>130389</xdr:colOff>
      <xdr:row>2</xdr:row>
      <xdr:rowOff>131233</xdr:rowOff>
    </xdr:from>
    <xdr:to>
      <xdr:col>6</xdr:col>
      <xdr:colOff>765389</xdr:colOff>
      <xdr:row>4</xdr:row>
      <xdr:rowOff>29633</xdr:rowOff>
    </xdr:to>
    <xdr:sp macro="" textlink="">
      <xdr:nvSpPr>
        <xdr:cNvPr id="12" name="CuadroTexto 9">
          <a:extLst>
            <a:ext uri="{FF2B5EF4-FFF2-40B4-BE49-F238E27FC236}">
              <a16:creationId xmlns:a16="http://schemas.microsoft.com/office/drawing/2014/main" id="{762F7D94-298C-4AA1-ACE4-104F5529CFD8}"/>
            </a:ext>
          </a:extLst>
        </xdr:cNvPr>
        <xdr:cNvSpPr txBox="1"/>
      </xdr:nvSpPr>
      <xdr:spPr>
        <a:xfrm>
          <a:off x="4887174" y="763693"/>
          <a:ext cx="1955165" cy="273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GASTOS INDIRECTOS</a:t>
          </a:r>
        </a:p>
      </xdr:txBody>
    </xdr:sp>
    <xdr:clientData/>
  </xdr:twoCellAnchor>
  <xdr:twoCellAnchor>
    <xdr:from>
      <xdr:col>9</xdr:col>
      <xdr:colOff>531710</xdr:colOff>
      <xdr:row>2</xdr:row>
      <xdr:rowOff>131233</xdr:rowOff>
    </xdr:from>
    <xdr:to>
      <xdr:col>10</xdr:col>
      <xdr:colOff>574042</xdr:colOff>
      <xdr:row>6</xdr:row>
      <xdr:rowOff>55034</xdr:rowOff>
    </xdr:to>
    <xdr:sp macro="" textlink="$L$35">
      <xdr:nvSpPr>
        <xdr:cNvPr id="13" name="Rectángulo: esquinas redondeadas 10">
          <a:extLst>
            <a:ext uri="{FF2B5EF4-FFF2-40B4-BE49-F238E27FC236}">
              <a16:creationId xmlns:a16="http://schemas.microsoft.com/office/drawing/2014/main" id="{17B5A7EF-5526-4864-A9AB-29E937EE7D6B}"/>
            </a:ext>
          </a:extLst>
        </xdr:cNvPr>
        <xdr:cNvSpPr/>
      </xdr:nvSpPr>
      <xdr:spPr>
        <a:xfrm>
          <a:off x="9428060" y="763693"/>
          <a:ext cx="2004482" cy="685801"/>
        </a:xfrm>
        <a:prstGeom prst="roundRect">
          <a:avLst/>
        </a:prstGeom>
        <a:solidFill>
          <a:schemeClr val="accent5">
            <a:alpha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10110E4B-FF19-48BE-A62A-F57AF946EE8B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22,22%</a:t>
          </a:fld>
          <a:endParaRPr lang="es-MX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548644</xdr:colOff>
      <xdr:row>2</xdr:row>
      <xdr:rowOff>131233</xdr:rowOff>
    </xdr:from>
    <xdr:to>
      <xdr:col>10</xdr:col>
      <xdr:colOff>548643</xdr:colOff>
      <xdr:row>4</xdr:row>
      <xdr:rowOff>29633</xdr:rowOff>
    </xdr:to>
    <xdr:sp macro="" textlink="">
      <xdr:nvSpPr>
        <xdr:cNvPr id="14" name="CuadroTexto 11">
          <a:extLst>
            <a:ext uri="{FF2B5EF4-FFF2-40B4-BE49-F238E27FC236}">
              <a16:creationId xmlns:a16="http://schemas.microsoft.com/office/drawing/2014/main" id="{41A30FFC-0130-40D0-9CD5-26A9A4E8015F}"/>
            </a:ext>
          </a:extLst>
        </xdr:cNvPr>
        <xdr:cNvSpPr txBox="1"/>
      </xdr:nvSpPr>
      <xdr:spPr>
        <a:xfrm>
          <a:off x="9448804" y="763693"/>
          <a:ext cx="1962149" cy="273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 CONTRIBUCIÓN</a:t>
          </a:r>
        </a:p>
      </xdr:txBody>
    </xdr:sp>
    <xdr:clientData/>
  </xdr:twoCellAnchor>
  <xdr:twoCellAnchor>
    <xdr:from>
      <xdr:col>10</xdr:col>
      <xdr:colOff>855135</xdr:colOff>
      <xdr:row>2</xdr:row>
      <xdr:rowOff>131233</xdr:rowOff>
    </xdr:from>
    <xdr:to>
      <xdr:col>12</xdr:col>
      <xdr:colOff>203203</xdr:colOff>
      <xdr:row>6</xdr:row>
      <xdr:rowOff>55034</xdr:rowOff>
    </xdr:to>
    <xdr:sp macro="" textlink="$L$42">
      <xdr:nvSpPr>
        <xdr:cNvPr id="15" name="Rectángulo: esquinas redondeadas 12">
          <a:extLst>
            <a:ext uri="{FF2B5EF4-FFF2-40B4-BE49-F238E27FC236}">
              <a16:creationId xmlns:a16="http://schemas.microsoft.com/office/drawing/2014/main" id="{FE18AF28-F6B5-4959-A966-0DA6F7EE762B}"/>
            </a:ext>
          </a:extLst>
        </xdr:cNvPr>
        <xdr:cNvSpPr/>
      </xdr:nvSpPr>
      <xdr:spPr>
        <a:xfrm>
          <a:off x="11717445" y="763693"/>
          <a:ext cx="1996018" cy="685801"/>
        </a:xfrm>
        <a:prstGeom prst="roundRect">
          <a:avLst/>
        </a:prstGeom>
        <a:solidFill>
          <a:schemeClr val="accent2">
            <a:alpha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E3C08D0F-4617-4E70-97C6-AAD27E561E07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-20,00%</a:t>
          </a:fld>
          <a:endParaRPr lang="es-MX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773856</xdr:colOff>
      <xdr:row>2</xdr:row>
      <xdr:rowOff>131233</xdr:rowOff>
    </xdr:from>
    <xdr:to>
      <xdr:col>13</xdr:col>
      <xdr:colOff>13551</xdr:colOff>
      <xdr:row>4</xdr:row>
      <xdr:rowOff>29633</xdr:rowOff>
    </xdr:to>
    <xdr:sp macro="" textlink="">
      <xdr:nvSpPr>
        <xdr:cNvPr id="16" name="CuadroTexto 13">
          <a:extLst>
            <a:ext uri="{FF2B5EF4-FFF2-40B4-BE49-F238E27FC236}">
              <a16:creationId xmlns:a16="http://schemas.microsoft.com/office/drawing/2014/main" id="{5FD080AF-E496-45F7-B7CF-C463E1B0E1D0}"/>
            </a:ext>
          </a:extLst>
        </xdr:cNvPr>
        <xdr:cNvSpPr txBox="1"/>
      </xdr:nvSpPr>
      <xdr:spPr>
        <a:xfrm>
          <a:off x="11636166" y="763693"/>
          <a:ext cx="2144820" cy="273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UTILIDAD DEL PRODUCTO</a:t>
          </a:r>
        </a:p>
      </xdr:txBody>
    </xdr:sp>
    <xdr:clientData/>
  </xdr:twoCellAnchor>
  <xdr:twoCellAnchor>
    <xdr:from>
      <xdr:col>6</xdr:col>
      <xdr:colOff>1071882</xdr:colOff>
      <xdr:row>2</xdr:row>
      <xdr:rowOff>131233</xdr:rowOff>
    </xdr:from>
    <xdr:to>
      <xdr:col>9</xdr:col>
      <xdr:colOff>250616</xdr:colOff>
      <xdr:row>6</xdr:row>
      <xdr:rowOff>55034</xdr:rowOff>
    </xdr:to>
    <xdr:sp macro="" textlink="$L$28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2B3151DB-1773-46C5-B423-3225A29513A9}"/>
            </a:ext>
          </a:extLst>
        </xdr:cNvPr>
        <xdr:cNvSpPr/>
      </xdr:nvSpPr>
      <xdr:spPr>
        <a:xfrm>
          <a:off x="7150737" y="763693"/>
          <a:ext cx="1992419" cy="685801"/>
        </a:xfrm>
        <a:prstGeom prst="roundRect">
          <a:avLst/>
        </a:prstGeom>
        <a:solidFill>
          <a:schemeClr val="accent4">
            <a:alpha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EB72BC6B-DC4F-4B75-9137-25B7D2B20930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45,55%</a:t>
          </a:fld>
          <a:endParaRPr lang="es-MX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1088816</xdr:colOff>
      <xdr:row>2</xdr:row>
      <xdr:rowOff>131233</xdr:rowOff>
    </xdr:from>
    <xdr:to>
      <xdr:col>9</xdr:col>
      <xdr:colOff>225217</xdr:colOff>
      <xdr:row>4</xdr:row>
      <xdr:rowOff>29633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5509B51B-D27C-43A8-9E47-AA614C91B28A}"/>
            </a:ext>
          </a:extLst>
        </xdr:cNvPr>
        <xdr:cNvSpPr txBox="1"/>
      </xdr:nvSpPr>
      <xdr:spPr>
        <a:xfrm>
          <a:off x="7161956" y="763693"/>
          <a:ext cx="1959611" cy="273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MARGEN BRUTO</a:t>
          </a:r>
        </a:p>
      </xdr:txBody>
    </xdr:sp>
    <xdr:clientData/>
  </xdr:twoCellAnchor>
  <xdr:twoCellAnchor>
    <xdr:from>
      <xdr:col>2</xdr:col>
      <xdr:colOff>0</xdr:colOff>
      <xdr:row>44</xdr:row>
      <xdr:rowOff>93134</xdr:rowOff>
    </xdr:from>
    <xdr:to>
      <xdr:col>12</xdr:col>
      <xdr:colOff>8467</xdr:colOff>
      <xdr:row>44</xdr:row>
      <xdr:rowOff>93134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EC333979-2C98-48D8-92E4-A162586A4E2F}"/>
            </a:ext>
          </a:extLst>
        </xdr:cNvPr>
        <xdr:cNvCxnSpPr/>
      </xdr:nvCxnSpPr>
      <xdr:spPr>
        <a:xfrm flipV="1">
          <a:off x="514350" y="9545744"/>
          <a:ext cx="13002472" cy="0"/>
        </a:xfrm>
        <a:prstGeom prst="line">
          <a:avLst/>
        </a:prstGeom>
        <a:ln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931333</xdr:colOff>
      <xdr:row>2</xdr:row>
      <xdr:rowOff>189230</xdr:rowOff>
    </xdr:from>
    <xdr:to>
      <xdr:col>6</xdr:col>
      <xdr:colOff>931333</xdr:colOff>
      <xdr:row>5</xdr:row>
      <xdr:rowOff>191770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22F362E7-74ED-4EA6-8280-BA13482FED65}"/>
            </a:ext>
          </a:extLst>
        </xdr:cNvPr>
        <xdr:cNvCxnSpPr/>
      </xdr:nvCxnSpPr>
      <xdr:spPr>
        <a:xfrm>
          <a:off x="7012093" y="817880"/>
          <a:ext cx="0" cy="574040"/>
        </a:xfrm>
        <a:prstGeom prst="line">
          <a:avLst/>
        </a:prstGeom>
        <a:ln w="158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240699</xdr:colOff>
      <xdr:row>7</xdr:row>
      <xdr:rowOff>147566</xdr:rowOff>
    </xdr:from>
    <xdr:to>
      <xdr:col>9</xdr:col>
      <xdr:colOff>663331</xdr:colOff>
      <xdr:row>10</xdr:row>
      <xdr:rowOff>189198</xdr:rowOff>
    </xdr:to>
    <xdr:pic>
      <xdr:nvPicPr>
        <xdr:cNvPr id="30" name="Gráfico 29" descr="Monedas contorno">
          <a:extLst>
            <a:ext uri="{FF2B5EF4-FFF2-40B4-BE49-F238E27FC236}">
              <a16:creationId xmlns:a16="http://schemas.microsoft.com/office/drawing/2014/main" id="{0724AB05-9DB0-4A8D-9BC0-E81A0B6EE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883684" y="1726811"/>
          <a:ext cx="681712" cy="674092"/>
        </a:xfrm>
        <a:prstGeom prst="rect">
          <a:avLst/>
        </a:prstGeom>
      </xdr:spPr>
    </xdr:pic>
    <xdr:clientData/>
  </xdr:twoCellAnchor>
  <xdr:twoCellAnchor editAs="oneCell">
    <xdr:from>
      <xdr:col>11</xdr:col>
      <xdr:colOff>655565</xdr:colOff>
      <xdr:row>7</xdr:row>
      <xdr:rowOff>147566</xdr:rowOff>
    </xdr:from>
    <xdr:to>
      <xdr:col>12</xdr:col>
      <xdr:colOff>13302</xdr:colOff>
      <xdr:row>10</xdr:row>
      <xdr:rowOff>189198</xdr:rowOff>
    </xdr:to>
    <xdr:pic>
      <xdr:nvPicPr>
        <xdr:cNvPr id="31" name="Gráfico 30" descr="Caja con relleno sólido">
          <a:extLst>
            <a:ext uri="{FF2B5EF4-FFF2-40B4-BE49-F238E27FC236}">
              <a16:creationId xmlns:a16="http://schemas.microsoft.com/office/drawing/2014/main" id="{C9DCE520-AF5C-46E1-B5B3-559259144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2839945" y="1726811"/>
          <a:ext cx="683617" cy="674092"/>
        </a:xfrm>
        <a:prstGeom prst="rect">
          <a:avLst/>
        </a:prstGeom>
      </xdr:spPr>
    </xdr:pic>
    <xdr:clientData/>
  </xdr:twoCellAnchor>
  <xdr:twoCellAnchor>
    <xdr:from>
      <xdr:col>2</xdr:col>
      <xdr:colOff>1378584</xdr:colOff>
      <xdr:row>0</xdr:row>
      <xdr:rowOff>0</xdr:rowOff>
    </xdr:from>
    <xdr:to>
      <xdr:col>3</xdr:col>
      <xdr:colOff>946784</xdr:colOff>
      <xdr:row>1</xdr:row>
      <xdr:rowOff>0</xdr:rowOff>
    </xdr:to>
    <xdr:sp macro="" textlink="">
      <xdr:nvSpPr>
        <xdr:cNvPr id="33" name="Rectángulo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B1262F9-ED3E-4444-B100-CF3FECA49822}"/>
            </a:ext>
          </a:extLst>
        </xdr:cNvPr>
        <xdr:cNvSpPr/>
      </xdr:nvSpPr>
      <xdr:spPr>
        <a:xfrm>
          <a:off x="1903517" y="0"/>
          <a:ext cx="1532467" cy="38100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🥑</a:t>
          </a:r>
          <a:r>
            <a:rPr lang="es-MX" sz="1100" b="0" i="0">
              <a:solidFill>
                <a:schemeClr val="tx1"/>
              </a:solidFill>
            </a:rPr>
            <a:t> Insumos</a:t>
          </a:r>
        </a:p>
      </xdr:txBody>
    </xdr:sp>
    <xdr:clientData/>
  </xdr:twoCellAnchor>
  <xdr:twoCellAnchor>
    <xdr:from>
      <xdr:col>3</xdr:col>
      <xdr:colOff>946783</xdr:colOff>
      <xdr:row>0</xdr:row>
      <xdr:rowOff>0</xdr:rowOff>
    </xdr:from>
    <xdr:to>
      <xdr:col>5</xdr:col>
      <xdr:colOff>193250</xdr:colOff>
      <xdr:row>1</xdr:row>
      <xdr:rowOff>0</xdr:rowOff>
    </xdr:to>
    <xdr:sp macro="" textlink="">
      <xdr:nvSpPr>
        <xdr:cNvPr id="34" name="Rectángulo 3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79C520B-31EB-44F7-BBA7-4255E82CE1EC}"/>
            </a:ext>
          </a:extLst>
        </xdr:cNvPr>
        <xdr:cNvSpPr/>
      </xdr:nvSpPr>
      <xdr:spPr>
        <a:xfrm>
          <a:off x="3435983" y="0"/>
          <a:ext cx="1532467" cy="381000"/>
        </a:xfrm>
        <a:prstGeom prst="rect">
          <a:avLst/>
        </a:prstGeom>
        <a:solidFill>
          <a:schemeClr val="bg1">
            <a:lumMod val="85000"/>
          </a:schemeClr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🌮</a:t>
          </a:r>
          <a:r>
            <a:rPr lang="es-MX" sz="1100" b="0">
              <a:solidFill>
                <a:schemeClr val="tx1"/>
              </a:solidFill>
              <a:latin typeface="+mn-lt"/>
              <a:ea typeface="+mn-ea"/>
              <a:cs typeface="+mn-cs"/>
            </a:rPr>
            <a:t> Platillos</a:t>
          </a:r>
        </a:p>
      </xdr:txBody>
    </xdr:sp>
    <xdr:clientData/>
  </xdr:twoCellAnchor>
  <xdr:twoCellAnchor>
    <xdr:from>
      <xdr:col>5</xdr:col>
      <xdr:colOff>193250</xdr:colOff>
      <xdr:row>0</xdr:row>
      <xdr:rowOff>0</xdr:rowOff>
    </xdr:from>
    <xdr:to>
      <xdr:col>6</xdr:col>
      <xdr:colOff>396450</xdr:colOff>
      <xdr:row>1</xdr:row>
      <xdr:rowOff>0</xdr:rowOff>
    </xdr:to>
    <xdr:sp macro="" textlink="">
      <xdr:nvSpPr>
        <xdr:cNvPr id="35" name="Rectángulo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D045050-EEA0-409A-9CDD-CE15D546EA00}"/>
            </a:ext>
          </a:extLst>
        </xdr:cNvPr>
        <xdr:cNvSpPr/>
      </xdr:nvSpPr>
      <xdr:spPr>
        <a:xfrm>
          <a:off x="4968450" y="0"/>
          <a:ext cx="1532467" cy="381000"/>
        </a:xfrm>
        <a:prstGeom prst="rect">
          <a:avLst/>
        </a:prstGeom>
        <a:solidFill>
          <a:srgbClr val="DAB861"/>
        </a:solidFill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💵 Costeo</a:t>
          </a:r>
          <a:endParaRPr lang="es-MX" b="1">
            <a:effectLst/>
          </a:endParaRPr>
        </a:p>
      </xdr:txBody>
    </xdr:sp>
    <xdr:clientData/>
  </xdr:twoCellAnchor>
  <xdr:twoCellAnchor editAs="oneCell">
    <xdr:from>
      <xdr:col>4</xdr:col>
      <xdr:colOff>237690</xdr:colOff>
      <xdr:row>8</xdr:row>
      <xdr:rowOff>161487</xdr:rowOff>
    </xdr:from>
    <xdr:to>
      <xdr:col>4</xdr:col>
      <xdr:colOff>558182</xdr:colOff>
      <xdr:row>10</xdr:row>
      <xdr:rowOff>33246</xdr:rowOff>
    </xdr:to>
    <xdr:pic>
      <xdr:nvPicPr>
        <xdr:cNvPr id="17" name="Gráfico 15" descr="Flecha lineal: recto con relleno sólido">
          <a:extLst>
            <a:ext uri="{FF2B5EF4-FFF2-40B4-BE49-F238E27FC236}">
              <a16:creationId xmlns:a16="http://schemas.microsoft.com/office/drawing/2014/main" id="{182D4B46-1F3D-4C81-8EE2-500F014BF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683623" y="1964887"/>
          <a:ext cx="320492" cy="320492"/>
        </a:xfrm>
        <a:prstGeom prst="rect">
          <a:avLst/>
        </a:prstGeom>
      </xdr:spPr>
    </xdr:pic>
    <xdr:clientData/>
  </xdr:twoCellAnchor>
  <xdr:twoCellAnchor>
    <xdr:from>
      <xdr:col>2</xdr:col>
      <xdr:colOff>57150</xdr:colOff>
      <xdr:row>2</xdr:row>
      <xdr:rowOff>146050</xdr:rowOff>
    </xdr:from>
    <xdr:to>
      <xdr:col>2</xdr:col>
      <xdr:colOff>1746250</xdr:colOff>
      <xdr:row>6</xdr:row>
      <xdr:rowOff>57150</xdr:rowOff>
    </xdr:to>
    <xdr:sp macro="" textlink="$J$14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D0B7832-29CD-32D7-E2BB-14467A8EE60A}"/>
            </a:ext>
          </a:extLst>
        </xdr:cNvPr>
        <xdr:cNvSpPr/>
      </xdr:nvSpPr>
      <xdr:spPr>
        <a:xfrm>
          <a:off x="577850" y="774700"/>
          <a:ext cx="1689100" cy="673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2A9C11-7B5E-4D2A-9E61-2C8B7D4A1E05}" type="TxLink">
            <a:rPr lang="es-CO" sz="1400" b="1" i="0" u="none" strike="noStrike">
              <a:latin typeface="Calibri"/>
              <a:cs typeface="Calibri"/>
            </a:rPr>
            <a:pPr algn="ctr"/>
            <a:t>INGREDIENTES
$40.837</a:t>
          </a:fld>
          <a:endParaRPr lang="es-CO" sz="14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Insumos" displayName="TablaInsumos" ref="B9:J24" totalsRowCount="1" headerRowDxfId="66" dataDxfId="65" totalsRowDxfId="64">
  <autoFilter ref="B9:J23" xr:uid="{00000000-0009-0000-0100-000001000000}"/>
  <tableColumns count="9">
    <tableColumn id="1" xr3:uid="{00000000-0010-0000-0000-000001000000}" name="Nombre" dataDxfId="63" totalsRowDxfId="62"/>
    <tableColumn id="2" xr3:uid="{00000000-0010-0000-0000-000002000000}" name="Recepción de Compra" dataDxfId="61" totalsRowDxfId="60"/>
    <tableColumn id="3" xr3:uid="{00000000-0010-0000-0000-000003000000}" name="Costo de Compra" totalsRowFunction="sum" dataDxfId="59" totalsRowDxfId="58"/>
    <tableColumn id="4" xr3:uid="{00000000-0010-0000-0000-000004000000}" name="Cantidad" dataDxfId="57" totalsRowDxfId="56"/>
    <tableColumn id="5" xr3:uid="{00000000-0010-0000-0000-000005000000}" name="Unidad de Compra" dataDxfId="55" totalsRowDxfId="54"/>
    <tableColumn id="6" xr3:uid="{00000000-0010-0000-0000-000006000000}" name="% Merma" totalsRowFunction="average" dataDxfId="53" totalsRowDxfId="52" dataCellStyle="Porcentaje"/>
    <tableColumn id="7" xr3:uid="{00000000-0010-0000-0000-000007000000}" name="Costo Unitario" dataDxfId="51" totalsRowDxfId="50">
      <calculatedColumnFormula>TablaInsumos[[#This Row],[Costo de Compra]]/TablaInsumos[[#This Row],[Cantidad]]</calculatedColumnFormula>
    </tableColumn>
    <tableColumn id="8" xr3:uid="{00000000-0010-0000-0000-000008000000}" name="Costo Logístico" totalsRowFunction="custom" dataDxfId="49" totalsRowDxfId="48" dataCellStyle="Porcentaje">
      <calculatedColumnFormula>IF(TablaInsumos[[#This Row],[Unidad de Compra]]="","",IF(TablaInsumos[[#This Row],[Recepción de Compra]]="CEDIS",$C$7,""))</calculatedColumnFormula>
      <totalsRowFormula>IFERROR(SUBTOTAL(101,TablaInsumos[Costo Logístico]),"")</totalsRowFormula>
    </tableColumn>
    <tableColumn id="9" xr3:uid="{00000000-0010-0000-0000-000009000000}" name="Costo Unitario Total" totalsRowFunction="custom" dataDxfId="47" totalsRowDxfId="46">
      <calculatedColumnFormula>IF(TablaInsumos[[#This Row],[Costo Logístico]]="",TablaInsumos[[#This Row],[Costo Unitario]],TablaInsumos[[#This Row],[Costo Unitario]]*(1+TablaInsumos[[#This Row],[Costo Logístico]]))</calculatedColumnFormula>
      <totalsRowFormula>J10+J11+J12+J13+J14+J15+J16+J17+J18+J19+J20+J21+J22+J23</totalsRow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M5:M16" totalsRowShown="0" headerRowDxfId="45" dataDxfId="44">
  <autoFilter ref="M5:M16" xr:uid="{00000000-0009-0000-0100-000002000000}"/>
  <tableColumns count="1">
    <tableColumn id="1" xr3:uid="{00000000-0010-0000-0100-000001000000}" name="Unidades" dataDxfId="43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a4" displayName="Tabla4" ref="L5:L8" totalsRowShown="0" headerRowDxfId="42" dataDxfId="41">
  <autoFilter ref="L5:L8" xr:uid="{00000000-0009-0000-0100-000004000000}"/>
  <tableColumns count="1">
    <tableColumn id="1" xr3:uid="{00000000-0010-0000-0200-000001000000}" name="Recepción" dataDxfId="40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Platillos" displayName="TablaPlatillos" ref="B12:AS22" totalsRowShown="0" headerRowDxfId="39" dataDxfId="38">
  <autoFilter ref="B12:AS22" xr:uid="{00000000-0009-0000-0100-000003000000}"/>
  <tableColumns count="44">
    <tableColumn id="1" xr3:uid="{00000000-0010-0000-0300-000001000000}" name="Nombre de Platillo" dataDxfId="37"/>
    <tableColumn id="17" xr3:uid="{00000000-0010-0000-0300-000011000000}" name="Precio Platillo" dataDxfId="36"/>
    <tableColumn id="2" xr3:uid="{00000000-0010-0000-0300-000002000000}" name="Insumo 1" dataDxfId="35"/>
    <tableColumn id="3" xr3:uid="{00000000-0010-0000-0300-000003000000}" name="Unidad 1" dataDxfId="34">
      <calculatedColumnFormula>IFERROR(INDEX(TablaInsumos[Unidad de Compra],MATCH(TablaPlatillos[[#This Row],[Insumo 1]],TablaInsumos[Nombre],0)),"")</calculatedColumnFormula>
    </tableColumn>
    <tableColumn id="4" xr3:uid="{00000000-0010-0000-0300-000004000000}" name="Cantidad 1" dataDxfId="33"/>
    <tableColumn id="5" xr3:uid="{00000000-0010-0000-0300-000005000000}" name="Insumo 2" dataDxfId="32"/>
    <tableColumn id="6" xr3:uid="{00000000-0010-0000-0300-000006000000}" name="Unidad 2" dataDxfId="31" dataCellStyle="Porcentaje">
      <calculatedColumnFormula>IFERROR(INDEX(TablaInsumos[Unidad de Compra],MATCH(TablaPlatillos[[#This Row],[Insumo 2]],TablaInsumos[Nombre],0)),"")</calculatedColumnFormula>
    </tableColumn>
    <tableColumn id="7" xr3:uid="{00000000-0010-0000-0300-000007000000}" name="Cantidad 2" dataDxfId="30"/>
    <tableColumn id="8" xr3:uid="{00000000-0010-0000-0300-000008000000}" name="Insumo 3" dataDxfId="29" dataCellStyle="Porcentaje"/>
    <tableColumn id="9" xr3:uid="{00000000-0010-0000-0300-000009000000}" name="Unidad 3" dataDxfId="28">
      <calculatedColumnFormula>IFERROR(INDEX(TablaInsumos[Unidad de Compra],MATCH(TablaPlatillos[[#This Row],[Insumo 3]],TablaInsumos[Nombre],0)),"")</calculatedColumnFormula>
    </tableColumn>
    <tableColumn id="10" xr3:uid="{00000000-0010-0000-0300-00000A000000}" name="Cantidad 3" dataDxfId="27"/>
    <tableColumn id="11" xr3:uid="{00000000-0010-0000-0300-00000B000000}" name="Insumo 4" dataDxfId="26"/>
    <tableColumn id="12" xr3:uid="{00000000-0010-0000-0300-00000C000000}" name="Unidad 4" dataDxfId="25">
      <calculatedColumnFormula>IFERROR(INDEX(TablaInsumos[Unidad de Compra],MATCH(TablaPlatillos[[#This Row],[Insumo 4]],TablaInsumos[Nombre],0)),"")</calculatedColumnFormula>
    </tableColumn>
    <tableColumn id="13" xr3:uid="{00000000-0010-0000-0300-00000D000000}" name="Cantidad 4" dataDxfId="24"/>
    <tableColumn id="18" xr3:uid="{00000000-0010-0000-0300-000012000000}" name="Insumo 5"/>
    <tableColumn id="19" xr3:uid="{00000000-0010-0000-0300-000013000000}" name="Unidad 5">
      <calculatedColumnFormula>IFERROR(INDEX(TablaInsumos[Unidad de Compra],MATCH(TablaPlatillos[[#This Row],[Insumo 5]],TablaInsumos[Nombre],0)),"")</calculatedColumnFormula>
    </tableColumn>
    <tableColumn id="20" xr3:uid="{00000000-0010-0000-0300-000014000000}" name="Cantidad 5"/>
    <tableColumn id="21" xr3:uid="{00000000-0010-0000-0300-000015000000}" name="Insumo 6"/>
    <tableColumn id="22" xr3:uid="{00000000-0010-0000-0300-000016000000}" name="Unidad 6">
      <calculatedColumnFormula>IFERROR(INDEX(TablaInsumos[Unidad de Compra],MATCH(TablaPlatillos[[#This Row],[Insumo 6]],TablaInsumos[Nombre],0)),"")</calculatedColumnFormula>
    </tableColumn>
    <tableColumn id="23" xr3:uid="{00000000-0010-0000-0300-000017000000}" name="Cantidad 6"/>
    <tableColumn id="24" xr3:uid="{00000000-0010-0000-0300-000018000000}" name="Insumo 7"/>
    <tableColumn id="25" xr3:uid="{00000000-0010-0000-0300-000019000000}" name="Unidad 7">
      <calculatedColumnFormula>IFERROR(INDEX(TablaInsumos[Unidad de Compra],MATCH(TablaPlatillos[[#This Row],[Insumo 7]],TablaInsumos[Nombre],0)),"")</calculatedColumnFormula>
    </tableColumn>
    <tableColumn id="26" xr3:uid="{00000000-0010-0000-0300-00001A000000}" name="Cantidad 7"/>
    <tableColumn id="27" xr3:uid="{00000000-0010-0000-0300-00001B000000}" name="Insumo 8"/>
    <tableColumn id="28" xr3:uid="{00000000-0010-0000-0300-00001C000000}" name="Unidad 8">
      <calculatedColumnFormula>IFERROR(INDEX(TablaInsumos[Unidad de Compra],MATCH(TablaPlatillos[[#This Row],[Insumo 8]],TablaInsumos[Nombre],0)),"")</calculatedColumnFormula>
    </tableColumn>
    <tableColumn id="29" xr3:uid="{00000000-0010-0000-0300-00001D000000}" name="Cantidad 8"/>
    <tableColumn id="30" xr3:uid="{00000000-0010-0000-0300-00001E000000}" name="Insumo 9"/>
    <tableColumn id="31" xr3:uid="{00000000-0010-0000-0300-00001F000000}" name="Unidad 9">
      <calculatedColumnFormula>IFERROR(INDEX(TablaInsumos[Unidad de Compra],MATCH(TablaPlatillos[[#This Row],[Insumo 9]],TablaInsumos[Nombre],0)),"")</calculatedColumnFormula>
    </tableColumn>
    <tableColumn id="32" xr3:uid="{00000000-0010-0000-0300-000020000000}" name="Cantidad 9"/>
    <tableColumn id="33" xr3:uid="{00000000-0010-0000-0300-000021000000}" name="Insumo 10"/>
    <tableColumn id="34" xr3:uid="{00000000-0010-0000-0300-000022000000}" name="Unidad 10">
      <calculatedColumnFormula>IFERROR(INDEX(TablaInsumos[Unidad de Compra],MATCH(TablaPlatillos[[#This Row],[Insumo 10]],TablaInsumos[Nombre],0)),"")</calculatedColumnFormula>
    </tableColumn>
    <tableColumn id="35" xr3:uid="{00000000-0010-0000-0300-000023000000}" name="Cantidad 10"/>
    <tableColumn id="36" xr3:uid="{00000000-0010-0000-0300-000024000000}" name="Insumo 11"/>
    <tableColumn id="37" xr3:uid="{00000000-0010-0000-0300-000025000000}" name="Unidad 11">
      <calculatedColumnFormula>IFERROR(INDEX(TablaInsumos[Unidad de Compra],MATCH(TablaPlatillos[[#This Row],[Insumo 11]],TablaInsumos[Nombre],0)),"")</calculatedColumnFormula>
    </tableColumn>
    <tableColumn id="38" xr3:uid="{00000000-0010-0000-0300-000026000000}" name="Cantidad 11"/>
    <tableColumn id="39" xr3:uid="{00000000-0010-0000-0300-000027000000}" name="Insumo 12"/>
    <tableColumn id="40" xr3:uid="{00000000-0010-0000-0300-000028000000}" name="Unidad 12">
      <calculatedColumnFormula>IFERROR(INDEX(TablaInsumos[Unidad de Compra],MATCH(TablaPlatillos[[#This Row],[Insumo 12]],TablaInsumos[Nombre],0)),"")</calculatedColumnFormula>
    </tableColumn>
    <tableColumn id="41" xr3:uid="{00000000-0010-0000-0300-000029000000}" name="Cantidad 12"/>
    <tableColumn id="42" xr3:uid="{00000000-0010-0000-0300-00002A000000}" name="Mano de Obra"/>
    <tableColumn id="43" xr3:uid="{00000000-0010-0000-0300-00002B000000}" name="Servicios"/>
    <tableColumn id="44" xr3:uid="{00000000-0010-0000-0300-00002C000000}" name="Oper. Domicilio"/>
    <tableColumn id="45" xr3:uid="{00000000-0010-0000-0300-00002D000000}" name="Sueldos Admin."/>
    <tableColumn id="46" xr3:uid="{00000000-0010-0000-0300-00002E000000}" name="Depreciación"/>
    <tableColumn id="47" xr3:uid="{00000000-0010-0000-0300-00002F000000}" name="Otros Gasto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showGridLines="0" zoomScale="70" zoomScaleNormal="70" workbookViewId="0"/>
  </sheetViews>
  <sheetFormatPr baseColWidth="10" defaultColWidth="11.44140625" defaultRowHeight="14.4" x14ac:dyDescent="0.3"/>
  <cols>
    <col min="1" max="1" width="3.6640625" customWidth="1"/>
    <col min="20" max="20" width="13.33203125" customWidth="1"/>
    <col min="21" max="21" width="3.6640625" customWidth="1"/>
  </cols>
  <sheetData>
    <row r="1" s="152" customFormat="1" ht="30" customHeight="1" x14ac:dyDescent="0.3"/>
    <row r="2" s="141" customFormat="1" ht="19.9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9"/>
  <sheetViews>
    <sheetView showGridLines="0" topLeftCell="A9" zoomScale="90" zoomScaleNormal="90" workbookViewId="0">
      <selection activeCell="J25" sqref="J25"/>
    </sheetView>
  </sheetViews>
  <sheetFormatPr baseColWidth="10" defaultColWidth="11.5546875" defaultRowHeight="19.95" customHeight="1" x14ac:dyDescent="0.3"/>
  <cols>
    <col min="1" max="1" width="3.6640625" style="1" customWidth="1"/>
    <col min="2" max="2" width="44.33203125" style="1" customWidth="1"/>
    <col min="3" max="3" width="25.33203125" style="1" bestFit="1" customWidth="1"/>
    <col min="4" max="4" width="21.6640625" style="1" customWidth="1"/>
    <col min="5" max="5" width="20.6640625" style="1" customWidth="1"/>
    <col min="6" max="6" width="24.44140625" style="1" customWidth="1"/>
    <col min="7" max="9" width="20.6640625" style="1" customWidth="1"/>
    <col min="10" max="10" width="23.44140625" style="1" bestFit="1" customWidth="1"/>
    <col min="11" max="11" width="6.44140625" style="1" customWidth="1"/>
    <col min="12" max="12" width="11.6640625" style="1" customWidth="1"/>
    <col min="13" max="16384" width="11.5546875" style="1"/>
  </cols>
  <sheetData>
    <row r="1" spans="2:13" s="153" customFormat="1" ht="30" customHeight="1" x14ac:dyDescent="0.3"/>
    <row r="2" spans="2:13" s="142" customFormat="1" ht="19.95" customHeight="1" x14ac:dyDescent="0.3"/>
    <row r="3" spans="2:13" ht="14.7" customHeight="1" x14ac:dyDescent="0.3">
      <c r="B3" s="164" t="s">
        <v>0</v>
      </c>
      <c r="C3" s="164"/>
      <c r="D3" s="164"/>
      <c r="E3" s="164"/>
      <c r="F3" s="164"/>
      <c r="G3" s="164"/>
      <c r="H3" s="164"/>
      <c r="I3" s="164"/>
      <c r="J3" s="164"/>
    </row>
    <row r="4" spans="2:13" ht="14.7" customHeight="1" x14ac:dyDescent="0.3">
      <c r="B4" s="164"/>
      <c r="C4" s="164"/>
      <c r="D4" s="164"/>
      <c r="E4" s="164"/>
      <c r="F4" s="164"/>
      <c r="G4" s="164"/>
      <c r="H4" s="164"/>
      <c r="I4" s="164"/>
      <c r="J4" s="164"/>
    </row>
    <row r="5" spans="2:13" ht="15" customHeight="1" thickBot="1" x14ac:dyDescent="0.35">
      <c r="B5" s="165"/>
      <c r="C5" s="165"/>
      <c r="D5" s="165"/>
      <c r="E5" s="165"/>
      <c r="F5" s="165"/>
      <c r="G5" s="165"/>
      <c r="H5" s="165"/>
      <c r="I5" s="165"/>
      <c r="J5" s="165"/>
      <c r="L5" s="1" t="s">
        <v>1</v>
      </c>
      <c r="M5" s="1" t="s">
        <v>2</v>
      </c>
    </row>
    <row r="6" spans="2:13" ht="19.95" customHeight="1" x14ac:dyDescent="0.3">
      <c r="L6" s="3" t="s">
        <v>3</v>
      </c>
      <c r="M6" s="145" t="s">
        <v>91</v>
      </c>
    </row>
    <row r="7" spans="2:13" ht="19.95" customHeight="1" x14ac:dyDescent="0.3">
      <c r="B7" s="2" t="s">
        <v>4</v>
      </c>
      <c r="C7" s="5"/>
      <c r="D7" s="4" t="s">
        <v>5</v>
      </c>
      <c r="L7" s="3" t="s">
        <v>6</v>
      </c>
      <c r="M7" s="145" t="s">
        <v>7</v>
      </c>
    </row>
    <row r="8" spans="2:13" s="10" customFormat="1" ht="19.95" customHeight="1" x14ac:dyDescent="0.3">
      <c r="C8" s="10" t="s">
        <v>8</v>
      </c>
      <c r="G8" s="10" t="s">
        <v>9</v>
      </c>
      <c r="I8" s="10" t="s">
        <v>10</v>
      </c>
      <c r="L8" s="3" t="s">
        <v>11</v>
      </c>
      <c r="M8" s="144" t="s">
        <v>12</v>
      </c>
    </row>
    <row r="9" spans="2:13" s="2" customFormat="1" ht="19.95" customHeight="1" x14ac:dyDescent="0.3"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M9" s="145" t="s">
        <v>22</v>
      </c>
    </row>
    <row r="10" spans="2:13" ht="19.95" customHeight="1" x14ac:dyDescent="0.3">
      <c r="B10" s="1" t="s">
        <v>82</v>
      </c>
      <c r="C10" s="6" t="s">
        <v>3</v>
      </c>
      <c r="D10" s="8">
        <v>2250</v>
      </c>
      <c r="E10" s="6">
        <v>500</v>
      </c>
      <c r="F10" s="6" t="s">
        <v>23</v>
      </c>
      <c r="G10" s="13">
        <v>0.02</v>
      </c>
      <c r="H10" s="8">
        <f>TablaInsumos[[#This Row],[Costo de Compra]]/TablaInsumos[[#This Row],[Cantidad]]</f>
        <v>4.5</v>
      </c>
      <c r="I10" s="12" t="str">
        <f>IF(TablaInsumos[[#This Row],[Unidad de Compra]]="","",IF(TablaInsumos[[#This Row],[Recepción de Compra]]="CEDIS",$C$7,""))</f>
        <v/>
      </c>
      <c r="J10" s="11">
        <f>IF(TablaInsumos[[#This Row],[Costo Logístico]]="",TablaInsumos[[#This Row],[Costo Unitario]],TablaInsumos[[#This Row],[Costo Unitario]]*(1+TablaInsumos[[#This Row],[Costo Logístico]]))</f>
        <v>4.5</v>
      </c>
      <c r="M10" s="145" t="s">
        <v>23</v>
      </c>
    </row>
    <row r="11" spans="2:13" ht="19.95" customHeight="1" x14ac:dyDescent="0.3">
      <c r="B11" s="1" t="s">
        <v>83</v>
      </c>
      <c r="C11" s="6" t="s">
        <v>3</v>
      </c>
      <c r="D11" s="8">
        <v>5100</v>
      </c>
      <c r="E11" s="6">
        <v>1000</v>
      </c>
      <c r="F11" s="6" t="s">
        <v>23</v>
      </c>
      <c r="G11" s="13">
        <v>0.01</v>
      </c>
      <c r="H11" s="8">
        <f>TablaInsumos[[#This Row],[Costo de Compra]]/TablaInsumos[[#This Row],[Cantidad]]</f>
        <v>5.0999999999999996</v>
      </c>
      <c r="I11" s="12" t="str">
        <f>IF(TablaInsumos[[#This Row],[Unidad de Compra]]="","",IF(TablaInsumos[[#This Row],[Recepción de Compra]]="CEDIS",$C$7,""))</f>
        <v/>
      </c>
      <c r="J11" s="11">
        <f>IF(TablaInsumos[[#This Row],[Costo Logístico]]="",TablaInsumos[[#This Row],[Costo Unitario]],TablaInsumos[[#This Row],[Costo Unitario]]*(1+TablaInsumos[[#This Row],[Costo Logístico]]))</f>
        <v>5.0999999999999996</v>
      </c>
      <c r="M11" s="145" t="s">
        <v>24</v>
      </c>
    </row>
    <row r="12" spans="2:13" ht="19.95" customHeight="1" x14ac:dyDescent="0.3">
      <c r="B12" s="1" t="s">
        <v>92</v>
      </c>
      <c r="C12" s="6" t="s">
        <v>3</v>
      </c>
      <c r="D12" s="8">
        <v>6500</v>
      </c>
      <c r="E12" s="6">
        <v>500</v>
      </c>
      <c r="F12" s="6" t="s">
        <v>23</v>
      </c>
      <c r="G12" s="13">
        <v>0.02</v>
      </c>
      <c r="H12" s="8">
        <f>TablaInsumos[[#This Row],[Costo de Compra]]/TablaInsumos[[#This Row],[Cantidad]]</f>
        <v>13</v>
      </c>
      <c r="I12" s="12" t="str">
        <f>IF(TablaInsumos[[#This Row],[Unidad de Compra]]="","",IF(TablaInsumos[[#This Row],[Recepción de Compra]]="CEDIS",$C$7,""))</f>
        <v/>
      </c>
      <c r="J12" s="11">
        <f>IF(TablaInsumos[[#This Row],[Costo Logístico]]="",TablaInsumos[[#This Row],[Costo Unitario]],TablaInsumos[[#This Row],[Costo Unitario]]*(1+TablaInsumos[[#This Row],[Costo Logístico]]))</f>
        <v>13</v>
      </c>
      <c r="M12" s="145" t="s">
        <v>25</v>
      </c>
    </row>
    <row r="13" spans="2:13" ht="19.95" customHeight="1" x14ac:dyDescent="0.3">
      <c r="B13" s="1" t="s">
        <v>84</v>
      </c>
      <c r="C13" s="6" t="s">
        <v>3</v>
      </c>
      <c r="D13" s="8">
        <v>4550</v>
      </c>
      <c r="E13" s="6">
        <v>500</v>
      </c>
      <c r="F13" s="6" t="s">
        <v>23</v>
      </c>
      <c r="G13" s="13">
        <v>0.02</v>
      </c>
      <c r="H13" s="8">
        <f>TablaInsumos[[#This Row],[Costo de Compra]]/TablaInsumos[[#This Row],[Cantidad]]</f>
        <v>9.1</v>
      </c>
      <c r="I13" s="12" t="str">
        <f>IF(TablaInsumos[[#This Row],[Unidad de Compra]]="","",IF(TablaInsumos[[#This Row],[Recepción de Compra]]="CEDIS",$C$7,""))</f>
        <v/>
      </c>
      <c r="J13" s="11">
        <f>IF(TablaInsumos[[#This Row],[Costo Logístico]]="",TablaInsumos[[#This Row],[Costo Unitario]],TablaInsumos[[#This Row],[Costo Unitario]]*(1+TablaInsumos[[#This Row],[Costo Logístico]]))</f>
        <v>9.1</v>
      </c>
      <c r="M13" s="145" t="s">
        <v>26</v>
      </c>
    </row>
    <row r="14" spans="2:13" ht="19.95" customHeight="1" x14ac:dyDescent="0.3">
      <c r="B14" s="1" t="s">
        <v>85</v>
      </c>
      <c r="C14" s="6" t="s">
        <v>3</v>
      </c>
      <c r="D14" s="8">
        <v>26700</v>
      </c>
      <c r="E14" s="6">
        <v>30</v>
      </c>
      <c r="F14" s="6" t="s">
        <v>57</v>
      </c>
      <c r="G14" s="13">
        <v>0.05</v>
      </c>
      <c r="H14" s="8">
        <f>TablaInsumos[[#This Row],[Costo de Compra]]/TablaInsumos[[#This Row],[Cantidad]]</f>
        <v>890</v>
      </c>
      <c r="I14" s="12" t="str">
        <f>IF(TablaInsumos[[#This Row],[Unidad de Compra]]="","",IF(TablaInsumos[[#This Row],[Recepción de Compra]]="CEDIS",$C$7,""))</f>
        <v/>
      </c>
      <c r="J14" s="11">
        <f>IF(TablaInsumos[[#This Row],[Costo Logístico]]="",TablaInsumos[[#This Row],[Costo Unitario]],TablaInsumos[[#This Row],[Costo Unitario]]*(1+TablaInsumos[[#This Row],[Costo Logístico]]))</f>
        <v>890</v>
      </c>
      <c r="M14" s="145" t="s">
        <v>27</v>
      </c>
    </row>
    <row r="15" spans="2:13" ht="19.95" customHeight="1" x14ac:dyDescent="0.3">
      <c r="B15" s="1" t="s">
        <v>93</v>
      </c>
      <c r="C15" s="6" t="s">
        <v>3</v>
      </c>
      <c r="D15" s="8">
        <v>50</v>
      </c>
      <c r="E15" s="6">
        <v>1</v>
      </c>
      <c r="F15" s="6" t="s">
        <v>57</v>
      </c>
      <c r="G15" s="13">
        <v>0.02</v>
      </c>
      <c r="H15" s="8">
        <f>TablaInsumos[[#This Row],[Costo de Compra]]/TablaInsumos[[#This Row],[Cantidad]]</f>
        <v>50</v>
      </c>
      <c r="I15" s="12" t="str">
        <f>IF(TablaInsumos[[#This Row],[Unidad de Compra]]="","",IF(TablaInsumos[[#This Row],[Recepción de Compra]]="CEDIS",$C$7,""))</f>
        <v/>
      </c>
      <c r="J15" s="11">
        <f>IF(TablaInsumos[[#This Row],[Costo Logístico]]="",TablaInsumos[[#This Row],[Costo Unitario]],TablaInsumos[[#This Row],[Costo Unitario]]*(1+TablaInsumos[[#This Row],[Costo Logístico]]))</f>
        <v>50</v>
      </c>
      <c r="M15" s="145" t="s">
        <v>28</v>
      </c>
    </row>
    <row r="16" spans="2:13" ht="19.95" customHeight="1" x14ac:dyDescent="0.3">
      <c r="B16" s="1" t="s">
        <v>86</v>
      </c>
      <c r="C16" s="6" t="s">
        <v>3</v>
      </c>
      <c r="D16" s="8">
        <v>4490</v>
      </c>
      <c r="E16" s="6">
        <v>1000</v>
      </c>
      <c r="F16" s="6" t="s">
        <v>25</v>
      </c>
      <c r="G16" s="13">
        <v>0.01</v>
      </c>
      <c r="H16" s="8">
        <f>TablaInsumos[[#This Row],[Costo de Compra]]/TablaInsumos[[#This Row],[Cantidad]]</f>
        <v>4.49</v>
      </c>
      <c r="I16" s="12" t="str">
        <f>IF(TablaInsumos[[#This Row],[Unidad de Compra]]="","",IF(TablaInsumos[[#This Row],[Recepción de Compra]]="CEDIS",$C$7,""))</f>
        <v/>
      </c>
      <c r="J16" s="11">
        <f>IF(TablaInsumos[[#This Row],[Costo Logístico]]="",TablaInsumos[[#This Row],[Costo Unitario]],TablaInsumos[[#This Row],[Costo Unitario]]*(1+TablaInsumos[[#This Row],[Costo Logístico]]))</f>
        <v>4.49</v>
      </c>
      <c r="M16" s="145" t="s">
        <v>57</v>
      </c>
    </row>
    <row r="17" spans="2:10" ht="19.95" customHeight="1" x14ac:dyDescent="0.3">
      <c r="B17" s="1" t="s">
        <v>87</v>
      </c>
      <c r="C17" s="6" t="s">
        <v>3</v>
      </c>
      <c r="D17" s="8">
        <v>7520</v>
      </c>
      <c r="E17" s="6">
        <v>80</v>
      </c>
      <c r="F17" s="6" t="s">
        <v>23</v>
      </c>
      <c r="G17" s="13">
        <v>5.5E-2</v>
      </c>
      <c r="H17" s="8">
        <f>TablaInsumos[[#This Row],[Costo de Compra]]/TablaInsumos[[#This Row],[Cantidad]]</f>
        <v>94</v>
      </c>
      <c r="I17" s="12" t="str">
        <f>IF(TablaInsumos[[#This Row],[Unidad de Compra]]="","",IF(TablaInsumos[[#This Row],[Recepción de Compra]]="CEDIS",$C$7,""))</f>
        <v/>
      </c>
      <c r="J17" s="11">
        <f>IF(TablaInsumos[[#This Row],[Costo Logístico]]="",TablaInsumos[[#This Row],[Costo Unitario]],TablaInsumos[[#This Row],[Costo Unitario]]*(1+TablaInsumos[[#This Row],[Costo Logístico]]))</f>
        <v>94</v>
      </c>
    </row>
    <row r="18" spans="2:10" ht="19.95" customHeight="1" x14ac:dyDescent="0.3">
      <c r="B18" s="1" t="s">
        <v>88</v>
      </c>
      <c r="C18" s="6" t="s">
        <v>3</v>
      </c>
      <c r="D18" s="8">
        <v>13100</v>
      </c>
      <c r="E18" s="6">
        <v>10</v>
      </c>
      <c r="F18" s="6" t="s">
        <v>91</v>
      </c>
      <c r="G18" s="13">
        <v>0.03</v>
      </c>
      <c r="H18" s="8">
        <f>TablaInsumos[[#This Row],[Costo de Compra]]/TablaInsumos[[#This Row],[Cantidad]]</f>
        <v>1310</v>
      </c>
      <c r="I18" s="12" t="str">
        <f>IF(TablaInsumos[[#This Row],[Unidad de Compra]]="","",IF(TablaInsumos[[#This Row],[Recepción de Compra]]="CEDIS",$C$7,""))</f>
        <v/>
      </c>
      <c r="J18" s="11">
        <f>IF(TablaInsumos[[#This Row],[Costo Logístico]]="",TablaInsumos[[#This Row],[Costo Unitario]],TablaInsumos[[#This Row],[Costo Unitario]]*(1+TablaInsumos[[#This Row],[Costo Logístico]]))</f>
        <v>1310</v>
      </c>
    </row>
    <row r="19" spans="2:10" ht="19.95" customHeight="1" x14ac:dyDescent="0.3">
      <c r="B19" s="1" t="s">
        <v>94</v>
      </c>
      <c r="C19" s="6" t="s">
        <v>3</v>
      </c>
      <c r="D19" s="8">
        <v>4800</v>
      </c>
      <c r="E19" s="6">
        <v>155</v>
      </c>
      <c r="F19" s="6" t="s">
        <v>25</v>
      </c>
      <c r="G19" s="13">
        <v>0</v>
      </c>
      <c r="H19" s="8">
        <f>TablaInsumos[[#This Row],[Costo de Compra]]/TablaInsumos[[#This Row],[Cantidad]]</f>
        <v>30.967741935483872</v>
      </c>
      <c r="I19" s="12" t="str">
        <f>IF(TablaInsumos[[#This Row],[Unidad de Compra]]="","",IF(TablaInsumos[[#This Row],[Recepción de Compra]]="CEDIS",$C$7,""))</f>
        <v/>
      </c>
      <c r="J19" s="11">
        <f>IF(TablaInsumos[[#This Row],[Costo Logístico]]="",TablaInsumos[[#This Row],[Costo Unitario]],TablaInsumos[[#This Row],[Costo Unitario]]*(1+TablaInsumos[[#This Row],[Costo Logístico]]))</f>
        <v>30.967741935483872</v>
      </c>
    </row>
    <row r="20" spans="2:10" ht="19.95" customHeight="1" x14ac:dyDescent="0.3">
      <c r="B20" s="1" t="s">
        <v>95</v>
      </c>
      <c r="C20" s="6" t="s">
        <v>3</v>
      </c>
      <c r="D20" s="8">
        <v>15550</v>
      </c>
      <c r="E20" s="6">
        <v>250</v>
      </c>
      <c r="F20" s="6" t="s">
        <v>23</v>
      </c>
      <c r="G20" s="13">
        <v>0</v>
      </c>
      <c r="H20" s="8">
        <f>TablaInsumos[[#This Row],[Costo de Compra]]/TablaInsumos[[#This Row],[Cantidad]]</f>
        <v>62.2</v>
      </c>
      <c r="I20" s="12" t="str">
        <f>IF(TablaInsumos[[#This Row],[Unidad de Compra]]="","",IF(TablaInsumos[[#This Row],[Recepción de Compra]]="CEDIS",$C$7,""))</f>
        <v/>
      </c>
      <c r="J20" s="11">
        <f>IF(TablaInsumos[[#This Row],[Costo Logístico]]="",TablaInsumos[[#This Row],[Costo Unitario]],TablaInsumos[[#This Row],[Costo Unitario]]*(1+TablaInsumos[[#This Row],[Costo Logístico]]))</f>
        <v>62.2</v>
      </c>
    </row>
    <row r="21" spans="2:10" ht="19.95" customHeight="1" x14ac:dyDescent="0.3">
      <c r="B21" s="1" t="s">
        <v>96</v>
      </c>
      <c r="C21" s="6" t="s">
        <v>3</v>
      </c>
      <c r="D21" s="8">
        <v>1500</v>
      </c>
      <c r="E21" s="6">
        <v>1</v>
      </c>
      <c r="F21" s="6" t="s">
        <v>57</v>
      </c>
      <c r="G21" s="13">
        <v>0</v>
      </c>
      <c r="H21" s="8">
        <f>TablaInsumos[[#This Row],[Costo de Compra]]/TablaInsumos[[#This Row],[Cantidad]]</f>
        <v>1500</v>
      </c>
      <c r="I21" s="12" t="str">
        <f>IF(TablaInsumos[[#This Row],[Unidad de Compra]]="","",IF(TablaInsumos[[#This Row],[Recepción de Compra]]="CEDIS",$C$7,""))</f>
        <v/>
      </c>
      <c r="J21" s="11">
        <f>IF(TablaInsumos[[#This Row],[Costo Logístico]]="",TablaInsumos[[#This Row],[Costo Unitario]],TablaInsumos[[#This Row],[Costo Unitario]]*(1+TablaInsumos[[#This Row],[Costo Logístico]]))</f>
        <v>1500</v>
      </c>
    </row>
    <row r="22" spans="2:10" ht="19.95" customHeight="1" x14ac:dyDescent="0.3">
      <c r="B22" s="1" t="s">
        <v>97</v>
      </c>
      <c r="C22" s="6" t="s">
        <v>3</v>
      </c>
      <c r="D22" s="8">
        <v>6000</v>
      </c>
      <c r="E22" s="6">
        <v>100</v>
      </c>
      <c r="F22" s="6" t="s">
        <v>57</v>
      </c>
      <c r="G22" s="13">
        <v>0</v>
      </c>
      <c r="H22" s="8">
        <f>TablaInsumos[[#This Row],[Costo de Compra]]/TablaInsumos[[#This Row],[Cantidad]]</f>
        <v>60</v>
      </c>
      <c r="I22" s="12" t="str">
        <f>IF(TablaInsumos[[#This Row],[Unidad de Compra]]="","",IF(TablaInsumos[[#This Row],[Recepción de Compra]]="CEDIS",$C$7,""))</f>
        <v/>
      </c>
      <c r="J22" s="11">
        <f>IF(TablaInsumos[[#This Row],[Costo Logístico]]="",TablaInsumos[[#This Row],[Costo Unitario]],TablaInsumos[[#This Row],[Costo Unitario]]*(1+TablaInsumos[[#This Row],[Costo Logístico]]))</f>
        <v>60</v>
      </c>
    </row>
    <row r="23" spans="2:10" ht="19.95" customHeight="1" x14ac:dyDescent="0.3">
      <c r="B23" s="1" t="s">
        <v>98</v>
      </c>
      <c r="C23" s="6" t="s">
        <v>3</v>
      </c>
      <c r="D23" s="8">
        <v>5500</v>
      </c>
      <c r="E23" s="6">
        <v>1</v>
      </c>
      <c r="F23" s="6" t="s">
        <v>57</v>
      </c>
      <c r="G23" s="13">
        <v>0</v>
      </c>
      <c r="H23" s="8">
        <f>TablaInsumos[[#This Row],[Costo de Compra]]/TablaInsumos[[#This Row],[Cantidad]]</f>
        <v>5500</v>
      </c>
      <c r="I23" s="12" t="str">
        <f>IF(TablaInsumos[[#This Row],[Unidad de Compra]]="","",IF(TablaInsumos[[#This Row],[Recepción de Compra]]="CEDIS",$C$7,""))</f>
        <v/>
      </c>
      <c r="J23" s="11">
        <f>IF(TablaInsumos[[#This Row],[Costo Logístico]]="",TablaInsumos[[#This Row],[Costo Unitario]],TablaInsumos[[#This Row],[Costo Unitario]]*(1+TablaInsumos[[#This Row],[Costo Logístico]]))</f>
        <v>5500</v>
      </c>
    </row>
    <row r="24" spans="2:10" ht="19.95" customHeight="1" x14ac:dyDescent="0.3">
      <c r="B24" s="9"/>
      <c r="C24" s="146"/>
      <c r="D24" s="147">
        <f>SUBTOTAL(109,TablaInsumos[Costo de Compra])</f>
        <v>103610</v>
      </c>
      <c r="E24" s="146"/>
      <c r="F24" s="146"/>
      <c r="G24" s="150">
        <f>SUBTOTAL(101,TablaInsumos[% Merma])</f>
        <v>1.6785714285714286E-2</v>
      </c>
      <c r="H24" s="147"/>
      <c r="I24" s="151" t="str">
        <f>IFERROR(SUBTOTAL(101,TablaInsumos[Costo Logístico]),"")</f>
        <v/>
      </c>
      <c r="J24" s="148">
        <f>J10+J11+J12+J13+J14+J15+J16+J17+J18+J19+J20+J21+J22+J23</f>
        <v>9533.3577419354842</v>
      </c>
    </row>
    <row r="26" spans="2:10" ht="19.95" customHeight="1" x14ac:dyDescent="0.3">
      <c r="B26" s="14" t="s">
        <v>99</v>
      </c>
    </row>
    <row r="27" spans="2:10" ht="19.95" customHeight="1" x14ac:dyDescent="0.3">
      <c r="B27" s="14" t="s">
        <v>100</v>
      </c>
    </row>
    <row r="28" spans="2:10" ht="19.95" customHeight="1" x14ac:dyDescent="0.3">
      <c r="B28" s="14" t="s">
        <v>101</v>
      </c>
    </row>
    <row r="29" spans="2:10" ht="19.95" customHeight="1" x14ac:dyDescent="0.3">
      <c r="B29" s="14" t="s">
        <v>102</v>
      </c>
    </row>
  </sheetData>
  <mergeCells count="1">
    <mergeCell ref="B3:J5"/>
  </mergeCells>
  <conditionalFormatting sqref="C10:J23">
    <cfRule type="expression" dxfId="23" priority="6">
      <formula>$B10=""</formula>
    </cfRule>
  </conditionalFormatting>
  <conditionalFormatting sqref="D10:J23">
    <cfRule type="expression" dxfId="22" priority="5">
      <formula>$C10=""</formula>
    </cfRule>
  </conditionalFormatting>
  <conditionalFormatting sqref="E10:J23">
    <cfRule type="expression" dxfId="21" priority="4">
      <formula>$D10=""</formula>
    </cfRule>
  </conditionalFormatting>
  <conditionalFormatting sqref="F10:J23">
    <cfRule type="expression" dxfId="20" priority="3">
      <formula>$E10=""</formula>
    </cfRule>
  </conditionalFormatting>
  <conditionalFormatting sqref="G10:G2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{8C22D6CC-0A98-464C-A1E9-CEE76AB792FC}</x14:id>
        </ext>
      </extLst>
    </cfRule>
  </conditionalFormatting>
  <conditionalFormatting sqref="G10:J23">
    <cfRule type="expression" dxfId="19" priority="2">
      <formula>$F10=""</formula>
    </cfRule>
  </conditionalFormatting>
  <conditionalFormatting sqref="I10:I23">
    <cfRule type="expression" dxfId="18" priority="7">
      <formula>C10="Sucursal"</formula>
    </cfRule>
  </conditionalFormatting>
  <dataValidations count="2">
    <dataValidation type="list" allowBlank="1" showInputMessage="1" showErrorMessage="1" sqref="C10:C23" xr:uid="{00000000-0002-0000-0100-000000000000}">
      <formula1>Recepción</formula1>
    </dataValidation>
    <dataValidation type="list" allowBlank="1" showInputMessage="1" showErrorMessage="1" sqref="F10:F23" xr:uid="{00000000-0002-0000-0100-000001000000}">
      <formula1>Unidades</formula1>
    </dataValidation>
  </dataValidations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22D6CC-0A98-464C-A1E9-CEE76AB792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G10:G23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35"/>
  <sheetViews>
    <sheetView showGridLines="0" zoomScaleNormal="100" workbookViewId="0">
      <selection activeCell="C10" sqref="C10"/>
    </sheetView>
  </sheetViews>
  <sheetFormatPr baseColWidth="10" defaultColWidth="11.5546875" defaultRowHeight="19.95" customHeight="1" x14ac:dyDescent="0.3"/>
  <cols>
    <col min="1" max="1" width="3.6640625" style="1" customWidth="1"/>
    <col min="2" max="2" width="38.6640625" style="1" customWidth="1"/>
    <col min="3" max="3" width="17.6640625" style="1" customWidth="1"/>
    <col min="4" max="4" width="16.33203125" style="1" customWidth="1"/>
    <col min="5" max="5" width="12.6640625" style="1" customWidth="1"/>
    <col min="6" max="6" width="17.5546875" style="1" customWidth="1"/>
    <col min="7" max="7" width="16.33203125" style="1" customWidth="1"/>
    <col min="8" max="8" width="12.6640625" style="1" customWidth="1"/>
    <col min="9" max="9" width="14.6640625" style="1" customWidth="1"/>
    <col min="10" max="10" width="16.33203125" style="1" customWidth="1"/>
    <col min="11" max="11" width="12.6640625" style="1" customWidth="1"/>
    <col min="12" max="12" width="14.6640625" style="1" customWidth="1"/>
    <col min="13" max="13" width="16.33203125" style="1" customWidth="1"/>
    <col min="14" max="14" width="12.6640625" style="1" customWidth="1"/>
    <col min="15" max="39" width="14.6640625" style="1" customWidth="1"/>
    <col min="40" max="45" width="16.6640625" style="1" customWidth="1"/>
    <col min="46" max="16384" width="11.5546875" style="1"/>
  </cols>
  <sheetData>
    <row r="1" spans="1:45" s="153" customFormat="1" ht="30" customHeight="1" x14ac:dyDescent="0.3"/>
    <row r="2" spans="1:45" s="153" customFormat="1" ht="19.95" customHeight="1" x14ac:dyDescent="0.3"/>
    <row r="3" spans="1:45" ht="14.7" customHeight="1" x14ac:dyDescent="0.3">
      <c r="B3" s="164" t="s">
        <v>89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</row>
    <row r="4" spans="1:45" ht="14.7" customHeight="1" x14ac:dyDescent="0.3"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</row>
    <row r="5" spans="1:45" ht="15" customHeight="1" thickBot="1" x14ac:dyDescent="0.35"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45" ht="19.95" customHeight="1" x14ac:dyDescent="0.3">
      <c r="L6" s="9"/>
      <c r="M6" s="9"/>
    </row>
    <row r="7" spans="1:45" ht="19.95" customHeight="1" x14ac:dyDescent="0.3">
      <c r="B7" s="166" t="s">
        <v>29</v>
      </c>
      <c r="C7" s="166"/>
      <c r="D7" s="4"/>
      <c r="F7" s="166" t="s">
        <v>30</v>
      </c>
      <c r="G7" s="166"/>
      <c r="I7" s="166" t="s">
        <v>31</v>
      </c>
      <c r="J7" s="166"/>
      <c r="L7" s="31" t="s">
        <v>32</v>
      </c>
      <c r="M7" s="32">
        <f>C8</f>
        <v>75000</v>
      </c>
      <c r="N7" s="7"/>
    </row>
    <row r="8" spans="1:45" ht="19.95" customHeight="1" x14ac:dyDescent="0.3">
      <c r="B8" s="28" t="s">
        <v>103</v>
      </c>
      <c r="C8" s="16">
        <f>IFERROR(INDEX(TablaPlatillos[Precio Platillo],MATCH(Explosión!$C$10,TablaPlatillos[Nombre de Platillo],0)),0)</f>
        <v>75000</v>
      </c>
      <c r="D8" s="14" t="s">
        <v>104</v>
      </c>
      <c r="E8" s="3"/>
      <c r="F8" s="22" t="s">
        <v>74</v>
      </c>
      <c r="G8" s="17">
        <f>IFERROR(INDEX(TablaPlatillos[Mano de Obra],MATCH(Explosión!$C$10,TablaPlatillos[Nombre de Platillo],0)),0)*$C$9</f>
        <v>15000</v>
      </c>
      <c r="H8" s="3"/>
      <c r="I8" s="22" t="s">
        <v>33</v>
      </c>
      <c r="J8" s="18">
        <f>IFERROR(INDEX(TablaPlatillos[Sueldos Admin.],MATCH(Explosión!$C$10,TablaPlatillos[Nombre de Platillo],0)),0)*$C$9</f>
        <v>0</v>
      </c>
      <c r="K8" s="3"/>
      <c r="L8" s="31" t="s">
        <v>34</v>
      </c>
      <c r="M8" s="32">
        <f>Explosión!$G$28</f>
        <v>40837.016129032258</v>
      </c>
      <c r="N8" s="3"/>
    </row>
    <row r="9" spans="1:45" ht="19.95" customHeight="1" x14ac:dyDescent="0.3">
      <c r="B9" s="29" t="s">
        <v>105</v>
      </c>
      <c r="C9" s="129">
        <f>IF(ISNUMBER(SEARCH("CopCake",Explosión!$C$10)),30,1)</f>
        <v>1</v>
      </c>
      <c r="D9" s="14" t="s">
        <v>106</v>
      </c>
      <c r="E9" s="3"/>
      <c r="F9" s="23" t="s">
        <v>107</v>
      </c>
      <c r="G9" s="19">
        <f>IFERROR(INDEX(TablaPlatillos[Servicios],MATCH(Explosión!$C$10,TablaPlatillos[Nombre de Platillo],0)),0)*$C$9</f>
        <v>2500</v>
      </c>
      <c r="H9" s="3"/>
      <c r="I9" s="23" t="s">
        <v>108</v>
      </c>
      <c r="J9" s="20">
        <f>Explosión!$G$40*$C$9</f>
        <v>16662.983870967742</v>
      </c>
      <c r="K9" s="3"/>
      <c r="L9" s="31" t="s">
        <v>35</v>
      </c>
      <c r="M9" s="32">
        <f>SUM(G8:G10)/$C$9</f>
        <v>17500</v>
      </c>
      <c r="N9" s="3"/>
    </row>
    <row r="10" spans="1:45" ht="30.75" customHeight="1" x14ac:dyDescent="0.3">
      <c r="B10" s="29" t="s">
        <v>36</v>
      </c>
      <c r="C10" s="21">
        <v>0.3</v>
      </c>
      <c r="D10" s="14" t="s">
        <v>75</v>
      </c>
      <c r="E10" s="3"/>
      <c r="F10" s="23" t="s">
        <v>76</v>
      </c>
      <c r="G10" s="19">
        <f>IFERROR(INDEX(TablaPlatillos[Oper. Domicilio],MATCH(Explosión!$C$10,TablaPlatillos[Nombre de Platillo],0)),0)*$C$9</f>
        <v>0</v>
      </c>
      <c r="H10" s="3"/>
      <c r="I10" s="23" t="s">
        <v>37</v>
      </c>
      <c r="J10" s="20">
        <f>IFERROR(INDEX(TablaPlatillos[Otros Gastos],MATCH(Explosión!$C$10,TablaPlatillos[Nombre de Platillo],0)),0)*$C$9</f>
        <v>0</v>
      </c>
      <c r="K10" s="3"/>
      <c r="L10" s="31" t="s">
        <v>38</v>
      </c>
      <c r="M10" s="32">
        <f>SUM(J8:J10)/$C$9</f>
        <v>16662.9838709677</v>
      </c>
      <c r="N10" s="3"/>
    </row>
    <row r="11" spans="1:45" ht="19.95" customHeight="1" x14ac:dyDescent="0.3">
      <c r="B11" s="15"/>
      <c r="C11" s="15"/>
      <c r="D11" s="15"/>
      <c r="E11" s="15"/>
      <c r="F11" s="15"/>
      <c r="G11" s="15"/>
      <c r="H11" s="15"/>
      <c r="I11" s="15"/>
      <c r="J11" s="15"/>
      <c r="K11" s="3"/>
      <c r="L11" s="3"/>
      <c r="M11" s="3"/>
      <c r="N11" s="3"/>
    </row>
    <row r="12" spans="1:45" ht="30" customHeight="1" x14ac:dyDescent="0.3">
      <c r="B12" s="24" t="s">
        <v>39</v>
      </c>
      <c r="C12" s="24" t="s">
        <v>40</v>
      </c>
      <c r="D12" s="24" t="s">
        <v>41</v>
      </c>
      <c r="E12" s="24" t="s">
        <v>42</v>
      </c>
      <c r="F12" s="24" t="s">
        <v>43</v>
      </c>
      <c r="G12" s="24" t="s">
        <v>44</v>
      </c>
      <c r="H12" s="24" t="s">
        <v>45</v>
      </c>
      <c r="I12" s="24" t="s">
        <v>46</v>
      </c>
      <c r="J12" s="24" t="s">
        <v>47</v>
      </c>
      <c r="K12" s="24" t="s">
        <v>48</v>
      </c>
      <c r="L12" s="24" t="s">
        <v>49</v>
      </c>
      <c r="M12" s="24" t="s">
        <v>50</v>
      </c>
      <c r="N12" s="24" t="s">
        <v>51</v>
      </c>
      <c r="O12" s="24" t="s">
        <v>52</v>
      </c>
      <c r="P12" s="24" t="s">
        <v>109</v>
      </c>
      <c r="Q12" s="24" t="s">
        <v>110</v>
      </c>
      <c r="R12" s="24" t="s">
        <v>111</v>
      </c>
      <c r="S12" s="24" t="s">
        <v>112</v>
      </c>
      <c r="T12" s="24" t="s">
        <v>113</v>
      </c>
      <c r="U12" s="24" t="s">
        <v>114</v>
      </c>
      <c r="V12" s="24" t="s">
        <v>115</v>
      </c>
      <c r="W12" s="24" t="s">
        <v>116</v>
      </c>
      <c r="X12" s="24" t="s">
        <v>117</v>
      </c>
      <c r="Y12" s="24" t="s">
        <v>118</v>
      </c>
      <c r="Z12" s="24" t="s">
        <v>119</v>
      </c>
      <c r="AA12" s="24" t="s">
        <v>120</v>
      </c>
      <c r="AB12" s="24" t="s">
        <v>121</v>
      </c>
      <c r="AC12" s="24" t="s">
        <v>122</v>
      </c>
      <c r="AD12" s="24" t="s">
        <v>123</v>
      </c>
      <c r="AE12" s="24" t="s">
        <v>124</v>
      </c>
      <c r="AF12" s="24" t="s">
        <v>125</v>
      </c>
      <c r="AG12" s="24" t="s">
        <v>126</v>
      </c>
      <c r="AH12" s="24" t="s">
        <v>127</v>
      </c>
      <c r="AI12" s="24" t="s">
        <v>128</v>
      </c>
      <c r="AJ12" s="24" t="s">
        <v>129</v>
      </c>
      <c r="AK12" s="24" t="s">
        <v>130</v>
      </c>
      <c r="AL12" s="24" t="s">
        <v>131</v>
      </c>
      <c r="AM12" s="24" t="s">
        <v>132</v>
      </c>
      <c r="AN12" s="24" t="s">
        <v>74</v>
      </c>
      <c r="AO12" s="24" t="s">
        <v>133</v>
      </c>
      <c r="AP12" s="24" t="s">
        <v>134</v>
      </c>
      <c r="AQ12" s="24" t="s">
        <v>33</v>
      </c>
      <c r="AR12" s="24" t="s">
        <v>135</v>
      </c>
      <c r="AS12" s="24" t="s">
        <v>37</v>
      </c>
    </row>
    <row r="13" spans="1:45" ht="19.95" customHeight="1" x14ac:dyDescent="0.3">
      <c r="A13" s="118">
        <v>1</v>
      </c>
      <c r="B13" s="25" t="s">
        <v>136</v>
      </c>
      <c r="C13" s="149">
        <v>75000</v>
      </c>
      <c r="D13" s="27" t="s">
        <v>82</v>
      </c>
      <c r="E13" s="26" t="str">
        <f>IFERROR(INDEX(TablaInsumos[Unidad de Compra],MATCH(TablaPlatillos[[#This Row],[Insumo 1]],TablaInsumos[Nombre],0)),"")</f>
        <v>Gramo</v>
      </c>
      <c r="F13" s="30">
        <v>500</v>
      </c>
      <c r="G13" s="27" t="s">
        <v>83</v>
      </c>
      <c r="H13" s="26" t="str">
        <f>IFERROR(INDEX(TablaInsumos[Unidad de Compra],MATCH(TablaPlatillos[[#This Row],[Insumo 2]],TablaInsumos[Nombre],0)),"")</f>
        <v>Gramo</v>
      </c>
      <c r="I13" s="30">
        <v>400</v>
      </c>
      <c r="J13" s="27" t="s">
        <v>92</v>
      </c>
      <c r="K13" s="26" t="str">
        <f>IFERROR(INDEX(TablaInsumos[Unidad de Compra],MATCH(TablaPlatillos[[#This Row],[Insumo 3]],TablaInsumos[Nombre],0)),"")</f>
        <v>Gramo</v>
      </c>
      <c r="L13" s="30">
        <v>400</v>
      </c>
      <c r="M13" s="27" t="s">
        <v>85</v>
      </c>
      <c r="N13" s="26" t="str">
        <f>IFERROR(INDEX(TablaInsumos[Unidad de Compra],MATCH(TablaPlatillos[[#This Row],[Insumo 4]],TablaInsumos[Nombre],0)),"")</f>
        <v>Unidad</v>
      </c>
      <c r="O13" s="30">
        <v>8</v>
      </c>
      <c r="P13" s="27" t="s">
        <v>86</v>
      </c>
      <c r="Q13" s="26" t="str">
        <f>IFERROR(INDEX(TablaInsumos[Unidad de Compra],MATCH(TablaPlatillos[[#This Row],[Insumo 5]],TablaInsumos[Nombre],0)),"")</f>
        <v>Mililitro</v>
      </c>
      <c r="R13" s="30">
        <v>250</v>
      </c>
      <c r="S13" s="27" t="s">
        <v>87</v>
      </c>
      <c r="T13" s="26" t="str">
        <f>IFERROR(INDEX(TablaInsumos[Unidad de Compra],MATCH(TablaPlatillos[[#This Row],[Insumo 6]],TablaInsumos[Nombre],0)),"")</f>
        <v>Gramo</v>
      </c>
      <c r="U13" s="30">
        <v>15</v>
      </c>
      <c r="V13" s="27" t="s">
        <v>94</v>
      </c>
      <c r="W13" s="26" t="str">
        <f>IFERROR(INDEX(TablaInsumos[Unidad de Compra],MATCH(TablaPlatillos[[#This Row],[Insumo 7]],TablaInsumos[Nombre],0)),"")</f>
        <v>Mililitro</v>
      </c>
      <c r="X13" s="30">
        <v>15</v>
      </c>
      <c r="Y13" s="27" t="s">
        <v>93</v>
      </c>
      <c r="Z13" s="26" t="str">
        <f>IFERROR(INDEX(TablaInsumos[Unidad de Compra],MATCH(TablaPlatillos[[#This Row],[Insumo 8]],TablaInsumos[Nombre],0)),"")</f>
        <v>Unidad</v>
      </c>
      <c r="AA13" s="30">
        <v>1</v>
      </c>
      <c r="AB13" s="27" t="s">
        <v>96</v>
      </c>
      <c r="AC13" s="26" t="str">
        <f>IFERROR(INDEX(TablaInsumos[Unidad de Compra],MATCH(TablaPlatillos[[#This Row],[Insumo 9]],TablaInsumos[Nombre],0)),"")</f>
        <v>Unidad</v>
      </c>
      <c r="AD13" s="30">
        <v>1</v>
      </c>
      <c r="AE13" s="27"/>
      <c r="AF13" s="26" t="str">
        <f>IFERROR(INDEX(TablaInsumos[Unidad de Compra],MATCH(TablaPlatillos[[#This Row],[Insumo 10]],TablaInsumos[Nombre],0)),"")</f>
        <v/>
      </c>
      <c r="AG13" s="30"/>
      <c r="AH13" s="27"/>
      <c r="AI13" s="26" t="str">
        <f>IFERROR(INDEX(TablaInsumos[Unidad de Compra],MATCH(TablaPlatillos[[#This Row],[Insumo 11]],TablaInsumos[Nombre],0)),"")</f>
        <v/>
      </c>
      <c r="AJ13" s="30"/>
      <c r="AK13" s="27"/>
      <c r="AL13" s="26" t="str">
        <f>IFERROR(INDEX(TablaInsumos[Unidad de Compra],MATCH(TablaPlatillos[[#This Row],[Insumo 12]],TablaInsumos[Nombre],0)),"")</f>
        <v/>
      </c>
      <c r="AM13" s="30"/>
      <c r="AN13" s="149">
        <v>15000</v>
      </c>
      <c r="AO13" s="149">
        <f>2000+500</f>
        <v>2500</v>
      </c>
      <c r="AP13" s="149">
        <v>0</v>
      </c>
      <c r="AQ13" s="149">
        <v>0</v>
      </c>
      <c r="AR13" s="149">
        <f>$J$26</f>
        <v>31666.666666666668</v>
      </c>
      <c r="AS13" s="149">
        <v>0</v>
      </c>
    </row>
    <row r="14" spans="1:45" ht="19.95" customHeight="1" x14ac:dyDescent="0.3">
      <c r="A14" s="118">
        <v>2</v>
      </c>
      <c r="B14" s="25" t="s">
        <v>137</v>
      </c>
      <c r="C14" s="149">
        <v>75000</v>
      </c>
      <c r="D14" s="27" t="s">
        <v>82</v>
      </c>
      <c r="E14" s="26" t="str">
        <f>IFERROR(INDEX(TablaInsumos[Unidad de Compra],MATCH(TablaPlatillos[[#This Row],[Insumo 1]],TablaInsumos[Nombre],0)),"")</f>
        <v>Gramo</v>
      </c>
      <c r="F14" s="30">
        <v>500</v>
      </c>
      <c r="G14" s="27" t="s">
        <v>83</v>
      </c>
      <c r="H14" s="26" t="str">
        <f>IFERROR(INDEX(TablaInsumos[Unidad de Compra],MATCH(TablaPlatillos[[#This Row],[Insumo 2]],TablaInsumos[Nombre],0)),"")</f>
        <v>Gramo</v>
      </c>
      <c r="I14" s="30">
        <v>400</v>
      </c>
      <c r="J14" s="27" t="s">
        <v>95</v>
      </c>
      <c r="K14" s="26" t="str">
        <f>IFERROR(INDEX(TablaInsumos[Unidad de Compra],MATCH(TablaPlatillos[[#This Row],[Insumo 3]],TablaInsumos[Nombre],0)),"")</f>
        <v>Gramo</v>
      </c>
      <c r="L14" s="30">
        <v>400</v>
      </c>
      <c r="M14" s="27" t="s">
        <v>85</v>
      </c>
      <c r="N14" s="26" t="str">
        <f>IFERROR(INDEX(TablaInsumos[Unidad de Compra],MATCH(TablaPlatillos[[#This Row],[Insumo 4]],TablaInsumos[Nombre],0)),"")</f>
        <v>Unidad</v>
      </c>
      <c r="O14" s="30">
        <v>8</v>
      </c>
      <c r="P14" s="27" t="s">
        <v>86</v>
      </c>
      <c r="Q14" s="26" t="str">
        <f>IFERROR(INDEX(TablaInsumos[Unidad de Compra],MATCH(TablaPlatillos[[#This Row],[Insumo 5]],TablaInsumos[Nombre],0)),"")</f>
        <v>Mililitro</v>
      </c>
      <c r="R14" s="30">
        <v>250</v>
      </c>
      <c r="S14" s="27" t="s">
        <v>87</v>
      </c>
      <c r="T14" s="26" t="str">
        <f>IFERROR(INDEX(TablaInsumos[Unidad de Compra],MATCH(TablaPlatillos[[#This Row],[Insumo 6]],TablaInsumos[Nombre],0)),"")</f>
        <v>Gramo</v>
      </c>
      <c r="U14" s="30">
        <v>15</v>
      </c>
      <c r="V14" s="27" t="s">
        <v>94</v>
      </c>
      <c r="W14" s="26" t="str">
        <f>IFERROR(INDEX(TablaInsumos[Unidad de Compra],MATCH(TablaPlatillos[[#This Row],[Insumo 7]],TablaInsumos[Nombre],0)),"")</f>
        <v>Mililitro</v>
      </c>
      <c r="X14" s="30">
        <v>15</v>
      </c>
      <c r="Y14" s="27" t="s">
        <v>93</v>
      </c>
      <c r="Z14" s="26" t="str">
        <f>IFERROR(INDEX(TablaInsumos[Unidad de Compra],MATCH(TablaPlatillos[[#This Row],[Insumo 8]],TablaInsumos[Nombre],0)),"")</f>
        <v>Unidad</v>
      </c>
      <c r="AA14" s="30">
        <v>1</v>
      </c>
      <c r="AB14" s="27" t="s">
        <v>96</v>
      </c>
      <c r="AC14" s="26" t="str">
        <f>IFERROR(INDEX(TablaInsumos[Unidad de Compra],MATCH(TablaPlatillos[[#This Row],[Insumo 9]],TablaInsumos[Nombre],0)),"")</f>
        <v>Unidad</v>
      </c>
      <c r="AD14" s="30">
        <v>1</v>
      </c>
      <c r="AE14" s="27"/>
      <c r="AF14" s="26" t="str">
        <f>IFERROR(INDEX(TablaInsumos[Unidad de Compra],MATCH(TablaPlatillos[[#This Row],[Insumo 10]],TablaInsumos[Nombre],0)),"")</f>
        <v/>
      </c>
      <c r="AG14" s="30"/>
      <c r="AH14" s="27"/>
      <c r="AI14" s="26" t="str">
        <f>IFERROR(INDEX(TablaInsumos[Unidad de Compra],MATCH(TablaPlatillos[[#This Row],[Insumo 11]],TablaInsumos[Nombre],0)),"")</f>
        <v/>
      </c>
      <c r="AJ14" s="30"/>
      <c r="AK14" s="27"/>
      <c r="AL14" s="26" t="str">
        <f>IFERROR(INDEX(TablaInsumos[Unidad de Compra],MATCH(TablaPlatillos[[#This Row],[Insumo 12]],TablaInsumos[Nombre],0)),"")</f>
        <v/>
      </c>
      <c r="AM14" s="30"/>
      <c r="AN14" s="149">
        <v>15000</v>
      </c>
      <c r="AO14" s="149">
        <f>2000+500</f>
        <v>2500</v>
      </c>
      <c r="AP14" s="149">
        <v>0</v>
      </c>
      <c r="AQ14" s="149">
        <v>0</v>
      </c>
      <c r="AR14" s="149">
        <f>$J$26</f>
        <v>31666.666666666668</v>
      </c>
      <c r="AS14" s="149">
        <v>0</v>
      </c>
    </row>
    <row r="15" spans="1:45" ht="19.95" customHeight="1" x14ac:dyDescent="0.3">
      <c r="A15" s="118">
        <v>3</v>
      </c>
      <c r="B15" s="25" t="s">
        <v>138</v>
      </c>
      <c r="C15" s="149">
        <v>4500</v>
      </c>
      <c r="D15" s="27" t="s">
        <v>82</v>
      </c>
      <c r="E15" s="26" t="str">
        <f>IFERROR(INDEX(TablaInsumos[Unidad de Compra],MATCH(TablaPlatillos[[#This Row],[Insumo 1]],TablaInsumos[Nombre],0)),"")</f>
        <v>Gramo</v>
      </c>
      <c r="F15" s="30">
        <f>500/30</f>
        <v>16.666666666666668</v>
      </c>
      <c r="G15" s="27" t="s">
        <v>83</v>
      </c>
      <c r="H15" s="26" t="str">
        <f>IFERROR(INDEX(TablaInsumos[Unidad de Compra],MATCH(TablaPlatillos[[#This Row],[Insumo 2]],TablaInsumos[Nombre],0)),"")</f>
        <v>Gramo</v>
      </c>
      <c r="I15" s="30">
        <f>400/30</f>
        <v>13.333333333333334</v>
      </c>
      <c r="J15" s="27" t="s">
        <v>92</v>
      </c>
      <c r="K15" s="26" t="str">
        <f>IFERROR(INDEX(TablaInsumos[Unidad de Compra],MATCH(TablaPlatillos[[#This Row],[Insumo 3]],TablaInsumos[Nombre],0)),"")</f>
        <v>Gramo</v>
      </c>
      <c r="L15" s="30">
        <f>400/30</f>
        <v>13.333333333333334</v>
      </c>
      <c r="M15" s="27" t="s">
        <v>85</v>
      </c>
      <c r="N15" s="26" t="str">
        <f>IFERROR(INDEX(TablaInsumos[Unidad de Compra],MATCH(TablaPlatillos[[#This Row],[Insumo 4]],TablaInsumos[Nombre],0)),"")</f>
        <v>Unidad</v>
      </c>
      <c r="O15" s="30">
        <f>8/30</f>
        <v>0.26666666666666666</v>
      </c>
      <c r="P15" s="27" t="s">
        <v>86</v>
      </c>
      <c r="Q15" s="26" t="str">
        <f>IFERROR(INDEX(TablaInsumos[Unidad de Compra],MATCH(TablaPlatillos[[#This Row],[Insumo 5]],TablaInsumos[Nombre],0)),"")</f>
        <v>Mililitro</v>
      </c>
      <c r="R15" s="30">
        <f>250/30</f>
        <v>8.3333333333333339</v>
      </c>
      <c r="S15" s="27" t="s">
        <v>87</v>
      </c>
      <c r="T15" s="26" t="str">
        <f>IFERROR(INDEX(TablaInsumos[Unidad de Compra],MATCH(TablaPlatillos[[#This Row],[Insumo 6]],TablaInsumos[Nombre],0)),"")</f>
        <v>Gramo</v>
      </c>
      <c r="U15" s="30">
        <f>15/30</f>
        <v>0.5</v>
      </c>
      <c r="V15" s="27" t="s">
        <v>94</v>
      </c>
      <c r="W15" s="26" t="str">
        <f>IFERROR(INDEX(TablaInsumos[Unidad de Compra],MATCH(TablaPlatillos[[#This Row],[Insumo 7]],TablaInsumos[Nombre],0)),"")</f>
        <v>Mililitro</v>
      </c>
      <c r="X15" s="30">
        <f>15/30</f>
        <v>0.5</v>
      </c>
      <c r="Y15" s="27" t="s">
        <v>93</v>
      </c>
      <c r="Z15" s="26" t="str">
        <f>IFERROR(INDEX(TablaInsumos[Unidad de Compra],MATCH(TablaPlatillos[[#This Row],[Insumo 8]],TablaInsumos[Nombre],0)),"")</f>
        <v>Unidad</v>
      </c>
      <c r="AA15" s="30">
        <f>1/30</f>
        <v>3.3333333333333333E-2</v>
      </c>
      <c r="AB15" s="27" t="s">
        <v>97</v>
      </c>
      <c r="AC15" s="26" t="str">
        <f>IFERROR(INDEX(TablaInsumos[Unidad de Compra],MATCH(TablaPlatillos[[#This Row],[Insumo 9]],TablaInsumos[Nombre],0)),"")</f>
        <v>Unidad</v>
      </c>
      <c r="AD15" s="30">
        <v>1</v>
      </c>
      <c r="AE15" s="27" t="s">
        <v>98</v>
      </c>
      <c r="AF15" s="26" t="str">
        <f>IFERROR(INDEX(TablaInsumos[Unidad de Compra],MATCH(TablaPlatillos[[#This Row],[Insumo 10]],TablaInsumos[Nombre],0)),"")</f>
        <v>Unidad</v>
      </c>
      <c r="AG15" s="30">
        <f>3/30</f>
        <v>0.1</v>
      </c>
      <c r="AH15" s="27"/>
      <c r="AI15" s="26" t="str">
        <f>IFERROR(INDEX(TablaInsumos[Unidad de Compra],MATCH(TablaPlatillos[[#This Row],[Insumo 11]],TablaInsumos[Nombre],0)),"")</f>
        <v/>
      </c>
      <c r="AJ15" s="30"/>
      <c r="AK15" s="27"/>
      <c r="AL15" s="26" t="str">
        <f>IFERROR(INDEX(TablaInsumos[Unidad de Compra],MATCH(TablaPlatillos[[#This Row],[Insumo 12]],TablaInsumos[Nombre],0)),"")</f>
        <v/>
      </c>
      <c r="AM15" s="30"/>
      <c r="AN15" s="149">
        <f>25000/30</f>
        <v>833.33333333333337</v>
      </c>
      <c r="AO15" s="149">
        <f>(3000+1000)/30</f>
        <v>133.33333333333334</v>
      </c>
      <c r="AP15" s="149">
        <f>7000/30</f>
        <v>233.33333333333334</v>
      </c>
      <c r="AQ15" s="149">
        <v>0</v>
      </c>
      <c r="AR15" s="149">
        <f>$J$26/30</f>
        <v>1055.5555555555557</v>
      </c>
      <c r="AS15" s="149">
        <v>0</v>
      </c>
    </row>
    <row r="16" spans="1:45" ht="19.95" customHeight="1" x14ac:dyDescent="0.3">
      <c r="A16" s="118">
        <v>4</v>
      </c>
      <c r="B16" s="25" t="s">
        <v>139</v>
      </c>
      <c r="C16" s="149">
        <v>4500</v>
      </c>
      <c r="D16" s="27" t="s">
        <v>82</v>
      </c>
      <c r="E16" s="26" t="str">
        <f>IFERROR(INDEX(TablaInsumos[Unidad de Compra],MATCH(TablaPlatillos[[#This Row],[Insumo 1]],TablaInsumos[Nombre],0)),"")</f>
        <v>Gramo</v>
      </c>
      <c r="F16" s="30">
        <f>500/30</f>
        <v>16.666666666666668</v>
      </c>
      <c r="G16" s="27" t="s">
        <v>83</v>
      </c>
      <c r="H16" s="26" t="str">
        <f>IFERROR(INDEX(TablaInsumos[Unidad de Compra],MATCH(TablaPlatillos[[#This Row],[Insumo 2]],TablaInsumos[Nombre],0)),"")</f>
        <v>Gramo</v>
      </c>
      <c r="I16" s="30">
        <f>400/30</f>
        <v>13.333333333333334</v>
      </c>
      <c r="J16" s="27" t="s">
        <v>95</v>
      </c>
      <c r="K16" s="26" t="str">
        <f>IFERROR(INDEX(TablaInsumos[Unidad de Compra],MATCH(TablaPlatillos[[#This Row],[Insumo 3]],TablaInsumos[Nombre],0)),"")</f>
        <v>Gramo</v>
      </c>
      <c r="L16" s="30">
        <f>400/30</f>
        <v>13.333333333333334</v>
      </c>
      <c r="M16" s="27" t="s">
        <v>85</v>
      </c>
      <c r="N16" s="26" t="str">
        <f>IFERROR(INDEX(TablaInsumos[Unidad de Compra],MATCH(TablaPlatillos[[#This Row],[Insumo 4]],TablaInsumos[Nombre],0)),"")</f>
        <v>Unidad</v>
      </c>
      <c r="O16" s="30">
        <f>8/30</f>
        <v>0.26666666666666666</v>
      </c>
      <c r="P16" s="27" t="s">
        <v>86</v>
      </c>
      <c r="Q16" s="26" t="str">
        <f>IFERROR(INDEX(TablaInsumos[Unidad de Compra],MATCH(TablaPlatillos[[#This Row],[Insumo 5]],TablaInsumos[Nombre],0)),"")</f>
        <v>Mililitro</v>
      </c>
      <c r="R16" s="30">
        <f>250/30</f>
        <v>8.3333333333333339</v>
      </c>
      <c r="S16" s="27" t="s">
        <v>87</v>
      </c>
      <c r="T16" s="26" t="str">
        <f>IFERROR(INDEX(TablaInsumos[Unidad de Compra],MATCH(TablaPlatillos[[#This Row],[Insumo 6]],TablaInsumos[Nombre],0)),"")</f>
        <v>Gramo</v>
      </c>
      <c r="U16" s="30">
        <f>15/30</f>
        <v>0.5</v>
      </c>
      <c r="V16" s="27" t="s">
        <v>94</v>
      </c>
      <c r="W16" s="26" t="str">
        <f>IFERROR(INDEX(TablaInsumos[Unidad de Compra],MATCH(TablaPlatillos[[#This Row],[Insumo 7]],TablaInsumos[Nombre],0)),"")</f>
        <v>Mililitro</v>
      </c>
      <c r="X16" s="30">
        <f>15/30</f>
        <v>0.5</v>
      </c>
      <c r="Y16" s="27" t="s">
        <v>93</v>
      </c>
      <c r="Z16" s="26" t="str">
        <f>IFERROR(INDEX(TablaInsumos[Unidad de Compra],MATCH(TablaPlatillos[[#This Row],[Insumo 8]],TablaInsumos[Nombre],0)),"")</f>
        <v>Unidad</v>
      </c>
      <c r="AA16" s="30">
        <f>1/30</f>
        <v>3.3333333333333333E-2</v>
      </c>
      <c r="AB16" s="27" t="s">
        <v>97</v>
      </c>
      <c r="AC16" s="26" t="str">
        <f>IFERROR(INDEX(TablaInsumos[Unidad de Compra],MATCH(TablaPlatillos[[#This Row],[Insumo 9]],TablaInsumos[Nombre],0)),"")</f>
        <v>Unidad</v>
      </c>
      <c r="AD16" s="30">
        <v>1</v>
      </c>
      <c r="AE16" s="27" t="s">
        <v>98</v>
      </c>
      <c r="AF16" s="26" t="str">
        <f>IFERROR(INDEX(TablaInsumos[Unidad de Compra],MATCH(TablaPlatillos[[#This Row],[Insumo 10]],TablaInsumos[Nombre],0)),"")</f>
        <v>Unidad</v>
      </c>
      <c r="AG16" s="30">
        <f>3/30</f>
        <v>0.1</v>
      </c>
      <c r="AH16" s="27"/>
      <c r="AI16" s="26" t="str">
        <f>IFERROR(INDEX(TablaInsumos[Unidad de Compra],MATCH(TablaPlatillos[[#This Row],[Insumo 11]],TablaInsumos[Nombre],0)),"")</f>
        <v/>
      </c>
      <c r="AJ16" s="30"/>
      <c r="AK16" s="27"/>
      <c r="AL16" s="26" t="str">
        <f>IFERROR(INDEX(TablaInsumos[Unidad de Compra],MATCH(TablaPlatillos[[#This Row],[Insumo 12]],TablaInsumos[Nombre],0)),"")</f>
        <v/>
      </c>
      <c r="AM16" s="30"/>
      <c r="AN16" s="149">
        <f>25000/30</f>
        <v>833.33333333333337</v>
      </c>
      <c r="AO16" s="149">
        <f>(3000+1000)/30</f>
        <v>133.33333333333334</v>
      </c>
      <c r="AP16" s="149">
        <f>7000/30</f>
        <v>233.33333333333334</v>
      </c>
      <c r="AQ16" s="149">
        <v>0</v>
      </c>
      <c r="AR16" s="149">
        <f>$J$26/30</f>
        <v>1055.5555555555557</v>
      </c>
      <c r="AS16" s="149">
        <v>0</v>
      </c>
    </row>
    <row r="17" spans="1:45" ht="19.95" customHeight="1" x14ac:dyDescent="0.3">
      <c r="A17" s="118">
        <v>5</v>
      </c>
      <c r="B17" s="25" t="s">
        <v>140</v>
      </c>
      <c r="C17" s="149">
        <v>6500</v>
      </c>
      <c r="D17" s="27" t="s">
        <v>82</v>
      </c>
      <c r="E17" s="26" t="str">
        <f>IFERROR(INDEX(TablaInsumos[Unidad de Compra],MATCH(TablaPlatillos[[#This Row],[Insumo 1]],TablaInsumos[Nombre],0)),"")</f>
        <v>Gramo</v>
      </c>
      <c r="F17" s="30">
        <f>500/30</f>
        <v>16.666666666666668</v>
      </c>
      <c r="G17" s="27" t="s">
        <v>83</v>
      </c>
      <c r="H17" s="26" t="str">
        <f>IFERROR(INDEX(TablaInsumos[Unidad de Compra],MATCH(TablaPlatillos[[#This Row],[Insumo 2]],TablaInsumos[Nombre],0)),"")</f>
        <v>Gramo</v>
      </c>
      <c r="I17" s="30">
        <f>400/30</f>
        <v>13.333333333333334</v>
      </c>
      <c r="J17" s="27" t="s">
        <v>92</v>
      </c>
      <c r="K17" s="26" t="str">
        <f>IFERROR(INDEX(TablaInsumos[Unidad de Compra],MATCH(TablaPlatillos[[#This Row],[Insumo 3]],TablaInsumos[Nombre],0)),"")</f>
        <v>Gramo</v>
      </c>
      <c r="L17" s="30">
        <f>400/30</f>
        <v>13.333333333333334</v>
      </c>
      <c r="M17" s="27" t="s">
        <v>85</v>
      </c>
      <c r="N17" s="26" t="str">
        <f>IFERROR(INDEX(TablaInsumos[Unidad de Compra],MATCH(TablaPlatillos[[#This Row],[Insumo 4]],TablaInsumos[Nombre],0)),"")</f>
        <v>Unidad</v>
      </c>
      <c r="O17" s="30">
        <f>8/30</f>
        <v>0.26666666666666666</v>
      </c>
      <c r="P17" s="27" t="s">
        <v>86</v>
      </c>
      <c r="Q17" s="26" t="str">
        <f>IFERROR(INDEX(TablaInsumos[Unidad de Compra],MATCH(TablaPlatillos[[#This Row],[Insumo 5]],TablaInsumos[Nombre],0)),"")</f>
        <v>Mililitro</v>
      </c>
      <c r="R17" s="30">
        <f>(250+20)/30</f>
        <v>9</v>
      </c>
      <c r="S17" s="27" t="s">
        <v>87</v>
      </c>
      <c r="T17" s="26" t="str">
        <f>IFERROR(INDEX(TablaInsumos[Unidad de Compra],MATCH(TablaPlatillos[[#This Row],[Insumo 6]],TablaInsumos[Nombre],0)),"")</f>
        <v>Gramo</v>
      </c>
      <c r="U17" s="30">
        <f>15/30</f>
        <v>0.5</v>
      </c>
      <c r="V17" s="27" t="s">
        <v>94</v>
      </c>
      <c r="W17" s="26" t="str">
        <f>IFERROR(INDEX(TablaInsumos[Unidad de Compra],MATCH(TablaPlatillos[[#This Row],[Insumo 7]],TablaInsumos[Nombre],0)),"")</f>
        <v>Mililitro</v>
      </c>
      <c r="X17" s="30">
        <f>(15+5)/30</f>
        <v>0.66666666666666663</v>
      </c>
      <c r="Y17" s="27" t="s">
        <v>93</v>
      </c>
      <c r="Z17" s="26" t="str">
        <f>IFERROR(INDEX(TablaInsumos[Unidad de Compra],MATCH(TablaPlatillos[[#This Row],[Insumo 8]],TablaInsumos[Nombre],0)),"")</f>
        <v>Unidad</v>
      </c>
      <c r="AA17" s="30">
        <f>1/30</f>
        <v>3.3333333333333333E-2</v>
      </c>
      <c r="AB17" s="27" t="s">
        <v>97</v>
      </c>
      <c r="AC17" s="26" t="str">
        <f>IFERROR(INDEX(TablaInsumos[Unidad de Compra],MATCH(TablaPlatillos[[#This Row],[Insumo 9]],TablaInsumos[Nombre],0)),"")</f>
        <v>Unidad</v>
      </c>
      <c r="AD17" s="30">
        <v>1</v>
      </c>
      <c r="AE17" s="27" t="s">
        <v>98</v>
      </c>
      <c r="AF17" s="26" t="str">
        <f>IFERROR(INDEX(TablaInsumos[Unidad de Compra],MATCH(TablaPlatillos[[#This Row],[Insumo 10]],TablaInsumos[Nombre],0)),"")</f>
        <v>Unidad</v>
      </c>
      <c r="AG17" s="30">
        <f>3/30</f>
        <v>0.1</v>
      </c>
      <c r="AH17" s="27" t="s">
        <v>95</v>
      </c>
      <c r="AI17" s="26" t="str">
        <f>IFERROR(INDEX(TablaInsumos[Unidad de Compra],MATCH(TablaPlatillos[[#This Row],[Insumo 11]],TablaInsumos[Nombre],0)),"")</f>
        <v>Gramo</v>
      </c>
      <c r="AJ17" s="30">
        <f>250/30</f>
        <v>8.3333333333333339</v>
      </c>
      <c r="AK17" s="27" t="s">
        <v>84</v>
      </c>
      <c r="AL17" s="26" t="str">
        <f>IFERROR(INDEX(TablaInsumos[Unidad de Compra],MATCH(TablaPlatillos[[#This Row],[Insumo 12]],TablaInsumos[Nombre],0)),"")</f>
        <v>Gramo</v>
      </c>
      <c r="AM17" s="30">
        <f>500/30</f>
        <v>16.666666666666668</v>
      </c>
      <c r="AN17" s="149">
        <f>(25000+10000)/30</f>
        <v>1166.6666666666667</v>
      </c>
      <c r="AO17" s="149">
        <f>(3000+1000)/30</f>
        <v>133.33333333333334</v>
      </c>
      <c r="AP17" s="149">
        <f>7000/30</f>
        <v>233.33333333333334</v>
      </c>
      <c r="AQ17" s="149">
        <v>0</v>
      </c>
      <c r="AR17" s="149">
        <f>$J$26/30</f>
        <v>1055.5555555555557</v>
      </c>
      <c r="AS17" s="149">
        <f>500/30</f>
        <v>16.666666666666668</v>
      </c>
    </row>
    <row r="18" spans="1:45" ht="19.95" customHeight="1" x14ac:dyDescent="0.3">
      <c r="A18" s="118">
        <v>6</v>
      </c>
      <c r="B18" s="25" t="s">
        <v>141</v>
      </c>
      <c r="C18" s="149">
        <v>6500</v>
      </c>
      <c r="D18" s="27" t="s">
        <v>82</v>
      </c>
      <c r="E18" s="26" t="str">
        <f>IFERROR(INDEX(TablaInsumos[Unidad de Compra],MATCH(TablaPlatillos[[#This Row],[Insumo 1]],TablaInsumos[Nombre],0)),"")</f>
        <v>Gramo</v>
      </c>
      <c r="F18" s="30">
        <f>500/30</f>
        <v>16.666666666666668</v>
      </c>
      <c r="G18" s="27" t="s">
        <v>83</v>
      </c>
      <c r="H18" s="26" t="str">
        <f>IFERROR(INDEX(TablaInsumos[Unidad de Compra],MATCH(TablaPlatillos[[#This Row],[Insumo 2]],TablaInsumos[Nombre],0)),"")</f>
        <v>Gramo</v>
      </c>
      <c r="I18" s="30">
        <f>400/30</f>
        <v>13.333333333333334</v>
      </c>
      <c r="J18" s="27" t="s">
        <v>95</v>
      </c>
      <c r="K18" s="26" t="str">
        <f>IFERROR(INDEX(TablaInsumos[Unidad de Compra],MATCH(TablaPlatillos[[#This Row],[Insumo 3]],TablaInsumos[Nombre],0)),"")</f>
        <v>Gramo</v>
      </c>
      <c r="L18" s="30">
        <f>(400+250)/30</f>
        <v>21.666666666666668</v>
      </c>
      <c r="M18" s="27" t="s">
        <v>85</v>
      </c>
      <c r="N18" s="26" t="str">
        <f>IFERROR(INDEX(TablaInsumos[Unidad de Compra],MATCH(TablaPlatillos[[#This Row],[Insumo 4]],TablaInsumos[Nombre],0)),"")</f>
        <v>Unidad</v>
      </c>
      <c r="O18" s="30">
        <f>8/30</f>
        <v>0.26666666666666666</v>
      </c>
      <c r="P18" s="27" t="s">
        <v>86</v>
      </c>
      <c r="Q18" s="26" t="str">
        <f>IFERROR(INDEX(TablaInsumos[Unidad de Compra],MATCH(TablaPlatillos[[#This Row],[Insumo 5]],TablaInsumos[Nombre],0)),"")</f>
        <v>Mililitro</v>
      </c>
      <c r="R18" s="30">
        <f>(250+20)/30</f>
        <v>9</v>
      </c>
      <c r="S18" s="27" t="s">
        <v>87</v>
      </c>
      <c r="T18" s="26" t="str">
        <f>IFERROR(INDEX(TablaInsumos[Unidad de Compra],MATCH(TablaPlatillos[[#This Row],[Insumo 6]],TablaInsumos[Nombre],0)),"")</f>
        <v>Gramo</v>
      </c>
      <c r="U18" s="30">
        <f>15/30</f>
        <v>0.5</v>
      </c>
      <c r="V18" s="27" t="s">
        <v>94</v>
      </c>
      <c r="W18" s="26" t="str">
        <f>IFERROR(INDEX(TablaInsumos[Unidad de Compra],MATCH(TablaPlatillos[[#This Row],[Insumo 7]],TablaInsumos[Nombre],0)),"")</f>
        <v>Mililitro</v>
      </c>
      <c r="X18" s="30">
        <f>(15+5)/30</f>
        <v>0.66666666666666663</v>
      </c>
      <c r="Y18" s="27" t="s">
        <v>93</v>
      </c>
      <c r="Z18" s="26" t="str">
        <f>IFERROR(INDEX(TablaInsumos[Unidad de Compra],MATCH(TablaPlatillos[[#This Row],[Insumo 8]],TablaInsumos[Nombre],0)),"")</f>
        <v>Unidad</v>
      </c>
      <c r="AA18" s="30">
        <f>1/30</f>
        <v>3.3333333333333333E-2</v>
      </c>
      <c r="AB18" s="27" t="s">
        <v>97</v>
      </c>
      <c r="AC18" s="26" t="str">
        <f>IFERROR(INDEX(TablaInsumos[Unidad de Compra],MATCH(TablaPlatillos[[#This Row],[Insumo 9]],TablaInsumos[Nombre],0)),"")</f>
        <v>Unidad</v>
      </c>
      <c r="AD18" s="30">
        <v>1</v>
      </c>
      <c r="AE18" s="27" t="s">
        <v>98</v>
      </c>
      <c r="AF18" s="26" t="str">
        <f>IFERROR(INDEX(TablaInsumos[Unidad de Compra],MATCH(TablaPlatillos[[#This Row],[Insumo 10]],TablaInsumos[Nombre],0)),"")</f>
        <v>Unidad</v>
      </c>
      <c r="AG18" s="30">
        <f>3/30</f>
        <v>0.1</v>
      </c>
      <c r="AH18" s="27" t="s">
        <v>84</v>
      </c>
      <c r="AI18" s="26" t="str">
        <f>IFERROR(INDEX(TablaInsumos[Unidad de Compra],MATCH(TablaPlatillos[[#This Row],[Insumo 11]],TablaInsumos[Nombre],0)),"")</f>
        <v>Gramo</v>
      </c>
      <c r="AJ18" s="30">
        <f>500/30</f>
        <v>16.666666666666668</v>
      </c>
      <c r="AK18" s="27"/>
      <c r="AL18" s="26" t="str">
        <f>IFERROR(INDEX(TablaInsumos[Unidad de Compra],MATCH(TablaPlatillos[[#This Row],[Insumo 12]],TablaInsumos[Nombre],0)),"")</f>
        <v/>
      </c>
      <c r="AM18" s="30"/>
      <c r="AN18" s="149">
        <f>(25000+10000)/30</f>
        <v>1166.6666666666667</v>
      </c>
      <c r="AO18" s="149">
        <f>(3000+1000)/30</f>
        <v>133.33333333333334</v>
      </c>
      <c r="AP18" s="149">
        <f>7000/30</f>
        <v>233.33333333333334</v>
      </c>
      <c r="AQ18" s="149">
        <v>0</v>
      </c>
      <c r="AR18" s="149">
        <f>$J$26/30</f>
        <v>1055.5555555555557</v>
      </c>
      <c r="AS18" s="149">
        <f>500/30</f>
        <v>16.666666666666668</v>
      </c>
    </row>
    <row r="19" spans="1:45" ht="19.95" customHeight="1" x14ac:dyDescent="0.3">
      <c r="A19" s="118">
        <v>7</v>
      </c>
      <c r="B19" s="25" t="s">
        <v>90</v>
      </c>
      <c r="C19" s="149">
        <v>5000</v>
      </c>
      <c r="D19" s="27" t="s">
        <v>82</v>
      </c>
      <c r="E19" s="26" t="str">
        <f>IFERROR(INDEX(TablaInsumos[Unidad de Compra],MATCH(TablaPlatillos[[#This Row],[Insumo 1]],TablaInsumos[Nombre],0)),"")</f>
        <v>Gramo</v>
      </c>
      <c r="F19" s="30">
        <f>500/30</f>
        <v>16.666666666666668</v>
      </c>
      <c r="G19" s="27" t="s">
        <v>83</v>
      </c>
      <c r="H19" s="26" t="str">
        <f>IFERROR(INDEX(TablaInsumos[Unidad de Compra],MATCH(TablaPlatillos[[#This Row],[Insumo 2]],TablaInsumos[Nombre],0)),"")</f>
        <v>Gramo</v>
      </c>
      <c r="I19" s="30">
        <f>400/30</f>
        <v>13.333333333333334</v>
      </c>
      <c r="J19" s="27" t="s">
        <v>92</v>
      </c>
      <c r="K19" s="26" t="str">
        <f>IFERROR(INDEX(TablaInsumos[Unidad de Compra],MATCH(TablaPlatillos[[#This Row],[Insumo 3]],TablaInsumos[Nombre],0)),"")</f>
        <v>Gramo</v>
      </c>
      <c r="L19" s="30">
        <f>400/30</f>
        <v>13.333333333333334</v>
      </c>
      <c r="M19" s="27" t="s">
        <v>85</v>
      </c>
      <c r="N19" s="26" t="str">
        <f>IFERROR(INDEX(TablaInsumos[Unidad de Compra],MATCH(TablaPlatillos[[#This Row],[Insumo 4]],TablaInsumos[Nombre],0)),"")</f>
        <v>Unidad</v>
      </c>
      <c r="O19" s="30">
        <f>8/30</f>
        <v>0.26666666666666666</v>
      </c>
      <c r="P19" s="27" t="s">
        <v>86</v>
      </c>
      <c r="Q19" s="26" t="str">
        <f>IFERROR(INDEX(TablaInsumos[Unidad de Compra],MATCH(TablaPlatillos[[#This Row],[Insumo 5]],TablaInsumos[Nombre],0)),"")</f>
        <v>Mililitro</v>
      </c>
      <c r="R19" s="30">
        <f>250/30</f>
        <v>8.3333333333333339</v>
      </c>
      <c r="S19" s="27" t="s">
        <v>87</v>
      </c>
      <c r="T19" s="26" t="str">
        <f>IFERROR(INDEX(TablaInsumos[Unidad de Compra],MATCH(TablaPlatillos[[#This Row],[Insumo 6]],TablaInsumos[Nombre],0)),"")</f>
        <v>Gramo</v>
      </c>
      <c r="U19" s="30">
        <f>15/30</f>
        <v>0.5</v>
      </c>
      <c r="V19" s="27" t="s">
        <v>94</v>
      </c>
      <c r="W19" s="26" t="str">
        <f>IFERROR(INDEX(TablaInsumos[Unidad de Compra],MATCH(TablaPlatillos[[#This Row],[Insumo 7]],TablaInsumos[Nombre],0)),"")</f>
        <v>Mililitro</v>
      </c>
      <c r="X19" s="30">
        <f>15/30</f>
        <v>0.5</v>
      </c>
      <c r="Y19" s="27" t="s">
        <v>93</v>
      </c>
      <c r="Z19" s="26" t="str">
        <f>IFERROR(INDEX(TablaInsumos[Unidad de Compra],MATCH(TablaPlatillos[[#This Row],[Insumo 8]],TablaInsumos[Nombre],0)),"")</f>
        <v>Unidad</v>
      </c>
      <c r="AA19" s="30">
        <f>1/30</f>
        <v>3.3333333333333333E-2</v>
      </c>
      <c r="AB19" s="27" t="s">
        <v>97</v>
      </c>
      <c r="AC19" s="26" t="str">
        <f>IFERROR(INDEX(TablaInsumos[Unidad de Compra],MATCH(TablaPlatillos[[#This Row],[Insumo 9]],TablaInsumos[Nombre],0)),"")</f>
        <v>Unidad</v>
      </c>
      <c r="AD19" s="30">
        <v>1</v>
      </c>
      <c r="AE19" s="27" t="s">
        <v>98</v>
      </c>
      <c r="AF19" s="26" t="str">
        <f>IFERROR(INDEX(TablaInsumos[Unidad de Compra],MATCH(TablaPlatillos[[#This Row],[Insumo 10]],TablaInsumos[Nombre],0)),"")</f>
        <v>Unidad</v>
      </c>
      <c r="AG19" s="30">
        <f>3/30</f>
        <v>0.1</v>
      </c>
      <c r="AH19" s="27"/>
      <c r="AI19" s="26" t="str">
        <f>IFERROR(INDEX(TablaInsumos[Unidad de Compra],MATCH(TablaPlatillos[[#This Row],[Insumo 11]],TablaInsumos[Nombre],0)),"")</f>
        <v/>
      </c>
      <c r="AJ19" s="30"/>
      <c r="AK19" s="27"/>
      <c r="AL19" s="26" t="str">
        <f>IFERROR(INDEX(TablaInsumos[Unidad de Compra],MATCH(TablaPlatillos[[#This Row],[Insumo 12]],TablaInsumos[Nombre],0)),"")</f>
        <v/>
      </c>
      <c r="AM19" s="30"/>
      <c r="AN19" s="149">
        <f>25000/30</f>
        <v>833.33333333333337</v>
      </c>
      <c r="AO19" s="149">
        <f>(3000+1000)/30</f>
        <v>133.33333333333334</v>
      </c>
      <c r="AP19" s="149">
        <f>7000/30</f>
        <v>233.33333333333334</v>
      </c>
      <c r="AQ19" s="149">
        <v>0</v>
      </c>
      <c r="AR19" s="149">
        <f>$J$26/30</f>
        <v>1055.5555555555557</v>
      </c>
      <c r="AS19" s="149">
        <v>0</v>
      </c>
    </row>
    <row r="20" spans="1:45" ht="19.95" customHeight="1" x14ac:dyDescent="0.3">
      <c r="A20" s="118">
        <v>8</v>
      </c>
      <c r="B20" s="25"/>
      <c r="C20" s="149"/>
      <c r="D20" s="27"/>
      <c r="E20" s="26" t="str">
        <f>IFERROR(INDEX(TablaInsumos[Unidad de Compra],MATCH(TablaPlatillos[[#This Row],[Insumo 1]],TablaInsumos[Nombre],0)),"")</f>
        <v/>
      </c>
      <c r="F20" s="30"/>
      <c r="G20" s="27"/>
      <c r="H20" s="26" t="str">
        <f>IFERROR(INDEX(TablaInsumos[Unidad de Compra],MATCH(TablaPlatillos[[#This Row],[Insumo 2]],TablaInsumos[Nombre],0)),"")</f>
        <v/>
      </c>
      <c r="I20" s="30"/>
      <c r="J20" s="27"/>
      <c r="K20" s="26" t="str">
        <f>IFERROR(INDEX(TablaInsumos[Unidad de Compra],MATCH(TablaPlatillos[[#This Row],[Insumo 3]],TablaInsumos[Nombre],0)),"")</f>
        <v/>
      </c>
      <c r="L20" s="30"/>
      <c r="M20" s="27"/>
      <c r="N20" s="26" t="str">
        <f>IFERROR(INDEX(TablaInsumos[Unidad de Compra],MATCH(TablaPlatillos[[#This Row],[Insumo 4]],TablaInsumos[Nombre],0)),"")</f>
        <v/>
      </c>
      <c r="O20" s="30"/>
      <c r="P20" s="27"/>
      <c r="Q20" s="26" t="str">
        <f>IFERROR(INDEX(TablaInsumos[Unidad de Compra],MATCH(TablaPlatillos[[#This Row],[Insumo 5]],TablaInsumos[Nombre],0)),"")</f>
        <v/>
      </c>
      <c r="R20" s="30"/>
      <c r="S20" s="27"/>
      <c r="T20" s="26" t="str">
        <f>IFERROR(INDEX(TablaInsumos[Unidad de Compra],MATCH(TablaPlatillos[[#This Row],[Insumo 6]],TablaInsumos[Nombre],0)),"")</f>
        <v/>
      </c>
      <c r="U20" s="30"/>
      <c r="V20" s="27"/>
      <c r="W20" s="26" t="str">
        <f>IFERROR(INDEX(TablaInsumos[Unidad de Compra],MATCH(TablaPlatillos[[#This Row],[Insumo 7]],TablaInsumos[Nombre],0)),"")</f>
        <v/>
      </c>
      <c r="X20" s="30"/>
      <c r="Y20" s="27"/>
      <c r="Z20" s="26" t="str">
        <f>IFERROR(INDEX(TablaInsumos[Unidad de Compra],MATCH(TablaPlatillos[[#This Row],[Insumo 8]],TablaInsumos[Nombre],0)),"")</f>
        <v/>
      </c>
      <c r="AA20" s="30"/>
      <c r="AB20" s="27"/>
      <c r="AC20" s="26" t="str">
        <f>IFERROR(INDEX(TablaInsumos[Unidad de Compra],MATCH(TablaPlatillos[[#This Row],[Insumo 9]],TablaInsumos[Nombre],0)),"")</f>
        <v/>
      </c>
      <c r="AD20" s="30"/>
      <c r="AE20" s="27"/>
      <c r="AF20" s="26" t="str">
        <f>IFERROR(INDEX(TablaInsumos[Unidad de Compra],MATCH(TablaPlatillos[[#This Row],[Insumo 10]],TablaInsumos[Nombre],0)),"")</f>
        <v/>
      </c>
      <c r="AG20" s="30"/>
      <c r="AH20" s="27"/>
      <c r="AI20" s="26" t="str">
        <f>IFERROR(INDEX(TablaInsumos[Unidad de Compra],MATCH(TablaPlatillos[[#This Row],[Insumo 11]],TablaInsumos[Nombre],0)),"")</f>
        <v/>
      </c>
      <c r="AJ20" s="30"/>
      <c r="AK20" s="27"/>
      <c r="AL20" s="26" t="str">
        <f>IFERROR(INDEX(TablaInsumos[Unidad de Compra],MATCH(TablaPlatillos[[#This Row],[Insumo 12]],TablaInsumos[Nombre],0)),"")</f>
        <v/>
      </c>
      <c r="AM20" s="30"/>
      <c r="AN20" s="149"/>
      <c r="AO20" s="149"/>
      <c r="AP20" s="149"/>
      <c r="AQ20" s="149"/>
      <c r="AR20" s="149"/>
      <c r="AS20" s="149"/>
    </row>
    <row r="21" spans="1:45" ht="19.95" customHeight="1" x14ac:dyDescent="0.3">
      <c r="A21" s="118">
        <v>9</v>
      </c>
      <c r="B21" s="25"/>
      <c r="C21" s="149"/>
      <c r="D21" s="27"/>
      <c r="E21" s="26" t="str">
        <f>IFERROR(INDEX(TablaInsumos[Unidad de Compra],MATCH(TablaPlatillos[[#This Row],[Insumo 1]],TablaInsumos[Nombre],0)),"")</f>
        <v/>
      </c>
      <c r="F21" s="30"/>
      <c r="G21" s="27"/>
      <c r="H21" s="26" t="str">
        <f>IFERROR(INDEX(TablaInsumos[Unidad de Compra],MATCH(TablaPlatillos[[#This Row],[Insumo 2]],TablaInsumos[Nombre],0)),"")</f>
        <v/>
      </c>
      <c r="I21" s="30"/>
      <c r="J21" s="27"/>
      <c r="K21" s="26" t="str">
        <f>IFERROR(INDEX(TablaInsumos[Unidad de Compra],MATCH(TablaPlatillos[[#This Row],[Insumo 3]],TablaInsumos[Nombre],0)),"")</f>
        <v/>
      </c>
      <c r="L21" s="30"/>
      <c r="M21" s="27"/>
      <c r="N21" s="26" t="str">
        <f>IFERROR(INDEX(TablaInsumos[Unidad de Compra],MATCH(TablaPlatillos[[#This Row],[Insumo 4]],TablaInsumos[Nombre],0)),"")</f>
        <v/>
      </c>
      <c r="O21" s="30"/>
      <c r="P21" s="27"/>
      <c r="Q21" s="26" t="str">
        <f>IFERROR(INDEX(TablaInsumos[Unidad de Compra],MATCH(TablaPlatillos[[#This Row],[Insumo 5]],TablaInsumos[Nombre],0)),"")</f>
        <v/>
      </c>
      <c r="R21" s="30"/>
      <c r="S21" s="27"/>
      <c r="T21" s="26" t="str">
        <f>IFERROR(INDEX(TablaInsumos[Unidad de Compra],MATCH(TablaPlatillos[[#This Row],[Insumo 6]],TablaInsumos[Nombre],0)),"")</f>
        <v/>
      </c>
      <c r="U21" s="30"/>
      <c r="V21" s="27"/>
      <c r="W21" s="26" t="str">
        <f>IFERROR(INDEX(TablaInsumos[Unidad de Compra],MATCH(TablaPlatillos[[#This Row],[Insumo 7]],TablaInsumos[Nombre],0)),"")</f>
        <v/>
      </c>
      <c r="X21" s="30"/>
      <c r="Y21" s="27"/>
      <c r="Z21" s="26" t="str">
        <f>IFERROR(INDEX(TablaInsumos[Unidad de Compra],MATCH(TablaPlatillos[[#This Row],[Insumo 8]],TablaInsumos[Nombre],0)),"")</f>
        <v/>
      </c>
      <c r="AA21" s="30"/>
      <c r="AB21" s="27"/>
      <c r="AC21" s="26" t="str">
        <f>IFERROR(INDEX(TablaInsumos[Unidad de Compra],MATCH(TablaPlatillos[[#This Row],[Insumo 9]],TablaInsumos[Nombre],0)),"")</f>
        <v/>
      </c>
      <c r="AD21" s="30"/>
      <c r="AE21" s="27"/>
      <c r="AF21" s="26" t="str">
        <f>IFERROR(INDEX(TablaInsumos[Unidad de Compra],MATCH(TablaPlatillos[[#This Row],[Insumo 10]],TablaInsumos[Nombre],0)),"")</f>
        <v/>
      </c>
      <c r="AG21" s="30"/>
      <c r="AH21" s="27"/>
      <c r="AI21" s="26" t="str">
        <f>IFERROR(INDEX(TablaInsumos[Unidad de Compra],MATCH(TablaPlatillos[[#This Row],[Insumo 11]],TablaInsumos[Nombre],0)),"")</f>
        <v/>
      </c>
      <c r="AJ21" s="30"/>
      <c r="AK21" s="27"/>
      <c r="AL21" s="26" t="str">
        <f>IFERROR(INDEX(TablaInsumos[Unidad de Compra],MATCH(TablaPlatillos[[#This Row],[Insumo 12]],TablaInsumos[Nombre],0)),"")</f>
        <v/>
      </c>
      <c r="AM21" s="30"/>
      <c r="AN21" s="149"/>
      <c r="AO21" s="149"/>
      <c r="AP21" s="149"/>
      <c r="AQ21" s="149"/>
      <c r="AR21" s="149"/>
      <c r="AS21" s="149"/>
    </row>
    <row r="22" spans="1:45" ht="19.95" customHeight="1" x14ac:dyDescent="0.3">
      <c r="A22" s="118">
        <v>10</v>
      </c>
      <c r="B22" s="25"/>
      <c r="C22" s="149"/>
      <c r="D22" s="27"/>
      <c r="E22" s="26" t="str">
        <f>IFERROR(INDEX(TablaInsumos[Unidad de Compra],MATCH(TablaPlatillos[[#This Row],[Insumo 1]],TablaInsumos[Nombre],0)),"")</f>
        <v/>
      </c>
      <c r="F22" s="30"/>
      <c r="G22" s="27"/>
      <c r="H22" s="26" t="str">
        <f>IFERROR(INDEX(TablaInsumos[Unidad de Compra],MATCH(TablaPlatillos[[#This Row],[Insumo 2]],TablaInsumos[Nombre],0)),"")</f>
        <v/>
      </c>
      <c r="I22" s="30"/>
      <c r="J22" s="27"/>
      <c r="K22" s="26" t="str">
        <f>IFERROR(INDEX(TablaInsumos[Unidad de Compra],MATCH(TablaPlatillos[[#This Row],[Insumo 3]],TablaInsumos[Nombre],0)),"")</f>
        <v/>
      </c>
      <c r="L22" s="30"/>
      <c r="M22" s="27"/>
      <c r="N22" s="26" t="str">
        <f>IFERROR(INDEX(TablaInsumos[Unidad de Compra],MATCH(TablaPlatillos[[#This Row],[Insumo 4]],TablaInsumos[Nombre],0)),"")</f>
        <v/>
      </c>
      <c r="O22" s="30"/>
      <c r="P22" s="27"/>
      <c r="Q22" s="26" t="str">
        <f>IFERROR(INDEX(TablaInsumos[Unidad de Compra],MATCH(TablaPlatillos[[#This Row],[Insumo 5]],TablaInsumos[Nombre],0)),"")</f>
        <v/>
      </c>
      <c r="R22" s="30"/>
      <c r="S22" s="27"/>
      <c r="T22" s="26" t="str">
        <f>IFERROR(INDEX(TablaInsumos[Unidad de Compra],MATCH(TablaPlatillos[[#This Row],[Insumo 6]],TablaInsumos[Nombre],0)),"")</f>
        <v/>
      </c>
      <c r="U22" s="30"/>
      <c r="V22" s="27"/>
      <c r="W22" s="26" t="str">
        <f>IFERROR(INDEX(TablaInsumos[Unidad de Compra],MATCH(TablaPlatillos[[#This Row],[Insumo 7]],TablaInsumos[Nombre],0)),"")</f>
        <v/>
      </c>
      <c r="X22" s="30"/>
      <c r="Y22" s="27"/>
      <c r="Z22" s="26" t="str">
        <f>IFERROR(INDEX(TablaInsumos[Unidad de Compra],MATCH(TablaPlatillos[[#This Row],[Insumo 8]],TablaInsumos[Nombre],0)),"")</f>
        <v/>
      </c>
      <c r="AA22" s="30"/>
      <c r="AB22" s="27"/>
      <c r="AC22" s="26" t="str">
        <f>IFERROR(INDEX(TablaInsumos[Unidad de Compra],MATCH(TablaPlatillos[[#This Row],[Insumo 9]],TablaInsumos[Nombre],0)),"")</f>
        <v/>
      </c>
      <c r="AD22" s="30"/>
      <c r="AE22" s="27"/>
      <c r="AF22" s="26" t="str">
        <f>IFERROR(INDEX(TablaInsumos[Unidad de Compra],MATCH(TablaPlatillos[[#This Row],[Insumo 10]],TablaInsumos[Nombre],0)),"")</f>
        <v/>
      </c>
      <c r="AG22" s="30"/>
      <c r="AH22" s="27"/>
      <c r="AI22" s="26" t="str">
        <f>IFERROR(INDEX(TablaInsumos[Unidad de Compra],MATCH(TablaPlatillos[[#This Row],[Insumo 11]],TablaInsumos[Nombre],0)),"")</f>
        <v/>
      </c>
      <c r="AJ22" s="30"/>
      <c r="AK22" s="27"/>
      <c r="AL22" s="26" t="str">
        <f>IFERROR(INDEX(TablaInsumos[Unidad de Compra],MATCH(TablaPlatillos[[#This Row],[Insumo 12]],TablaInsumos[Nombre],0)),"")</f>
        <v/>
      </c>
      <c r="AM22" s="30"/>
      <c r="AN22" s="149"/>
      <c r="AO22" s="149"/>
      <c r="AP22" s="149"/>
      <c r="AQ22" s="149"/>
      <c r="AR22" s="149"/>
      <c r="AS22" s="149"/>
    </row>
    <row r="24" spans="1:45" ht="19.95" customHeight="1" x14ac:dyDescent="0.3">
      <c r="B24" s="155" t="s">
        <v>142</v>
      </c>
      <c r="C24" s="155" t="s">
        <v>77</v>
      </c>
      <c r="D24" s="155" t="s">
        <v>78</v>
      </c>
      <c r="F24" s="155" t="s">
        <v>143</v>
      </c>
      <c r="G24" s="155"/>
      <c r="I24" s="155" t="s">
        <v>144</v>
      </c>
      <c r="J24" s="155"/>
    </row>
    <row r="25" spans="1:45" ht="19.95" customHeight="1" x14ac:dyDescent="0.3">
      <c r="B25" s="28" t="s">
        <v>79</v>
      </c>
      <c r="C25" s="17">
        <v>40000</v>
      </c>
      <c r="D25" s="17">
        <v>50000</v>
      </c>
      <c r="F25" s="28" t="s">
        <v>145</v>
      </c>
      <c r="G25" s="17">
        <v>70000</v>
      </c>
      <c r="I25" s="28" t="s">
        <v>146</v>
      </c>
      <c r="J25" s="129">
        <v>3</v>
      </c>
    </row>
    <row r="26" spans="1:45" ht="19.95" customHeight="1" x14ac:dyDescent="0.3">
      <c r="B26" s="29" t="s">
        <v>80</v>
      </c>
      <c r="C26" s="19">
        <v>5000</v>
      </c>
      <c r="D26" s="19">
        <v>7000</v>
      </c>
      <c r="F26" s="29" t="s">
        <v>147</v>
      </c>
      <c r="G26" s="19">
        <v>25000</v>
      </c>
      <c r="I26" s="29" t="s">
        <v>148</v>
      </c>
      <c r="J26" s="19">
        <f>IFERROR((G25+G26)/J25,0)</f>
        <v>31666.666666666668</v>
      </c>
    </row>
    <row r="28" spans="1:45" ht="19.95" customHeight="1" x14ac:dyDescent="0.3">
      <c r="B28" s="14" t="s">
        <v>81</v>
      </c>
    </row>
    <row r="29" spans="1:45" ht="19.95" customHeight="1" x14ac:dyDescent="0.3">
      <c r="B29" s="14" t="s">
        <v>149</v>
      </c>
    </row>
    <row r="30" spans="1:45" ht="19.95" customHeight="1" x14ac:dyDescent="0.3">
      <c r="B30" s="14" t="s">
        <v>150</v>
      </c>
    </row>
    <row r="31" spans="1:45" ht="19.95" customHeight="1" x14ac:dyDescent="0.3">
      <c r="B31" s="14" t="s">
        <v>151</v>
      </c>
    </row>
    <row r="32" spans="1:45" ht="19.95" customHeight="1" x14ac:dyDescent="0.3">
      <c r="B32" s="14" t="s">
        <v>152</v>
      </c>
    </row>
    <row r="33" spans="2:2" ht="19.95" customHeight="1" x14ac:dyDescent="0.3">
      <c r="B33" s="14" t="s">
        <v>153</v>
      </c>
    </row>
    <row r="34" spans="2:2" ht="19.95" customHeight="1" x14ac:dyDescent="0.3">
      <c r="B34" s="14" t="s">
        <v>154</v>
      </c>
    </row>
    <row r="35" spans="2:2" ht="19.95" customHeight="1" x14ac:dyDescent="0.3">
      <c r="B35" s="14" t="s">
        <v>155</v>
      </c>
    </row>
  </sheetData>
  <mergeCells count="4">
    <mergeCell ref="B7:C7"/>
    <mergeCell ref="F7:G7"/>
    <mergeCell ref="I7:J7"/>
    <mergeCell ref="B3:O5"/>
  </mergeCells>
  <phoneticPr fontId="12" type="noConversion"/>
  <conditionalFormatting sqref="C13:O22">
    <cfRule type="expression" dxfId="17" priority="12">
      <formula>$B13=""</formula>
    </cfRule>
  </conditionalFormatting>
  <conditionalFormatting sqref="D13:O22">
    <cfRule type="expression" dxfId="16" priority="11">
      <formula>$C13=""</formula>
    </cfRule>
  </conditionalFormatting>
  <conditionalFormatting sqref="E13:O22">
    <cfRule type="expression" dxfId="15" priority="10">
      <formula>$D13=""</formula>
    </cfRule>
  </conditionalFormatting>
  <conditionalFormatting sqref="F13">
    <cfRule type="expression" dxfId="14" priority="7">
      <formula>AND(E13&lt;&gt;"",F13="")</formula>
    </cfRule>
  </conditionalFormatting>
  <conditionalFormatting sqref="G13:O22">
    <cfRule type="expression" dxfId="13" priority="9">
      <formula>$F13=""</formula>
    </cfRule>
  </conditionalFormatting>
  <conditionalFormatting sqref="H13:O22">
    <cfRule type="expression" dxfId="12" priority="8">
      <formula>$G13=""</formula>
    </cfRule>
  </conditionalFormatting>
  <conditionalFormatting sqref="I13:I22">
    <cfRule type="expression" dxfId="11" priority="6">
      <formula>AND(H13&lt;&gt;"",I13="")</formula>
    </cfRule>
  </conditionalFormatting>
  <conditionalFormatting sqref="J13:O22">
    <cfRule type="expression" dxfId="10" priority="5">
      <formula>$I13=""</formula>
    </cfRule>
  </conditionalFormatting>
  <conditionalFormatting sqref="K13:O22">
    <cfRule type="expression" dxfId="9" priority="4">
      <formula>$J13=""</formula>
    </cfRule>
  </conditionalFormatting>
  <conditionalFormatting sqref="L13:L22">
    <cfRule type="expression" dxfId="8" priority="3">
      <formula>AND(K13&lt;&gt;"",L13="")</formula>
    </cfRule>
  </conditionalFormatting>
  <conditionalFormatting sqref="M13:O22">
    <cfRule type="expression" dxfId="7" priority="2">
      <formula>L13=""</formula>
    </cfRule>
  </conditionalFormatting>
  <conditionalFormatting sqref="O13:O22">
    <cfRule type="expression" dxfId="6" priority="1">
      <formula>AND(N13&lt;&gt;"",O13="")</formula>
    </cfRule>
  </conditionalFormatting>
  <dataValidations count="2">
    <dataValidation type="list" allowBlank="1" showInputMessage="1" showErrorMessage="1" sqref="D13:D22 G13:G22 J13:J22 M13:M22 P13:P22 S13:S22 V13:V22 Y13:Y22 AB13:AB22 AE13:AE22 AH13:AH22 AK13:AK22" xr:uid="{00000000-0002-0000-0200-000000000000}">
      <formula1>Insumos</formula1>
    </dataValidation>
    <dataValidation allowBlank="1" showInputMessage="1" showErrorMessage="1" prompt="Este dato es muy importante para la distribución de gastos entre los platillos.  Una manera de obtenerlo es dividiendo: Venta Mensual / Ticket Promedio." sqref="C9" xr:uid="{00000000-0002-0000-0200-000001000000}"/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62"/>
  <sheetViews>
    <sheetView showGridLines="0" tabSelected="1" zoomScale="104" zoomScaleNormal="69" workbookViewId="0">
      <pane ySplit="7" topLeftCell="A31" activePane="bottomLeft" state="frozen"/>
      <selection pane="bottomLeft" activeCell="C10" sqref="C10:D10"/>
    </sheetView>
  </sheetViews>
  <sheetFormatPr baseColWidth="10" defaultColWidth="11.5546875" defaultRowHeight="15" customHeight="1" x14ac:dyDescent="0.3"/>
  <cols>
    <col min="1" max="2" width="3.6640625" style="3" customWidth="1"/>
    <col min="3" max="3" width="28.6640625" style="3" customWidth="1"/>
    <col min="4" max="4" width="13.6640625" style="3" customWidth="1"/>
    <col min="5" max="6" width="19.33203125" style="3" customWidth="1"/>
    <col min="7" max="7" width="18" style="3" customWidth="1"/>
    <col min="8" max="8" width="19.33203125" style="3" customWidth="1"/>
    <col min="9" max="9" width="3.6640625" style="3" customWidth="1"/>
    <col min="10" max="10" width="28.6640625" style="3" customWidth="1"/>
    <col min="11" max="12" width="19.33203125" style="3" customWidth="1"/>
    <col min="13" max="14" width="3.6640625" style="3" customWidth="1"/>
    <col min="15" max="15" width="28.6640625" style="3" customWidth="1"/>
    <col min="16" max="17" width="19.33203125" style="3" customWidth="1"/>
    <col min="18" max="24" width="11.33203125" style="3" customWidth="1"/>
    <col min="25" max="16384" width="11.5546875" style="3"/>
  </cols>
  <sheetData>
    <row r="1" spans="2:17" s="154" customFormat="1" ht="30" customHeight="1" x14ac:dyDescent="0.3"/>
    <row r="2" spans="2:17" s="143" customFormat="1" ht="19.95" customHeight="1" x14ac:dyDescent="0.3"/>
    <row r="7" spans="2:17" ht="15" customHeight="1" thickBot="1" x14ac:dyDescent="0.35"/>
    <row r="8" spans="2:17" ht="15" customHeight="1" x14ac:dyDescent="0.3"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</row>
    <row r="9" spans="2:17" s="2" customFormat="1" ht="15" customHeight="1" thickBot="1" x14ac:dyDescent="0.35">
      <c r="B9" s="36"/>
      <c r="C9" s="163" t="s">
        <v>53</v>
      </c>
      <c r="D9" s="163"/>
      <c r="E9" s="38"/>
      <c r="F9" s="38"/>
      <c r="G9" s="38"/>
      <c r="H9" s="38"/>
      <c r="I9" s="37"/>
      <c r="J9" s="37"/>
      <c r="K9" s="38"/>
      <c r="L9" s="38"/>
      <c r="M9" s="39"/>
      <c r="O9" s="37" t="s">
        <v>156</v>
      </c>
      <c r="P9" s="38"/>
      <c r="Q9" s="38"/>
    </row>
    <row r="10" spans="2:17" s="1" customFormat="1" ht="19.95" customHeight="1" thickBot="1" x14ac:dyDescent="0.35">
      <c r="B10" s="40"/>
      <c r="C10" s="161" t="s">
        <v>137</v>
      </c>
      <c r="D10" s="162"/>
      <c r="E10" s="38"/>
      <c r="F10" s="38"/>
      <c r="G10" s="38"/>
      <c r="H10" s="38"/>
      <c r="I10" s="38"/>
      <c r="J10" s="38"/>
      <c r="K10" s="38"/>
      <c r="L10" s="38"/>
      <c r="M10" s="41"/>
      <c r="O10" s="38"/>
      <c r="P10" s="38"/>
      <c r="Q10" s="38"/>
    </row>
    <row r="11" spans="2:17" ht="15" customHeight="1" x14ac:dyDescent="0.3"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4"/>
      <c r="O11" s="43"/>
      <c r="P11" s="43"/>
      <c r="Q11" s="43"/>
    </row>
    <row r="12" spans="2:17" ht="15" customHeight="1" x14ac:dyDescent="0.3">
      <c r="B12" s="42"/>
      <c r="C12" s="43"/>
      <c r="D12" s="43"/>
      <c r="E12" s="43"/>
      <c r="F12" s="43"/>
      <c r="G12" s="43"/>
      <c r="H12" s="43"/>
      <c r="I12" s="43"/>
      <c r="J12" s="45" t="s">
        <v>157</v>
      </c>
      <c r="K12" s="46">
        <f>K13</f>
        <v>75000</v>
      </c>
      <c r="L12" s="47">
        <f>IFERROR(L42,"")</f>
        <v>0.0</v>
      </c>
      <c r="M12" s="44"/>
      <c r="O12" s="45" t="s">
        <v>158</v>
      </c>
      <c r="P12" s="46">
        <f>P13</f>
        <v>107142.857142857</v>
      </c>
      <c r="Q12" s="47">
        <f>Postre!$C$10</f>
        <v>0.3</v>
      </c>
    </row>
    <row r="13" spans="2:17" ht="15" customHeight="1" x14ac:dyDescent="0.3">
      <c r="B13" s="42"/>
      <c r="C13" s="48" t="s">
        <v>54</v>
      </c>
      <c r="D13" s="43"/>
      <c r="E13" s="43"/>
      <c r="F13" s="43"/>
      <c r="G13" s="43"/>
      <c r="H13" s="43"/>
      <c r="I13" s="43"/>
      <c r="J13" s="49" t="s">
        <v>55</v>
      </c>
      <c r="K13" s="50">
        <f>IFERROR(INDEX(TablaPlatillos[Precio Platillo],MATCH($C$10,TablaPlatillos[Nombre de Platillo],0)),"")</f>
        <v>75000</v>
      </c>
      <c r="L13" s="51">
        <f>IF(C10="","",100%)</f>
        <v>1</v>
      </c>
      <c r="M13" s="44"/>
      <c r="O13" s="49" t="s">
        <v>159</v>
      </c>
      <c r="P13" s="50">
        <f>IFERROR((P15+P31+P38)/(1-Q12),"")</f>
        <v>107142.857142857</v>
      </c>
      <c r="Q13" s="51">
        <f>IF(P13="","",1)</f>
        <v>1</v>
      </c>
    </row>
    <row r="14" spans="2:17" ht="15" hidden="1" customHeight="1" x14ac:dyDescent="0.3">
      <c r="B14" s="42"/>
      <c r="C14" s="48"/>
      <c r="D14" s="43"/>
      <c r="E14" s="43"/>
      <c r="F14" s="43"/>
      <c r="G14" s="43"/>
      <c r="H14" s="43"/>
      <c r="I14" s="43"/>
      <c r="J14" s="49" t="str">
        <f>"INGREDIENTES"&amp;CHAR(10)&amp;"$"&amp;FIXED(K15,0)</f>
        <v>INGREDIENTES
$40.837</v>
      </c>
      <c r="K14" s="50"/>
      <c r="L14" s="51"/>
      <c r="M14" s="44"/>
      <c r="O14" s="49"/>
      <c r="P14" s="50"/>
      <c r="Q14" s="51"/>
    </row>
    <row r="15" spans="2:17" ht="15" customHeight="1" x14ac:dyDescent="0.3">
      <c r="B15" s="42"/>
      <c r="C15" s="52" t="s">
        <v>56</v>
      </c>
      <c r="D15" s="52" t="s">
        <v>19</v>
      </c>
      <c r="E15" s="52" t="s">
        <v>16</v>
      </c>
      <c r="F15" s="52" t="s">
        <v>57</v>
      </c>
      <c r="G15" s="52" t="s">
        <v>58</v>
      </c>
      <c r="H15" s="52" t="s">
        <v>59</v>
      </c>
      <c r="I15" s="43"/>
      <c r="J15" s="53" t="s">
        <v>60</v>
      </c>
      <c r="K15" s="54">
        <f>SUM(K16:K27)</f>
        <v>40837.016129032258</v>
      </c>
      <c r="L15" s="55">
        <f>IFERROR(K15/K13,"")</f>
        <v>0.54449354838709674</v>
      </c>
      <c r="M15" s="44"/>
      <c r="O15" s="53" t="s">
        <v>60</v>
      </c>
      <c r="P15" s="54">
        <f>SUM(P16:P27)</f>
        <v>40837.016129032258</v>
      </c>
      <c r="Q15" s="55">
        <f t="shared" ref="Q15:Q28" si="0">IFERROR(P15/P$13,"")</f>
        <v>0.381145483870968</v>
      </c>
    </row>
    <row r="16" spans="2:17" ht="15" customHeight="1" x14ac:dyDescent="0.3">
      <c r="B16" s="42"/>
      <c r="C16" s="56" t="str">
        <f>IFERROR(INDEX(TablaPlatillos[Insumo 1],MATCH($C$10,TablaPlatillos[Nombre de Platillo],0))&amp;"","")</f>
        <v>Harina</v>
      </c>
      <c r="D16" s="57">
        <f>IF(C16="","",IFERROR(INDEX(TablaInsumos[Costo Unitario Total],MATCH(C16,TablaInsumos[Nombre],0)),""))</f>
        <v>4.5</v>
      </c>
      <c r="E16" s="122">
        <f>IF(C16="","",IFERROR(INDEX(TablaPlatillos[Cantidad 1],MATCH($C$10,TablaPlatillos[Nombre de Platillo],0)),""))</f>
        <v>500</v>
      </c>
      <c r="F16" s="57" t="str">
        <f>IF(C16="","",IFERROR(INDEX(TablaPlatillos[Unidad 1],MATCH($C$10,TablaPlatillos[Nombre de Platillo],0)),""))</f>
        <v>Gramo</v>
      </c>
      <c r="G16" s="57">
        <f t="shared" ref="G16:G27" si="1">IFERROR(D16*E16,"")</f>
        <v>2250</v>
      </c>
      <c r="H16" s="58">
        <f t="shared" ref="H16:H27" si="2">IFERROR(G16/$G$28,"")</f>
        <v>5.5097071561024454E-2</v>
      </c>
      <c r="I16" s="43"/>
      <c r="J16" s="59" t="str">
        <f t="shared" ref="J16:J27" si="3">IF(C16="","","(-) "&amp;C16)</f>
        <v>(-) Harina</v>
      </c>
      <c r="K16" s="60">
        <f t="shared" ref="K16:K27" si="4">IF(G16="","",G16)</f>
        <v>2250</v>
      </c>
      <c r="L16" s="61">
        <f t="shared" ref="L16:L27" si="5">IFERROR(K16/$K$13,"")</f>
        <v>0.03</v>
      </c>
      <c r="M16" s="44"/>
      <c r="O16" s="59" t="str">
        <f t="shared" ref="O16:O27" si="6">J16&amp;""</f>
        <v>(-) Harina</v>
      </c>
      <c r="P16" s="60">
        <f t="shared" ref="P16:P27" si="7">IF(G16="","",G16)</f>
        <v>2250</v>
      </c>
      <c r="Q16" s="61">
        <f t="shared" si="0"/>
        <v>0.021</v>
      </c>
    </row>
    <row r="17" spans="2:17" ht="15" customHeight="1" x14ac:dyDescent="0.3">
      <c r="B17" s="42"/>
      <c r="C17" s="62" t="str">
        <f>IFERROR(INDEX(TablaPlatillos[Insumo 2],MATCH($C$10,TablaPlatillos[Nombre de Platillo],0))&amp;"","")</f>
        <v>Azúcar</v>
      </c>
      <c r="D17" s="57">
        <f>IF(C17="","",IFERROR(INDEX(TablaInsumos[Costo Unitario Total],MATCH(C17,TablaInsumos[Nombre],0)),""))</f>
        <v>5.0999999999999996</v>
      </c>
      <c r="E17" s="122">
        <f>IF(C17="","",IFERROR(INDEX(TablaPlatillos[Cantidad 2],MATCH($C$10,TablaPlatillos[Nombre de Platillo],0)),""))</f>
        <v>400</v>
      </c>
      <c r="F17" s="57" t="str">
        <f>IF(C17="","",IFERROR(INDEX(TablaPlatillos[Unidad 2],MATCH($C$10,TablaPlatillos[Nombre de Platillo],0)),""))</f>
        <v>Gramo</v>
      </c>
      <c r="G17" s="63">
        <f t="shared" si="1"/>
        <v>2039.9999999999998</v>
      </c>
      <c r="H17" s="64">
        <f t="shared" si="2"/>
        <v>4.9954678215328827E-2</v>
      </c>
      <c r="I17" s="43"/>
      <c r="J17" s="59" t="str">
        <f t="shared" si="3"/>
        <v>(-) Azúcar</v>
      </c>
      <c r="K17" s="65">
        <f t="shared" si="4"/>
        <v>2039.9999999999998</v>
      </c>
      <c r="L17" s="66">
        <f t="shared" si="5"/>
        <v>2.7199999999999998E-2</v>
      </c>
      <c r="M17" s="44"/>
      <c r="O17" s="59" t="str">
        <f t="shared" si="6"/>
        <v>(-) Azúcar</v>
      </c>
      <c r="P17" s="65">
        <f t="shared" si="7"/>
        <v>2039.9999999999998</v>
      </c>
      <c r="Q17" s="66">
        <f t="shared" si="0"/>
        <v>0.01904</v>
      </c>
    </row>
    <row r="18" spans="2:17" ht="15" customHeight="1" x14ac:dyDescent="0.3">
      <c r="B18" s="42"/>
      <c r="C18" s="56" t="str">
        <f>IFERROR(INDEX(TablaPlatillos[Insumo 3],MATCH($C$10,TablaPlatillos[Nombre de Platillo],0))&amp;"","")</f>
        <v>Mantequilla</v>
      </c>
      <c r="D18" s="57">
        <f>IF(C18="","",IFERROR(INDEX(TablaInsumos[Costo Unitario Total],MATCH(C18,TablaInsumos[Nombre],0)),""))</f>
        <v>62.2</v>
      </c>
      <c r="E18" s="122">
        <f>IF(C18="","",IFERROR(INDEX(TablaPlatillos[Cantidad 3],MATCH($C$10,TablaPlatillos[Nombre de Platillo],0)),""))</f>
        <v>400</v>
      </c>
      <c r="F18" s="57" t="str">
        <f>IF(C18="","",IFERROR(INDEX(TablaPlatillos[Unidad 3],MATCH($C$10,TablaPlatillos[Nombre de Platillo],0)),""))</f>
        <v>Gramo</v>
      </c>
      <c r="G18" s="57">
        <f t="shared" si="1"/>
        <v>24880</v>
      </c>
      <c r="H18" s="58">
        <f t="shared" si="2"/>
        <v>0.60925117352812819</v>
      </c>
      <c r="I18" s="43"/>
      <c r="J18" s="59" t="str">
        <f t="shared" si="3"/>
        <v>(-) Mantequilla</v>
      </c>
      <c r="K18" s="65">
        <f t="shared" si="4"/>
        <v>24880</v>
      </c>
      <c r="L18" s="66">
        <f t="shared" si="5"/>
        <v>0.33173333333333332</v>
      </c>
      <c r="M18" s="44"/>
      <c r="O18" s="59" t="str">
        <f t="shared" si="6"/>
        <v>(-) Mantequilla</v>
      </c>
      <c r="P18" s="65">
        <f t="shared" si="7"/>
        <v>24880</v>
      </c>
      <c r="Q18" s="66">
        <f t="shared" si="0"/>
        <v>0.232213333333333</v>
      </c>
    </row>
    <row r="19" spans="2:17" ht="15" customHeight="1" x14ac:dyDescent="0.3">
      <c r="B19" s="42"/>
      <c r="C19" s="62" t="str">
        <f>IFERROR(INDEX(TablaPlatillos[Insumo 4],MATCH($C$10,TablaPlatillos[Nombre de Platillo],0))&amp;"","")</f>
        <v>Huevos</v>
      </c>
      <c r="D19" s="57">
        <f>IF(C19="","",IFERROR(INDEX(TablaInsumos[Costo Unitario Total],MATCH(C19,TablaInsumos[Nombre],0)),""))</f>
        <v>890</v>
      </c>
      <c r="E19" s="122">
        <f>IF(C19="","",IFERROR(INDEX(TablaPlatillos[Cantidad 4],MATCH($C$10,TablaPlatillos[Nombre de Platillo],0)),""))</f>
        <v>8</v>
      </c>
      <c r="F19" s="57" t="str">
        <f>IF(C19="","",IFERROR(INDEX(TablaPlatillos[Unidad 4],MATCH($C$10,TablaPlatillos[Nombre de Platillo],0)),""))</f>
        <v>Unidad</v>
      </c>
      <c r="G19" s="63">
        <f t="shared" si="1"/>
        <v>7120</v>
      </c>
      <c r="H19" s="64">
        <f t="shared" si="2"/>
        <v>0.17435162200644183</v>
      </c>
      <c r="I19" s="43"/>
      <c r="J19" s="59" t="str">
        <f t="shared" si="3"/>
        <v>(-) Huevos</v>
      </c>
      <c r="K19" s="65">
        <f t="shared" si="4"/>
        <v>7120</v>
      </c>
      <c r="L19" s="66">
        <f t="shared" si="5"/>
        <v>9.4933333333333328E-2</v>
      </c>
      <c r="M19" s="44"/>
      <c r="O19" s="59" t="str">
        <f t="shared" si="6"/>
        <v>(-) Huevos</v>
      </c>
      <c r="P19" s="65">
        <f t="shared" si="7"/>
        <v>7120</v>
      </c>
      <c r="Q19" s="66">
        <f t="shared" si="0"/>
        <v>0.0664533333333333</v>
      </c>
    </row>
    <row r="20" spans="2:17" ht="15" customHeight="1" x14ac:dyDescent="0.3">
      <c r="B20" s="42"/>
      <c r="C20" s="56" t="str">
        <f>IFERROR(INDEX(TablaPlatillos[Insumo 5],MATCH($C$10,TablaPlatillos[Nombre de Platillo],0))&amp;"","")</f>
        <v>Leche entera</v>
      </c>
      <c r="D20" s="57">
        <f>IF(C20="","",IFERROR(INDEX(TablaInsumos[Costo Unitario Total],MATCH(C20,TablaInsumos[Nombre],0)),""))</f>
        <v>4.49</v>
      </c>
      <c r="E20" s="122">
        <f>IF(C20="","",IFERROR(INDEX(TablaPlatillos[Cantidad 5],MATCH($C$10,TablaPlatillos[Nombre de Platillo],0)),""))</f>
        <v>250</v>
      </c>
      <c r="F20" s="57" t="str">
        <f>IF(C20="","",IFERROR(INDEX(TablaPlatillos[Unidad 5],MATCH($C$10,TablaPlatillos[Nombre de Platillo],0)),""))</f>
        <v>Mililitro</v>
      </c>
      <c r="G20" s="57">
        <f t="shared" si="1"/>
        <v>1122.5</v>
      </c>
      <c r="H20" s="58">
        <f t="shared" si="2"/>
        <v>2.7487316812111088E-2</v>
      </c>
      <c r="I20" s="43"/>
      <c r="J20" s="59" t="str">
        <f t="shared" si="3"/>
        <v>(-) Leche entera</v>
      </c>
      <c r="K20" s="65">
        <f t="shared" si="4"/>
        <v>1122.5</v>
      </c>
      <c r="L20" s="66">
        <f t="shared" si="5"/>
        <v>1.4966666666666666E-2</v>
      </c>
      <c r="M20" s="44"/>
      <c r="O20" s="59" t="str">
        <f t="shared" si="6"/>
        <v>(-) Leche entera</v>
      </c>
      <c r="P20" s="65">
        <f t="shared" si="7"/>
        <v>1122.5</v>
      </c>
      <c r="Q20" s="66">
        <f t="shared" si="0"/>
        <v>0.0104766666666667</v>
      </c>
    </row>
    <row r="21" spans="2:17" ht="15" customHeight="1" x14ac:dyDescent="0.3">
      <c r="B21" s="42"/>
      <c r="C21" s="62" t="str">
        <f>IFERROR(INDEX(TablaPlatillos[Insumo 6],MATCH($C$10,TablaPlatillos[Nombre de Platillo],0))&amp;"","")</f>
        <v>Polvo para hornear</v>
      </c>
      <c r="D21" s="57">
        <f>IF(C21="","",IFERROR(INDEX(TablaInsumos[Costo Unitario Total],MATCH(C21,TablaInsumos[Nombre],0)),""))</f>
        <v>94</v>
      </c>
      <c r="E21" s="122">
        <f>IF(C21="","",IFERROR(INDEX(TablaPlatillos[Cantidad 6],MATCH($C$10,TablaPlatillos[Nombre de Platillo],0)),""))</f>
        <v>15</v>
      </c>
      <c r="F21" s="57" t="str">
        <f>IF(C21="","",IFERROR(INDEX(TablaPlatillos[Unidad 6],MATCH($C$10,TablaPlatillos[Nombre de Platillo],0)),""))</f>
        <v>Gramo</v>
      </c>
      <c r="G21" s="63">
        <f t="shared" si="1"/>
        <v>1410</v>
      </c>
      <c r="H21" s="64">
        <f t="shared" si="2"/>
        <v>3.4527498178241987E-2</v>
      </c>
      <c r="I21" s="43"/>
      <c r="J21" s="59" t="str">
        <f t="shared" si="3"/>
        <v>(-) Polvo para hornear</v>
      </c>
      <c r="K21" s="65">
        <f t="shared" si="4"/>
        <v>1410</v>
      </c>
      <c r="L21" s="66">
        <f t="shared" si="5"/>
        <v>1.8800000000000001E-2</v>
      </c>
      <c r="M21" s="44"/>
      <c r="O21" s="59" t="str">
        <f t="shared" si="6"/>
        <v>(-) Polvo para hornear</v>
      </c>
      <c r="P21" s="65">
        <f t="shared" si="7"/>
        <v>1410</v>
      </c>
      <c r="Q21" s="66">
        <f t="shared" si="0"/>
        <v>0.01316</v>
      </c>
    </row>
    <row r="22" spans="2:17" ht="15" customHeight="1" x14ac:dyDescent="0.3">
      <c r="B22" s="42"/>
      <c r="C22" s="56" t="str">
        <f>IFERROR(INDEX(TablaPlatillos[Insumo 7],MATCH($C$10,TablaPlatillos[Nombre de Platillo],0))&amp;"","")</f>
        <v>Esencia de vainilla</v>
      </c>
      <c r="D22" s="57">
        <f>IF(C22="","",IFERROR(INDEX(TablaInsumos[Costo Unitario Total],MATCH(C22,TablaInsumos[Nombre],0)),""))</f>
        <v>30.967741935483872</v>
      </c>
      <c r="E22" s="122">
        <f>IF(C22="","",IFERROR(INDEX(TablaPlatillos[Cantidad 7],MATCH($C$10,TablaPlatillos[Nombre de Platillo],0)),""))</f>
        <v>15</v>
      </c>
      <c r="F22" s="57" t="str">
        <f>IF(C22="","",IFERROR(INDEX(TablaPlatillos[Unidad 7],MATCH($C$10,TablaPlatillos[Nombre de Platillo],0)),""))</f>
        <v>Mililitro</v>
      </c>
      <c r="G22" s="57">
        <f t="shared" si="1"/>
        <v>464.51612903225805</v>
      </c>
      <c r="H22" s="58">
        <f t="shared" si="2"/>
        <v>1.1374879290017952E-2</v>
      </c>
      <c r="I22" s="43"/>
      <c r="J22" s="59" t="str">
        <f t="shared" si="3"/>
        <v>(-) Esencia de vainilla</v>
      </c>
      <c r="K22" s="65">
        <f t="shared" si="4"/>
        <v>464.51612903225805</v>
      </c>
      <c r="L22" s="66">
        <f t="shared" si="5"/>
        <v>6.193548387096774E-3</v>
      </c>
      <c r="M22" s="44"/>
      <c r="O22" s="59" t="str">
        <f t="shared" si="6"/>
        <v>(-) Esencia de vainilla</v>
      </c>
      <c r="P22" s="65">
        <f t="shared" si="7"/>
        <v>464.51612903225805</v>
      </c>
      <c r="Q22" s="66">
        <f t="shared" si="0"/>
        <v>0.00433548387096774</v>
      </c>
    </row>
    <row r="23" spans="2:17" ht="15" customHeight="1" x14ac:dyDescent="0.3">
      <c r="B23" s="42"/>
      <c r="C23" s="62" t="str">
        <f>IFERROR(INDEX(TablaPlatillos[Insumo 8],MATCH($C$10,TablaPlatillos[Nombre de Platillo],0))&amp;"","")</f>
        <v>Sal (pizca)</v>
      </c>
      <c r="D23" s="57">
        <f>IF(C23="","",IFERROR(INDEX(TablaInsumos[Costo Unitario Total],MATCH(C23,TablaInsumos[Nombre],0)),""))</f>
        <v>50</v>
      </c>
      <c r="E23" s="122">
        <f>IF(C23="","",IFERROR(INDEX(TablaPlatillos[Cantidad 8],MATCH($C$10,TablaPlatillos[Nombre de Platillo],0)),""))</f>
        <v>1</v>
      </c>
      <c r="F23" s="57" t="str">
        <f>IF(C23="","",IFERROR(INDEX(TablaPlatillos[Unidad 8],MATCH($C$10,TablaPlatillos[Nombre de Platillo],0)),""))</f>
        <v>Unidad</v>
      </c>
      <c r="G23" s="63">
        <f t="shared" si="1"/>
        <v>50</v>
      </c>
      <c r="H23" s="64">
        <f t="shared" si="2"/>
        <v>1.2243793680227655E-3</v>
      </c>
      <c r="I23" s="43"/>
      <c r="J23" s="59" t="str">
        <f t="shared" si="3"/>
        <v>(-) Sal (pizca)</v>
      </c>
      <c r="K23" s="65">
        <f t="shared" si="4"/>
        <v>50</v>
      </c>
      <c r="L23" s="66">
        <f t="shared" si="5"/>
        <v>6.6666666666666664E-4</v>
      </c>
      <c r="M23" s="44"/>
      <c r="O23" s="59" t="str">
        <f t="shared" si="6"/>
        <v>(-) Sal (pizca)</v>
      </c>
      <c r="P23" s="65">
        <f t="shared" si="7"/>
        <v>50</v>
      </c>
      <c r="Q23" s="66">
        <f t="shared" si="0"/>
        <v>0.000466666666666667</v>
      </c>
    </row>
    <row r="24" spans="2:17" ht="15" customHeight="1" x14ac:dyDescent="0.3">
      <c r="B24" s="42"/>
      <c r="C24" s="56" t="str">
        <f>IFERROR(INDEX(TablaPlatillos[Insumo 9],MATCH($C$10,TablaPlatillos[Nombre de Platillo],0))&amp;"","")</f>
        <v>Base de cartón torta</v>
      </c>
      <c r="D24" s="57">
        <f>IF(C24="","",IFERROR(INDEX(TablaInsumos[Costo Unitario Total],MATCH(C24,TablaInsumos[Nombre],0)),""))</f>
        <v>1500</v>
      </c>
      <c r="E24" s="122">
        <f>IF(C24="","",IFERROR(INDEX(TablaPlatillos[Cantidad 9],MATCH($C$10,TablaPlatillos[Nombre de Platillo],0)),""))</f>
        <v>1</v>
      </c>
      <c r="F24" s="57" t="str">
        <f>IF(C24="","",IFERROR(INDEX(TablaPlatillos[Unidad 9],MATCH($C$10,TablaPlatillos[Nombre de Platillo],0)),""))</f>
        <v>Unidad</v>
      </c>
      <c r="G24" s="57">
        <f t="shared" si="1"/>
        <v>1500</v>
      </c>
      <c r="H24" s="58">
        <f t="shared" si="2"/>
        <v>3.6731381040682964E-2</v>
      </c>
      <c r="I24" s="43"/>
      <c r="J24" s="59" t="str">
        <f t="shared" si="3"/>
        <v>(-) Base de cartón torta</v>
      </c>
      <c r="K24" s="65">
        <f t="shared" si="4"/>
        <v>1500</v>
      </c>
      <c r="L24" s="66">
        <f t="shared" si="5"/>
        <v>0.02</v>
      </c>
      <c r="M24" s="44"/>
      <c r="O24" s="59" t="str">
        <f t="shared" si="6"/>
        <v>(-) Base de cartón torta</v>
      </c>
      <c r="P24" s="65">
        <f t="shared" si="7"/>
        <v>1500</v>
      </c>
      <c r="Q24" s="66">
        <f t="shared" si="0"/>
        <v>0.014</v>
      </c>
    </row>
    <row r="25" spans="2:17" ht="15" customHeight="1" x14ac:dyDescent="0.3">
      <c r="B25" s="42"/>
      <c r="C25" s="62" t="str">
        <f>IFERROR(INDEX(TablaPlatillos[Insumo 10],MATCH($C$10,TablaPlatillos[Nombre de Platillo],0))&amp;"","")</f>
        <v/>
      </c>
      <c r="D25" s="57" t="str">
        <f>IF(C25="","",IFERROR(INDEX(TablaInsumos[Costo Unitario Total],MATCH(C25,TablaInsumos[Nombre],0)),""))</f>
        <v/>
      </c>
      <c r="E25" s="122" t="str">
        <f>IF(C25="","",IFERROR(INDEX(TablaPlatillos[Cantidad 10],MATCH($C$10,TablaPlatillos[Nombre de Platillo],0)),""))</f>
        <v/>
      </c>
      <c r="F25" s="57" t="str">
        <f>IF(C25="","",IFERROR(INDEX(TablaPlatillos[Unidad 10],MATCH($C$10,TablaPlatillos[Nombre de Platillo],0)),""))</f>
        <v/>
      </c>
      <c r="G25" s="63" t="str">
        <f t="shared" si="1"/>
        <v/>
      </c>
      <c r="H25" s="64" t="str">
        <f t="shared" si="2"/>
        <v/>
      </c>
      <c r="I25" s="43"/>
      <c r="J25" s="59" t="str">
        <f t="shared" si="3"/>
        <v/>
      </c>
      <c r="K25" s="65" t="str">
        <f t="shared" si="4"/>
        <v/>
      </c>
      <c r="L25" s="66" t="str">
        <f t="shared" si="5"/>
        <v/>
      </c>
      <c r="M25" s="44"/>
      <c r="O25" s="59" t="str">
        <f t="shared" si="6"/>
        <v/>
      </c>
      <c r="P25" s="65" t="str">
        <f t="shared" si="7"/>
        <v/>
      </c>
      <c r="Q25" s="66" t="str">
        <f t="shared" si="0"/>
        <v/>
      </c>
    </row>
    <row r="26" spans="2:17" ht="15" customHeight="1" x14ac:dyDescent="0.3">
      <c r="B26" s="42"/>
      <c r="C26" s="56" t="str">
        <f>IFERROR(INDEX(TablaPlatillos[Insumo 11],MATCH($C$10,TablaPlatillos[Nombre de Platillo],0))&amp;"","")</f>
        <v/>
      </c>
      <c r="D26" s="57" t="str">
        <f>IF(C26="","",IFERROR(INDEX(TablaInsumos[Costo Unitario Total],MATCH(C26,TablaInsumos[Nombre],0)),""))</f>
        <v/>
      </c>
      <c r="E26" s="122" t="str">
        <f>IF(C26="","",IFERROR(INDEX(TablaPlatillos[Cantidad 11],MATCH($C$10,TablaPlatillos[Nombre de Platillo],0)),""))</f>
        <v/>
      </c>
      <c r="F26" s="57" t="str">
        <f>IF(C26="","",IFERROR(INDEX(TablaPlatillos[Unidad 11],MATCH($C$10,TablaPlatillos[Nombre de Platillo],0)),""))</f>
        <v/>
      </c>
      <c r="G26" s="57" t="str">
        <f t="shared" si="1"/>
        <v/>
      </c>
      <c r="H26" s="58" t="str">
        <f t="shared" si="2"/>
        <v/>
      </c>
      <c r="I26" s="43"/>
      <c r="J26" s="59" t="str">
        <f t="shared" si="3"/>
        <v/>
      </c>
      <c r="K26" s="65" t="str">
        <f t="shared" si="4"/>
        <v/>
      </c>
      <c r="L26" s="66" t="str">
        <f t="shared" si="5"/>
        <v/>
      </c>
      <c r="M26" s="44"/>
      <c r="O26" s="59" t="str">
        <f t="shared" si="6"/>
        <v/>
      </c>
      <c r="P26" s="65" t="str">
        <f t="shared" si="7"/>
        <v/>
      </c>
      <c r="Q26" s="66" t="str">
        <f t="shared" si="0"/>
        <v/>
      </c>
    </row>
    <row r="27" spans="2:17" ht="15" customHeight="1" x14ac:dyDescent="0.3">
      <c r="B27" s="42"/>
      <c r="C27" s="62" t="str">
        <f>IFERROR(INDEX(TablaPlatillos[Insumo 12],MATCH($C$10,TablaPlatillos[Nombre de Platillo],0))&amp;"","")</f>
        <v/>
      </c>
      <c r="D27" s="57" t="str">
        <f>IF(C27="","",IFERROR(INDEX(TablaInsumos[Costo Unitario Total],MATCH(C27,TablaInsumos[Nombre],0)),""))</f>
        <v/>
      </c>
      <c r="E27" s="122" t="str">
        <f>IF(C27="","",IFERROR(INDEX(TablaPlatillos[Cantidad 12],MATCH($C$10,TablaPlatillos[Nombre de Platillo],0)),""))</f>
        <v/>
      </c>
      <c r="F27" s="57" t="str">
        <f>IF(C27="","",IFERROR(INDEX(TablaPlatillos[Unidad 12],MATCH($C$10,TablaPlatillos[Nombre de Platillo],0)),""))</f>
        <v/>
      </c>
      <c r="G27" s="63" t="str">
        <f t="shared" si="1"/>
        <v/>
      </c>
      <c r="H27" s="64" t="str">
        <f t="shared" si="2"/>
        <v/>
      </c>
      <c r="I27" s="43"/>
      <c r="J27" s="123" t="str">
        <f t="shared" si="3"/>
        <v/>
      </c>
      <c r="K27" s="124" t="str">
        <f t="shared" si="4"/>
        <v/>
      </c>
      <c r="L27" s="125" t="str">
        <f t="shared" si="5"/>
        <v/>
      </c>
      <c r="M27" s="44"/>
      <c r="O27" s="123" t="str">
        <f t="shared" si="6"/>
        <v/>
      </c>
      <c r="P27" s="124" t="str">
        <f t="shared" si="7"/>
        <v/>
      </c>
      <c r="Q27" s="125" t="str">
        <f t="shared" si="0"/>
        <v/>
      </c>
    </row>
    <row r="28" spans="2:17" ht="15" customHeight="1" x14ac:dyDescent="0.3">
      <c r="B28" s="42"/>
      <c r="C28" s="157" t="s">
        <v>61</v>
      </c>
      <c r="D28" s="158"/>
      <c r="E28" s="156"/>
      <c r="F28" s="156"/>
      <c r="G28" s="159">
        <f>SUM(G16:G27)</f>
        <v>40837.016129032258</v>
      </c>
      <c r="H28" s="67">
        <f>SUM(H16:H27)</f>
        <v>1</v>
      </c>
      <c r="I28" s="43"/>
      <c r="J28" s="68" t="s">
        <v>62</v>
      </c>
      <c r="K28" s="69">
        <f>IFERROR(K13-K15,"")</f>
        <v>34162.983870967742</v>
      </c>
      <c r="L28" s="70">
        <f>IFERROR(K28/K13,"")</f>
        <v>0.45550645161290321</v>
      </c>
      <c r="M28" s="44"/>
      <c r="O28" s="68" t="s">
        <v>62</v>
      </c>
      <c r="P28" s="69">
        <f>IFERROR(P13-P15,"")</f>
        <v>66305.8410138249</v>
      </c>
      <c r="Q28" s="70">
        <f t="shared" si="0"/>
        <v>0.618854516129032</v>
      </c>
    </row>
    <row r="29" spans="2:17" ht="15" customHeight="1" x14ac:dyDescent="0.3">
      <c r="B29" s="42"/>
      <c r="C29" s="43"/>
      <c r="D29" s="43"/>
      <c r="E29" s="43"/>
      <c r="F29" s="43"/>
      <c r="G29" s="43"/>
      <c r="H29" s="43"/>
      <c r="I29" s="43"/>
      <c r="J29" s="43"/>
      <c r="K29" s="43"/>
      <c r="L29" s="71"/>
      <c r="M29" s="44"/>
      <c r="O29" s="43"/>
      <c r="P29" s="43"/>
      <c r="Q29" s="71"/>
    </row>
    <row r="30" spans="2:17" ht="15" customHeight="1" x14ac:dyDescent="0.3">
      <c r="B30" s="42"/>
      <c r="C30" s="72" t="s">
        <v>30</v>
      </c>
      <c r="D30" s="43"/>
      <c r="E30" s="43"/>
      <c r="F30" s="43"/>
      <c r="G30" s="43"/>
      <c r="H30" s="43"/>
      <c r="I30" s="43"/>
      <c r="J30" s="43"/>
      <c r="K30" s="43"/>
      <c r="L30" s="71"/>
      <c r="M30" s="44"/>
      <c r="O30" s="43"/>
      <c r="P30" s="43"/>
      <c r="Q30" s="71"/>
    </row>
    <row r="31" spans="2:17" ht="15" customHeight="1" x14ac:dyDescent="0.3">
      <c r="B31" s="42"/>
      <c r="C31" s="73" t="s">
        <v>63</v>
      </c>
      <c r="D31" s="73" t="s">
        <v>64</v>
      </c>
      <c r="E31" s="73" t="s">
        <v>65</v>
      </c>
      <c r="F31" s="73" t="s">
        <v>57</v>
      </c>
      <c r="G31" s="73" t="s">
        <v>58</v>
      </c>
      <c r="H31" s="73" t="s">
        <v>59</v>
      </c>
      <c r="I31" s="43"/>
      <c r="J31" s="74" t="s">
        <v>66</v>
      </c>
      <c r="K31" s="75">
        <f>SUM(K32:K34)</f>
        <v>17500</v>
      </c>
      <c r="L31" s="76">
        <f>IFERROR(K31/K13,"")</f>
        <v>0.23333333333333334</v>
      </c>
      <c r="M31" s="44"/>
      <c r="O31" s="74" t="s">
        <v>66</v>
      </c>
      <c r="P31" s="75">
        <f>SUM(P32:P34)</f>
        <v>17500</v>
      </c>
      <c r="Q31" s="76">
        <f>IFERROR(P31/P$13,"")</f>
        <v>0.163333333333333</v>
      </c>
    </row>
    <row r="32" spans="2:17" ht="15" customHeight="1" x14ac:dyDescent="0.3">
      <c r="B32" s="42"/>
      <c r="C32" s="56" t="str">
        <f>Postre!F8</f>
        <v>Mano de Obra</v>
      </c>
      <c r="D32" s="57">
        <f>Postre!G8</f>
        <v>15000</v>
      </c>
      <c r="E32" s="77">
        <f>IF($C$10="","",1/Postre!$C$9)</f>
        <v>1</v>
      </c>
      <c r="F32" s="57" t="s">
        <v>67</v>
      </c>
      <c r="G32" s="57">
        <f>D32/Postre!$C$9</f>
        <v>15000</v>
      </c>
      <c r="H32" s="58">
        <f>IF(C10="","",IFERROR(G32/$G$35,""))</f>
        <v>0.8571428571428571</v>
      </c>
      <c r="I32" s="43"/>
      <c r="J32" s="78" t="str">
        <f>"(-) "&amp;C32</f>
        <v>(-) Mano de Obra</v>
      </c>
      <c r="K32" s="130">
        <f>IF(G32="","",G32)</f>
        <v>15000</v>
      </c>
      <c r="L32" s="79">
        <f>IFERROR(K32/$K$13,"")</f>
        <v>0.2</v>
      </c>
      <c r="M32" s="44"/>
      <c r="O32" s="78" t="str">
        <f>J32&amp;""</f>
        <v>(-) Mano de Obra</v>
      </c>
      <c r="P32" s="130">
        <f>IF(G32="","",G32)</f>
        <v>15000</v>
      </c>
      <c r="Q32" s="79">
        <f>IFERROR(P32/P$13,"")</f>
        <v>0.14</v>
      </c>
    </row>
    <row r="33" spans="2:17" ht="15" customHeight="1" x14ac:dyDescent="0.3">
      <c r="B33" s="42"/>
      <c r="C33" s="80" t="str">
        <f>Postre!F9</f>
        <v>Servicios (Agua, Luz, Gas)</v>
      </c>
      <c r="D33" s="57">
        <f>Postre!G9</f>
        <v>2500</v>
      </c>
      <c r="E33" s="81">
        <f>IF($C$10="","",1/Postre!$C$9)</f>
        <v>1</v>
      </c>
      <c r="F33" s="19" t="s">
        <v>68</v>
      </c>
      <c r="G33" s="19">
        <f>D33/Postre!$C$9</f>
        <v>2500</v>
      </c>
      <c r="H33" s="82">
        <f>IF(C10="","",IFERROR(G33/$G$35,""))</f>
        <v>0.14285714285714285</v>
      </c>
      <c r="I33" s="43"/>
      <c r="J33" s="78" t="str">
        <f>"(-) "&amp;C33</f>
        <v>(-) Servicios (Agua, Luz, Gas)</v>
      </c>
      <c r="K33" s="131">
        <f>IF(G33="","",G33)</f>
        <v>2500</v>
      </c>
      <c r="L33" s="79">
        <f>IFERROR(K33/$K$13,"")</f>
        <v>3.3333333333333333E-2</v>
      </c>
      <c r="M33" s="44"/>
      <c r="O33" s="78" t="str">
        <f>J33&amp;""</f>
        <v>(-) Servicios (Agua, Luz, Gas)</v>
      </c>
      <c r="P33" s="131">
        <f>IF(G33="","",G33)</f>
        <v>2500</v>
      </c>
      <c r="Q33" s="79">
        <f>IFERROR(P33/P$13,"")</f>
        <v>0.0233333333333333</v>
      </c>
    </row>
    <row r="34" spans="2:17" ht="15" customHeight="1" x14ac:dyDescent="0.3">
      <c r="B34" s="42"/>
      <c r="C34" s="56" t="str">
        <f>Postre!F10</f>
        <v>Gastos Oper. / Domicilio</v>
      </c>
      <c r="D34" s="57">
        <f>Postre!G10</f>
        <v>0</v>
      </c>
      <c r="E34" s="77">
        <f>IF($C$10="","",1/Postre!$C$9)</f>
        <v>1</v>
      </c>
      <c r="F34" s="57" t="s">
        <v>68</v>
      </c>
      <c r="G34" s="57">
        <f>D34/Postre!$C$9</f>
        <v>0</v>
      </c>
      <c r="H34" s="58">
        <f>IF(C10="","",IFERROR(G34/$G$35,""))</f>
        <v>0</v>
      </c>
      <c r="I34" s="43"/>
      <c r="J34" s="126" t="str">
        <f>"(-) "&amp;C34</f>
        <v>(-) Gastos Oper. / Domicilio</v>
      </c>
      <c r="K34" s="127">
        <f>IF(G34="","",G34)</f>
        <v>0</v>
      </c>
      <c r="L34" s="128">
        <f>IFERROR(K34/$K$13,"")</f>
        <v>0</v>
      </c>
      <c r="M34" s="44"/>
      <c r="O34" s="126" t="str">
        <f>J34&amp;""</f>
        <v>(-) Gastos Oper. / Domicilio</v>
      </c>
      <c r="P34" s="127">
        <f>IF(G34="","",G34)</f>
        <v>0</v>
      </c>
      <c r="Q34" s="128">
        <f>IFERROR(P34/P$13,"")</f>
        <v>0</v>
      </c>
    </row>
    <row r="35" spans="2:17" ht="15" customHeight="1" x14ac:dyDescent="0.3">
      <c r="B35" s="42"/>
      <c r="C35" s="83" t="s">
        <v>61</v>
      </c>
      <c r="D35" s="84"/>
      <c r="E35" s="84"/>
      <c r="F35" s="84"/>
      <c r="G35" s="85">
        <f>SUM(G32:G34)</f>
        <v>17500</v>
      </c>
      <c r="H35" s="86">
        <f>SUM(H32:H34)</f>
        <v>1</v>
      </c>
      <c r="I35" s="43"/>
      <c r="J35" s="87" t="s">
        <v>69</v>
      </c>
      <c r="K35" s="88">
        <f>IFERROR(K28-K31,"")</f>
        <v>16662.983870967742</v>
      </c>
      <c r="L35" s="89">
        <f>IFERROR(K35/K13,"")</f>
        <v>0.2221731182795699</v>
      </c>
      <c r="M35" s="44"/>
      <c r="O35" s="87" t="s">
        <v>69</v>
      </c>
      <c r="P35" s="88">
        <f>IFERROR(P28-P31,"")</f>
        <v>48805.8410138249</v>
      </c>
      <c r="Q35" s="89">
        <f>IFERROR(P35/P$13,"")</f>
        <v>0.455521182795699</v>
      </c>
    </row>
    <row r="36" spans="2:17" ht="15" customHeight="1" x14ac:dyDescent="0.3">
      <c r="B36" s="42"/>
      <c r="C36" s="43"/>
      <c r="D36" s="43"/>
      <c r="E36" s="43"/>
      <c r="F36" s="43"/>
      <c r="G36" s="43"/>
      <c r="H36" s="43"/>
      <c r="I36" s="43"/>
      <c r="J36" s="43"/>
      <c r="K36" s="43"/>
      <c r="L36" s="71"/>
      <c r="M36" s="44"/>
      <c r="O36" s="43"/>
      <c r="P36" s="43"/>
      <c r="Q36" s="71"/>
    </row>
    <row r="37" spans="2:17" ht="15" customHeight="1" x14ac:dyDescent="0.3">
      <c r="B37" s="42"/>
      <c r="C37" s="90" t="s">
        <v>31</v>
      </c>
      <c r="D37" s="43"/>
      <c r="E37" s="43"/>
      <c r="F37" s="43"/>
      <c r="G37" s="43"/>
      <c r="H37" s="43"/>
      <c r="I37" s="43"/>
      <c r="J37" s="43"/>
      <c r="K37" s="43"/>
      <c r="L37" s="71"/>
      <c r="M37" s="44"/>
      <c r="O37" s="43"/>
      <c r="P37" s="43"/>
      <c r="Q37" s="71"/>
    </row>
    <row r="38" spans="2:17" ht="15" customHeight="1" x14ac:dyDescent="0.3">
      <c r="B38" s="42"/>
      <c r="C38" s="91" t="s">
        <v>56</v>
      </c>
      <c r="D38" s="91" t="s">
        <v>64</v>
      </c>
      <c r="E38" s="91" t="s">
        <v>65</v>
      </c>
      <c r="F38" s="91" t="s">
        <v>57</v>
      </c>
      <c r="G38" s="91" t="s">
        <v>58</v>
      </c>
      <c r="H38" s="91" t="s">
        <v>59</v>
      </c>
      <c r="I38" s="43"/>
      <c r="J38" s="92" t="s">
        <v>70</v>
      </c>
      <c r="K38" s="93">
        <f>SUM(K39:K41)</f>
        <v>16662.9838709677</v>
      </c>
      <c r="L38" s="94">
        <f>IFERROR(K38/K13,"")</f>
        <v>0.22217311827957</v>
      </c>
      <c r="M38" s="44"/>
      <c r="O38" s="92" t="s">
        <v>70</v>
      </c>
      <c r="P38" s="93">
        <f>SUM(P39:P41)</f>
        <v>16662.9838709677</v>
      </c>
      <c r="Q38" s="94">
        <f>IFERROR(P38/P$13,"")</f>
        <v>0.155521182795699</v>
      </c>
    </row>
    <row r="39" spans="2:17" ht="15" customHeight="1" x14ac:dyDescent="0.3">
      <c r="B39" s="42"/>
      <c r="C39" s="56" t="str">
        <f>Postre!I8</f>
        <v>Sueldos Admin.</v>
      </c>
      <c r="D39" s="57">
        <f>Postre!J8</f>
        <v>0</v>
      </c>
      <c r="E39" s="77">
        <f>IF($C$10="","",1/Postre!$C$9)</f>
        <v>1</v>
      </c>
      <c r="F39" s="57" t="s">
        <v>67</v>
      </c>
      <c r="G39" s="57">
        <f>D39/Postre!$C$9</f>
        <v>0</v>
      </c>
      <c r="H39" s="58">
        <f>IF(C10="","",IFERROR(G39/$G$42,""))</f>
        <v>0</v>
      </c>
      <c r="I39" s="43"/>
      <c r="J39" s="121" t="str">
        <f>"(-) "&amp;C39</f>
        <v>(-) Sueldos Admin.</v>
      </c>
      <c r="K39" s="132">
        <f>IF(G39="","",G39)</f>
        <v>0</v>
      </c>
      <c r="L39" s="95">
        <f>IFERROR(K39/$K$13,"")</f>
        <v>0</v>
      </c>
      <c r="M39" s="44"/>
      <c r="O39" s="121" t="str">
        <f>J39&amp;""</f>
        <v>(-) Sueldos Admin.</v>
      </c>
      <c r="P39" s="132">
        <f>IF(G39="","",G39)</f>
        <v>0</v>
      </c>
      <c r="Q39" s="95">
        <f>IFERROR(P39/P$13,"")</f>
        <v>0</v>
      </c>
    </row>
    <row r="40" spans="2:17" ht="15" customHeight="1" x14ac:dyDescent="0.3">
      <c r="B40" s="42"/>
      <c r="C40" s="96" t="str">
        <f>Postre!I9</f>
        <v>Depreciación / desgaste</v>
      </c>
      <c r="D40" s="20">
        <f>Postre!$G$25+Postre!$G$26</f>
        <v>95000</v>
      </c>
      <c r="E40" s="97">
        <f>IF($C$10="","",IF(Postre!$C$9=1,0.17539983022071307,1/(Postre!$J$25*Postre!$C$9)))</f>
        <v>0.17539983022071307</v>
      </c>
      <c r="F40" s="20" t="s">
        <v>68</v>
      </c>
      <c r="G40" s="20">
        <f>D40*E40</f>
        <v>16662.983870967742</v>
      </c>
      <c r="H40" s="98">
        <f>IF(C10="","",IFERROR(G40/$G$42,""))</f>
        <v>1</v>
      </c>
      <c r="I40" s="43"/>
      <c r="J40" s="120" t="str">
        <f>"(-) "&amp;C40</f>
        <v>(-) Depreciación / desgaste</v>
      </c>
      <c r="K40" s="133">
        <f>IF(G40="","",G40)</f>
        <v>16662.9838709677</v>
      </c>
      <c r="L40" s="119">
        <f>IFERROR(K40/$K$13,"")</f>
        <v>0.22217311827957</v>
      </c>
      <c r="M40" s="44"/>
      <c r="O40" s="120" t="str">
        <f>J40&amp;""</f>
        <v>(-) Depreciación / desgaste</v>
      </c>
      <c r="P40" s="133">
        <f>IF(G40="","",G40)</f>
        <v>16662.9838709677</v>
      </c>
      <c r="Q40" s="119">
        <f>IFERROR(P40/P$13,"")</f>
        <v>0.155521182795699</v>
      </c>
    </row>
    <row r="41" spans="2:17" ht="15" customHeight="1" thickBot="1" x14ac:dyDescent="0.35">
      <c r="B41" s="42"/>
      <c r="C41" s="56" t="str">
        <f>Postre!I10</f>
        <v>Otros Gastos</v>
      </c>
      <c r="D41" s="57">
        <f>Postre!J10</f>
        <v>0</v>
      </c>
      <c r="E41" s="77">
        <f>IF($C$10="","",1/Postre!$C$9)</f>
        <v>1</v>
      </c>
      <c r="F41" s="57" t="s">
        <v>68</v>
      </c>
      <c r="G41" s="57">
        <f>D41/Postre!$C$9</f>
        <v>0</v>
      </c>
      <c r="H41" s="58">
        <f>IF(C10="","",IFERROR(G41/$G$42,""))</f>
        <v>0</v>
      </c>
      <c r="I41" s="43"/>
      <c r="J41" s="99" t="str">
        <f>"(-) "&amp;C41</f>
        <v>(-) Otros Gastos</v>
      </c>
      <c r="K41" s="134">
        <f>IF(G41="","",G41)</f>
        <v>0</v>
      </c>
      <c r="L41" s="100">
        <f>IFERROR(K41/$K$13,"")</f>
        <v>0</v>
      </c>
      <c r="M41" s="44"/>
      <c r="O41" s="99" t="str">
        <f>J41&amp;""</f>
        <v>(-) Otros Gastos</v>
      </c>
      <c r="P41" s="134">
        <f>IF(G41="","",G41)</f>
        <v>0</v>
      </c>
      <c r="Q41" s="100">
        <f>IFERROR(P41/P$13,"")</f>
        <v>0</v>
      </c>
    </row>
    <row r="42" spans="2:17" ht="15" customHeight="1" thickTop="1" x14ac:dyDescent="0.3">
      <c r="B42" s="42"/>
      <c r="C42" s="101" t="s">
        <v>61</v>
      </c>
      <c r="D42" s="102"/>
      <c r="E42" s="102"/>
      <c r="F42" s="102"/>
      <c r="G42" s="103">
        <f>SUM(G39:G41)</f>
        <v>16662.9838709677</v>
      </c>
      <c r="H42" s="104">
        <f>SUM(H39:H41)</f>
        <v>1</v>
      </c>
      <c r="I42" s="43"/>
      <c r="J42" s="105" t="s">
        <v>71</v>
      </c>
      <c r="K42" s="106">
        <f>IFERROR(K35-K38,"")</f>
        <v>0.0</v>
      </c>
      <c r="L42" s="107">
        <f>IFERROR(K42/K13,"")</f>
        <v>0.0</v>
      </c>
      <c r="M42" s="44"/>
      <c r="O42" s="105" t="s">
        <v>71</v>
      </c>
      <c r="P42" s="106">
        <f>IFERROR(P35-P38,"")</f>
        <v>32142.8571428571</v>
      </c>
      <c r="Q42" s="107">
        <f>IFERROR(P42/P$13,"")</f>
        <v>0.30000000000000004</v>
      </c>
    </row>
    <row r="43" spans="2:17" ht="15" customHeight="1" x14ac:dyDescent="0.3">
      <c r="B43" s="42"/>
      <c r="C43" s="43"/>
      <c r="D43" s="43"/>
      <c r="E43" s="43"/>
      <c r="F43" s="43"/>
      <c r="G43" s="43"/>
      <c r="H43" s="43"/>
      <c r="I43" s="43"/>
      <c r="J43" s="59" t="s">
        <v>160</v>
      </c>
      <c r="K43" s="60">
        <f>IFERROR(K42-K13*Postre!$C$10,"")</f>
        <v>-22500.0</v>
      </c>
      <c r="L43" s="61">
        <f>IFERROR(L42-Postre!$C$10,"")</f>
        <v>-0.3</v>
      </c>
      <c r="M43" s="44"/>
      <c r="O43" s="59" t="s">
        <v>161</v>
      </c>
      <c r="P43" s="60">
        <f>IFERROR(P13-K13,"")</f>
        <v>32142.8571428571</v>
      </c>
      <c r="Q43" s="61">
        <f>IFERROR(P13/K13-1,"")</f>
        <v>0.428571428571429</v>
      </c>
    </row>
    <row r="44" spans="2:17" ht="15" customHeight="1" x14ac:dyDescent="0.3">
      <c r="B44" s="42"/>
      <c r="C44" s="108" t="s">
        <v>72</v>
      </c>
      <c r="D44" s="109"/>
      <c r="E44" s="109"/>
      <c r="F44" s="135"/>
      <c r="G44" s="135"/>
      <c r="H44" s="135"/>
      <c r="I44" s="135"/>
      <c r="J44" s="160" t="s">
        <v>73</v>
      </c>
      <c r="K44" s="160"/>
      <c r="L44" s="110">
        <f ca="1">TODAY()</f>
        <v>46306</v>
      </c>
      <c r="M44" s="44"/>
    </row>
    <row r="45" spans="2:17" ht="15" customHeight="1" x14ac:dyDescent="0.3">
      <c r="B45" s="42"/>
      <c r="C45" s="43"/>
      <c r="D45" s="43"/>
      <c r="E45" s="43"/>
      <c r="F45" s="136"/>
      <c r="G45" s="136"/>
      <c r="H45" s="136"/>
      <c r="I45" s="136"/>
      <c r="J45" s="136"/>
      <c r="K45" s="136"/>
      <c r="L45" s="43"/>
      <c r="M45" s="44"/>
    </row>
    <row r="46" spans="2:17" ht="15" customHeight="1" x14ac:dyDescent="0.3">
      <c r="B46" s="42"/>
      <c r="C46" s="136"/>
      <c r="D46" s="136"/>
      <c r="E46" s="136"/>
      <c r="F46" s="113"/>
      <c r="G46" s="113"/>
      <c r="H46" s="113"/>
      <c r="I46" s="113"/>
      <c r="J46" s="113"/>
      <c r="K46" s="136"/>
      <c r="L46" s="136"/>
      <c r="M46" s="139"/>
    </row>
    <row r="47" spans="2:17" ht="15" customHeight="1" x14ac:dyDescent="0.3">
      <c r="B47" s="42"/>
      <c r="C47" s="136"/>
      <c r="D47" s="136"/>
      <c r="E47" s="136"/>
      <c r="F47" s="113"/>
      <c r="G47" s="111" t="str">
        <f>C32</f>
        <v>Mano de Obra</v>
      </c>
      <c r="H47" s="112">
        <f>G32</f>
        <v>15000</v>
      </c>
      <c r="I47" s="113"/>
      <c r="J47" s="113"/>
      <c r="K47" s="136"/>
      <c r="L47" s="136"/>
      <c r="M47" s="139"/>
    </row>
    <row r="48" spans="2:17" ht="15" customHeight="1" x14ac:dyDescent="0.3">
      <c r="B48" s="42"/>
      <c r="C48" s="136"/>
      <c r="D48" s="136"/>
      <c r="E48" s="136"/>
      <c r="F48" s="113"/>
      <c r="G48" s="111" t="str">
        <f>C33</f>
        <v>Servicios (Agua, Luz, Gas)</v>
      </c>
      <c r="H48" s="112">
        <f>G33</f>
        <v>2500</v>
      </c>
      <c r="I48" s="113"/>
      <c r="J48" s="113"/>
      <c r="K48" s="136"/>
      <c r="L48" s="136"/>
      <c r="M48" s="139"/>
    </row>
    <row r="49" spans="2:13" ht="15" customHeight="1" x14ac:dyDescent="0.3">
      <c r="B49" s="42"/>
      <c r="C49" s="136"/>
      <c r="D49" s="136"/>
      <c r="E49" s="136"/>
      <c r="F49" s="113"/>
      <c r="G49" s="111" t="str">
        <f>C34</f>
        <v>Gastos Oper. / Domicilio</v>
      </c>
      <c r="H49" s="112">
        <f>G34</f>
        <v>0</v>
      </c>
      <c r="I49" s="113"/>
      <c r="J49" s="113"/>
      <c r="K49" s="136"/>
      <c r="L49" s="136"/>
      <c r="M49" s="139"/>
    </row>
    <row r="50" spans="2:13" ht="15" customHeight="1" x14ac:dyDescent="0.3">
      <c r="B50" s="42"/>
      <c r="C50" s="136"/>
      <c r="D50" s="136"/>
      <c r="E50" s="136"/>
      <c r="F50" s="113"/>
      <c r="G50" s="111" t="str">
        <f>C35</f>
        <v>TOTAL</v>
      </c>
      <c r="H50" s="112">
        <f>G35</f>
        <v>17500</v>
      </c>
      <c r="I50" s="113"/>
      <c r="J50" s="113"/>
      <c r="K50" s="136"/>
      <c r="L50" s="136"/>
      <c r="M50" s="139"/>
    </row>
    <row r="51" spans="2:13" ht="15" customHeight="1" x14ac:dyDescent="0.3">
      <c r="B51" s="42"/>
      <c r="C51" s="136"/>
      <c r="D51" s="136"/>
      <c r="E51" s="136"/>
      <c r="F51" s="113"/>
      <c r="G51" s="111"/>
      <c r="H51" s="112"/>
      <c r="I51" s="113"/>
      <c r="J51" s="113"/>
      <c r="K51" s="136"/>
      <c r="L51" s="136"/>
      <c r="M51" s="139"/>
    </row>
    <row r="52" spans="2:13" ht="15" customHeight="1" x14ac:dyDescent="0.3">
      <c r="B52" s="42"/>
      <c r="C52" s="136"/>
      <c r="D52" s="136"/>
      <c r="E52" s="136"/>
      <c r="F52" s="113"/>
      <c r="G52" s="113"/>
      <c r="H52" s="113"/>
      <c r="I52" s="113"/>
      <c r="J52" s="113"/>
      <c r="K52" s="136"/>
      <c r="L52" s="136"/>
      <c r="M52" s="139"/>
    </row>
    <row r="53" spans="2:13" ht="15" customHeight="1" x14ac:dyDescent="0.3">
      <c r="B53" s="42"/>
      <c r="C53" s="136"/>
      <c r="D53" s="136"/>
      <c r="E53" s="136"/>
      <c r="F53" s="113"/>
      <c r="G53" s="113"/>
      <c r="H53" s="113"/>
      <c r="I53" s="113"/>
      <c r="J53" s="113"/>
      <c r="K53" s="136"/>
      <c r="L53" s="136"/>
      <c r="M53" s="139"/>
    </row>
    <row r="54" spans="2:13" ht="15" customHeight="1" x14ac:dyDescent="0.3">
      <c r="B54" s="42"/>
      <c r="C54" s="136"/>
      <c r="D54" s="136"/>
      <c r="E54" s="136"/>
      <c r="F54" s="113"/>
      <c r="G54" s="113"/>
      <c r="H54" s="113"/>
      <c r="I54" s="113"/>
      <c r="J54" s="113"/>
      <c r="K54" s="136"/>
      <c r="L54" s="136"/>
      <c r="M54" s="139"/>
    </row>
    <row r="55" spans="2:13" ht="15" customHeight="1" x14ac:dyDescent="0.3">
      <c r="B55" s="42"/>
      <c r="C55" s="136"/>
      <c r="D55" s="136"/>
      <c r="E55" s="136"/>
      <c r="F55" s="113"/>
      <c r="G55" s="113"/>
      <c r="H55" s="113"/>
      <c r="I55" s="113"/>
      <c r="J55" s="113"/>
      <c r="K55" s="136"/>
      <c r="L55" s="136"/>
      <c r="M55" s="139"/>
    </row>
    <row r="56" spans="2:13" ht="15" customHeight="1" x14ac:dyDescent="0.3">
      <c r="B56" s="42"/>
      <c r="C56" s="136"/>
      <c r="D56" s="136"/>
      <c r="E56" s="136"/>
      <c r="F56" s="113"/>
      <c r="G56" s="113"/>
      <c r="H56" s="113"/>
      <c r="I56" s="113"/>
      <c r="J56" s="113"/>
      <c r="K56" s="136"/>
      <c r="L56" s="136"/>
      <c r="M56" s="139"/>
    </row>
    <row r="57" spans="2:13" ht="15" customHeight="1" x14ac:dyDescent="0.3">
      <c r="B57" s="42"/>
      <c r="C57" s="136"/>
      <c r="D57" s="136"/>
      <c r="E57" s="136"/>
      <c r="F57" s="113"/>
      <c r="G57" s="113"/>
      <c r="H57" s="113"/>
      <c r="I57" s="113"/>
      <c r="J57" s="113"/>
      <c r="K57" s="136"/>
      <c r="L57" s="136"/>
      <c r="M57" s="139"/>
    </row>
    <row r="58" spans="2:13" ht="15" customHeight="1" x14ac:dyDescent="0.3">
      <c r="B58" s="42"/>
      <c r="C58" s="136"/>
      <c r="D58" s="136"/>
      <c r="E58" s="136"/>
      <c r="F58" s="113"/>
      <c r="G58" s="113"/>
      <c r="H58" s="113"/>
      <c r="I58" s="113"/>
      <c r="J58" s="113"/>
      <c r="K58" s="136"/>
      <c r="L58" s="136"/>
      <c r="M58" s="139"/>
    </row>
    <row r="59" spans="2:13" ht="15" customHeight="1" x14ac:dyDescent="0.3">
      <c r="B59" s="42"/>
      <c r="C59" s="136"/>
      <c r="D59" s="136"/>
      <c r="E59" s="136"/>
      <c r="F59" s="113"/>
      <c r="G59" s="113"/>
      <c r="H59" s="113"/>
      <c r="I59" s="113"/>
      <c r="J59" s="113"/>
      <c r="K59" s="136"/>
      <c r="L59" s="136"/>
      <c r="M59" s="139"/>
    </row>
    <row r="60" spans="2:13" ht="15" customHeight="1" thickBot="1" x14ac:dyDescent="0.35">
      <c r="B60" s="114"/>
      <c r="C60" s="115"/>
      <c r="D60" s="115"/>
      <c r="E60" s="115"/>
      <c r="F60" s="116"/>
      <c r="G60" s="116"/>
      <c r="H60" s="116"/>
      <c r="I60" s="116"/>
      <c r="J60" s="116"/>
      <c r="K60" s="137"/>
      <c r="L60" s="115"/>
      <c r="M60" s="117"/>
    </row>
    <row r="61" spans="2:13" ht="15" customHeight="1" x14ac:dyDescent="0.3">
      <c r="F61" s="140"/>
      <c r="G61" s="140"/>
      <c r="H61" s="140"/>
      <c r="I61" s="140"/>
      <c r="J61" s="140"/>
      <c r="K61" s="138"/>
    </row>
    <row r="62" spans="2:13" ht="15" customHeight="1" x14ac:dyDescent="0.3">
      <c r="F62" s="140"/>
      <c r="G62" s="140"/>
      <c r="H62" s="140"/>
      <c r="I62" s="140"/>
      <c r="J62" s="140"/>
      <c r="K62" s="138"/>
    </row>
  </sheetData>
  <mergeCells count="3">
    <mergeCell ref="J44:K44"/>
    <mergeCell ref="C10:D10"/>
    <mergeCell ref="C9:D9"/>
  </mergeCells>
  <conditionalFormatting sqref="C9">
    <cfRule type="expression" dxfId="5" priority="6">
      <formula>$C$10=""</formula>
    </cfRule>
  </conditionalFormatting>
  <conditionalFormatting sqref="C10:D10">
    <cfRule type="expression" dxfId="4" priority="1">
      <formula>$C$10=""</formula>
    </cfRule>
  </conditionalFormatting>
  <conditionalFormatting sqref="C12:L42">
    <cfRule type="expression" dxfId="3" priority="12">
      <formula>$C$10=""</formula>
    </cfRule>
  </conditionalFormatting>
  <conditionalFormatting sqref="G31:L42">
    <cfRule type="expression" dxfId="2" priority="2">
      <formula>$C$10=""</formula>
    </cfRule>
  </conditionalFormatting>
  <conditionalFormatting sqref="H16:H27">
    <cfRule type="dataBar" priority="29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{D72A1A1B-71C4-4A36-B5B1-01263BF7D4A1}</x14:id>
        </ext>
      </extLst>
    </cfRule>
  </conditionalFormatting>
  <conditionalFormatting sqref="H32:H34">
    <cfRule type="dataBar" priority="24">
      <dataBar>
        <cfvo type="min"/>
        <cfvo type="max"/>
        <color theme="8"/>
      </dataBar>
      <extLst>
        <ext xmlns:x14="http://schemas.microsoft.com/office/spreadsheetml/2009/9/main" uri="{B025F937-C7B1-47D3-B67F-A62EFF666E3E}">
          <x14:id>{345C1B89-AA0D-4E39-B0B7-1362A1035649}</x14:id>
        </ext>
      </extLst>
    </cfRule>
  </conditionalFormatting>
  <conditionalFormatting sqref="H39:H41">
    <cfRule type="dataBar" priority="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{7E2C2278-ACDA-49B6-A433-BC842E25FA2F}</x14:id>
        </ext>
      </extLst>
    </cfRule>
  </conditionalFormatting>
  <conditionalFormatting sqref="K28:L28 K35:L35 K42:L42">
    <cfRule type="expression" dxfId="1" priority="4">
      <formula>K28&lt;0</formula>
    </cfRule>
  </conditionalFormatting>
  <conditionalFormatting sqref="K35:L35 K42:L42 K28:L28">
    <cfRule type="expression" dxfId="0" priority="3">
      <formula>K28&gt;0</formula>
    </cfRule>
  </conditionalFormatting>
  <conditionalFormatting sqref="L31 L38 L13:L15">
    <cfRule type="dataBar" priority="11">
      <dataBar>
        <cfvo type="min"/>
        <cfvo type="max"/>
        <color rgb="FFFFCCCC"/>
      </dataBar>
      <extLst>
        <ext xmlns:x14="http://schemas.microsoft.com/office/spreadsheetml/2009/9/main" uri="{B025F937-C7B1-47D3-B67F-A62EFF666E3E}">
          <x14:id>{B2572D96-DDC7-482B-AB44-DA7A175F60BA}</x14:id>
        </ext>
      </extLst>
    </cfRule>
  </conditionalFormatting>
  <dataValidations count="1">
    <dataValidation type="list" allowBlank="1" showInputMessage="1" showErrorMessage="1" sqref="C10" xr:uid="{00000000-0002-0000-0300-000000000000}">
      <formula1>Platillo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2A1A1B-71C4-4A36-B5B1-01263BF7D4A1}">
            <x14:dataBar minLength="0" maxLength="100" border="1" negativeBarBorderColorSameAsPositive="0">
              <x14:cfvo type="autoMin"/>
              <x14:cfvo type="autoMax"/>
              <x14:borderColor theme="0" tint="-0.249977111117893"/>
              <x14:negativeFillColor rgb="FFFF0000"/>
              <x14:negativeBorderColor rgb="FFFF0000"/>
              <x14:axisColor rgb="FF000000"/>
            </x14:dataBar>
          </x14:cfRule>
          <xm:sqref>H16:H27</xm:sqref>
        </x14:conditionalFormatting>
        <x14:conditionalFormatting xmlns:xm="http://schemas.microsoft.com/office/excel/2006/main">
          <x14:cfRule type="dataBar" id="{345C1B89-AA0D-4E39-B0B7-1362A1035649}">
            <x14:dataBar minLength="0" maxLength="100" border="1" negativeBarBorderColorSameAsPositive="0">
              <x14:cfvo type="autoMin"/>
              <x14:cfvo type="autoMax"/>
              <x14:borderColor theme="0" tint="-0.249977111117893"/>
              <x14:negativeFillColor rgb="FFFF0000"/>
              <x14:negativeBorderColor rgb="FFFF0000"/>
              <x14:axisColor rgb="FF000000"/>
            </x14:dataBar>
          </x14:cfRule>
          <xm:sqref>H32:H34</xm:sqref>
        </x14:conditionalFormatting>
        <x14:conditionalFormatting xmlns:xm="http://schemas.microsoft.com/office/excel/2006/main">
          <x14:cfRule type="dataBar" id="{7E2C2278-ACDA-49B6-A433-BC842E25FA2F}">
            <x14:dataBar minLength="0" maxLength="100" border="1" negativeBarBorderColorSameAsPositive="0">
              <x14:cfvo type="autoMin"/>
              <x14:cfvo type="autoMax"/>
              <x14:borderColor theme="0" tint="-0.249977111117893"/>
              <x14:negativeFillColor rgb="FFFF0000"/>
              <x14:negativeBorderColor rgb="FFFF0000"/>
              <x14:axisColor rgb="FF000000"/>
            </x14:dataBar>
          </x14:cfRule>
          <xm:sqref>H39:H41</xm:sqref>
        </x14:conditionalFormatting>
        <x14:conditionalFormatting xmlns:xm="http://schemas.microsoft.com/office/excel/2006/main">
          <x14:cfRule type="dataBar" id="{B2572D96-DDC7-482B-AB44-DA7A175F60BA}">
            <x14:dataBar minLength="0" maxLength="100" border="1" negativeBarBorderColorSameAsPositive="0">
              <x14:cfvo type="autoMin"/>
              <x14:cfvo type="autoMax"/>
              <x14:borderColor theme="0" tint="-0.249977111117893"/>
              <x14:negativeFillColor rgb="FFFF0000"/>
              <x14:negativeBorderColor rgb="FFFF0000"/>
              <x14:axisColor rgb="FF000000"/>
            </x14:dataBar>
          </x14:cfRule>
          <xm:sqref>L31 L38 L13:L15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Inicio</vt:lpstr>
      <vt:lpstr>Insumos</vt:lpstr>
      <vt:lpstr>Postre</vt:lpstr>
      <vt:lpstr>Explosión</vt:lpstr>
      <vt:lpstr>Insumos</vt:lpstr>
      <vt:lpstr>Platillo</vt:lpstr>
      <vt:lpstr>Recepción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Rendón T.</dc:creator>
  <cp:keywords/>
  <dc:description/>
  <cp:lastModifiedBy>Jose Miguel Sossa Castaño</cp:lastModifiedBy>
  <cp:revision/>
  <dcterms:created xsi:type="dcterms:W3CDTF">2021-09-20T12:16:31Z</dcterms:created>
  <dcterms:modified xsi:type="dcterms:W3CDTF">2026-10-11T16:14:25Z</dcterms:modified>
  <cp:category/>
  <cp:contentStatus/>
</cp:coreProperties>
</file>