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licers/slicer2.xml" ContentType="application/vnd.ms-excel.slicer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ose Urdaneta\Desktop\Urdaneta Prisma\Trading Journal Prisma Pro\ARCHIVO\"/>
    </mc:Choice>
  </mc:AlternateContent>
  <xr:revisionPtr revIDLastSave="0" documentId="13_ncr:1_{0942DED7-C4E1-418E-AA32-3446578E2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ENTA" sheetId="12" r:id="rId1"/>
    <sheet name="JOURNAL" sheetId="10" r:id="rId2"/>
    <sheet name="DASHBOARD" sheetId="14" r:id="rId3"/>
    <sheet name="CALENDARIO" sheetId="18" r:id="rId4"/>
    <sheet name="Dinamics" sheetId="15" state="veryHidden" r:id="rId5"/>
    <sheet name="Versiones" sheetId="19" state="veryHidden" r:id="rId6"/>
    <sheet name="info" sheetId="13" state="veryHidden" r:id="rId7"/>
  </sheets>
  <definedNames>
    <definedName name="_xlchart.v1.0" hidden="1">Dinamics!$DU$4:$DU$9</definedName>
    <definedName name="_xlchart.v1.1" hidden="1">Dinamics!$DW$4:$DW$9</definedName>
    <definedName name="Calendar9Year">#REF!</definedName>
    <definedName name="Calendario10Año">#REF!</definedName>
    <definedName name="Calendario10Mes">#REF!</definedName>
    <definedName name="Calendario10MesOpción">MATCH(Calendario10Mes,Meses,0)</definedName>
    <definedName name="Calendario11Año">#REF!</definedName>
    <definedName name="Calendario11Mes">#REF!</definedName>
    <definedName name="Calendario11MesOpción">MATCH(Calendario11Mes,Meses,0)</definedName>
    <definedName name="Calendario12Año">#REF!</definedName>
    <definedName name="Calendario12Mes">#REF!</definedName>
    <definedName name="Calendario12MesOpción">MATCH(Calendario12Mes,Meses,0)</definedName>
    <definedName name="Calendario1Año">#REF!</definedName>
    <definedName name="Calendario1Mes">#REF!</definedName>
    <definedName name="Calendario1MesOpción">MATCH(Calendario1Mes,Meses,0)</definedName>
    <definedName name="Calendario2Año">#REF!</definedName>
    <definedName name="Calendario2Mes">#REF!</definedName>
    <definedName name="Calendario2MesOpción">MATCH(Calendario2Mes,Meses,0)</definedName>
    <definedName name="Calendario3Año">#REF!</definedName>
    <definedName name="Calendario3Mes">#REF!</definedName>
    <definedName name="Calendario3MesOpción">MATCH(Calendario3Mes,Meses,0)</definedName>
    <definedName name="Calendario4Año">#REF!</definedName>
    <definedName name="Calendario4Mes">#REF!</definedName>
    <definedName name="Calendario4MesOpción">MATCH(Calendario4Mes,Meses,0)</definedName>
    <definedName name="Calendario5Año">#REF!</definedName>
    <definedName name="Calendario5Mes">#REF!</definedName>
    <definedName name="Calendario5MesOpción">MATCH(Calendario5Mes,Meses,0)</definedName>
    <definedName name="Calendario6Año">#REF!</definedName>
    <definedName name="Calendario6Mes">#REF!</definedName>
    <definedName name="Calendario6MesOpción">MATCH(Calendario6Mes,Meses,0)</definedName>
    <definedName name="Calendario7Año">#REF!</definedName>
    <definedName name="Calendario7Mes">#REF!</definedName>
    <definedName name="Calendario7MesOpción">MATCH(Calendario7Mes,Meses,0)</definedName>
    <definedName name="Calendario8Año">#REF!</definedName>
    <definedName name="Calendario8Mes">#REF!</definedName>
    <definedName name="Calendario8MesOpción">MATCH(Calendario8Mes,Meses,0)</definedName>
    <definedName name="Calendario9Mes">#REF!</definedName>
    <definedName name="Calendario9MesOpción">MATCH(Calendario9Mes,Meses,0)</definedName>
    <definedName name="ColumnTitleRegion1..H12.1">#REF!</definedName>
    <definedName name="ColumnTitleRegion10..H54.1">#REF!</definedName>
    <definedName name="ColumnTitleRegion11..C56.1">#REF!</definedName>
    <definedName name="ColumnTitleRegion12..D56.1">#REF!</definedName>
    <definedName name="ColumnTitleRegion13..H68.1">#REF!</definedName>
    <definedName name="ColumnTitleRegion14..C70.1">#REF!</definedName>
    <definedName name="ColumnTitleRegion15..D70.1">#REF!</definedName>
    <definedName name="ColumnTitleRegion16..H82.1">#REF!</definedName>
    <definedName name="ColumnTitleRegion17..C84.1">#REF!</definedName>
    <definedName name="ColumnTitleRegion18..D84.1">#REF!</definedName>
    <definedName name="ColumnTitleRegion19..H96.1">#REF!</definedName>
    <definedName name="ColumnTitleRegion2..C14.1">#REF!</definedName>
    <definedName name="ColumnTitleRegion20..C98.1">#REF!</definedName>
    <definedName name="ColumnTitleRegion21..D98.1">#REF!</definedName>
    <definedName name="ColumnTitleRegion22..H110.1">#REF!</definedName>
    <definedName name="ColumnTitleRegion23..C112.1">#REF!</definedName>
    <definedName name="ColumnTitleRegion24..D112.1">#REF!</definedName>
    <definedName name="ColumnTitleRegion25..H124.1">#REF!</definedName>
    <definedName name="ColumnTitleRegion26..C126.1">#REF!</definedName>
    <definedName name="ColumnTitleRegion27..D126.1">#REF!</definedName>
    <definedName name="ColumnTitleRegion28..H138.1">#REF!</definedName>
    <definedName name="ColumnTitleRegion29..C140.1">#REF!</definedName>
    <definedName name="ColumnTitleRegion3..D14.1">#REF!</definedName>
    <definedName name="ColumnTitleRegion30..D140.1">#REF!</definedName>
    <definedName name="ColumnTitleRegion31..H152.1">#REF!</definedName>
    <definedName name="ColumnTitleRegion32..C154.1">#REF!</definedName>
    <definedName name="ColumnTitleRegion33..D154.1">#REF!</definedName>
    <definedName name="ColumnTitleRegion34..H166.1">#REF!</definedName>
    <definedName name="ColumnTitleRegion35..C168.1">#REF!</definedName>
    <definedName name="ColumnTitleRegion36..D168.1">#REF!</definedName>
    <definedName name="ColumnTitleRegion4..H26.1">#REF!</definedName>
    <definedName name="ColumnTitleRegion5..C28.1">#REF!</definedName>
    <definedName name="ColumnTitleRegion6..D28.1">#REF!</definedName>
    <definedName name="ColumnTitleRegion7..H40.1">#REF!</definedName>
    <definedName name="ColumnTitleRegion8..C42.1">#REF!</definedName>
    <definedName name="ColumnTitleRegion9..D42.1">#REF!</definedName>
    <definedName name="DíaDeLaSemanaOpción">MATCH(InicioDeSemana,DíasDeLaSemana,0)+10</definedName>
    <definedName name="Días">{0,1,2,3,4,5,6}</definedName>
    <definedName name="DíasDeLaSemana">{"LUNES","MARTES","MIÉRCOLES","JUEVES","VIERNES","SÁBADO","DOMINGO"}</definedName>
    <definedName name="InicioDeSemana">#REF!</definedName>
    <definedName name="Meses">{"Enero","Febrero","Marzo","Abril","Mayo","Junio","Julio","Agosto","Septiembre","Octubre","Noviembre","Diciembre"}</definedName>
    <definedName name="SegmentaciónDeDatos_Activo">#N/A</definedName>
    <definedName name="SegmentaciónDeDatos_Año">#N/A</definedName>
    <definedName name="SegmentaciónDeDatos_BE_Auto">#N/A</definedName>
    <definedName name="SegmentaciónDeDatos_Mes">#N/A</definedName>
    <definedName name="SegmentaciónDeDatos_Semana">#N/A</definedName>
    <definedName name="WeekStartValue">IF(InicioDeSemana="LUNES",2,1)</definedName>
  </definedNames>
  <calcPr calcId="191028"/>
  <pivotCaches>
    <pivotCache cacheId="141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0" l="1"/>
  <c r="A9" i="10" s="1"/>
  <c r="B8" i="10"/>
  <c r="G8" i="10"/>
  <c r="AC8" i="10" s="1"/>
  <c r="Q8" i="10"/>
  <c r="R8" i="10"/>
  <c r="S8" i="10" a="1"/>
  <c r="S8" i="10"/>
  <c r="X8" i="10"/>
  <c r="Y8" i="10"/>
  <c r="Z8" i="10"/>
  <c r="AA8" i="10"/>
  <c r="AB8" i="10"/>
  <c r="AD8" i="10"/>
  <c r="B9" i="10"/>
  <c r="G9" i="10"/>
  <c r="AC9" i="10" s="1"/>
  <c r="Q9" i="10"/>
  <c r="R9" i="10" s="1"/>
  <c r="X9" i="10"/>
  <c r="Y9" i="10"/>
  <c r="Z9" i="10"/>
  <c r="AB9" i="10"/>
  <c r="AA9" i="10" s="1"/>
  <c r="AD9" i="10"/>
  <c r="S9" i="10" l="1" a="1"/>
  <c r="S9" i="10" s="1"/>
  <c r="F8" i="18" l="1"/>
  <c r="N8" i="18" s="1"/>
  <c r="D17" i="15"/>
  <c r="D18" i="15"/>
  <c r="D19" i="15"/>
  <c r="D20" i="15"/>
  <c r="D21" i="15"/>
  <c r="D22" i="15"/>
  <c r="D23" i="15"/>
  <c r="C18" i="15"/>
  <c r="C19" i="15"/>
  <c r="C20" i="15"/>
  <c r="C21" i="15"/>
  <c r="C22" i="15"/>
  <c r="C23" i="15"/>
  <c r="C17" i="15"/>
  <c r="AN9" i="15"/>
  <c r="AN10" i="15"/>
  <c r="AN11" i="15"/>
  <c r="CH6" i="15" l="1"/>
  <c r="CA6" i="15"/>
  <c r="M6" i="15" l="1"/>
  <c r="DJ10" i="15"/>
  <c r="DI10" i="15"/>
  <c r="DD10" i="15"/>
  <c r="DC10" i="15"/>
  <c r="CX10" i="15"/>
  <c r="CW10" i="15"/>
  <c r="CR10" i="15"/>
  <c r="CQ10" i="15"/>
  <c r="CL10" i="15"/>
  <c r="CK10" i="15"/>
  <c r="DP10" i="15"/>
  <c r="DO10" i="15"/>
  <c r="ER10" i="15"/>
  <c r="EJ48" i="15"/>
  <c r="EJ49" i="15"/>
  <c r="EJ50" i="15"/>
  <c r="EJ51" i="15"/>
  <c r="EJ52" i="15"/>
  <c r="EJ53" i="15"/>
  <c r="EJ54" i="15"/>
  <c r="EJ55" i="15"/>
  <c r="EI48" i="15"/>
  <c r="EK48" i="15" s="1"/>
  <c r="EI49" i="15"/>
  <c r="EK49" i="15" s="1"/>
  <c r="EI50" i="15"/>
  <c r="EK50" i="15" s="1"/>
  <c r="EI51" i="15"/>
  <c r="EK51" i="15" s="1"/>
  <c r="EI52" i="15"/>
  <c r="EK52" i="15" s="1"/>
  <c r="EI53" i="15"/>
  <c r="EK53" i="15" s="1"/>
  <c r="EI54" i="15"/>
  <c r="EK54" i="15" s="1"/>
  <c r="EI55" i="15"/>
  <c r="EK55" i="15" s="1"/>
  <c r="EI56" i="15"/>
  <c r="EC56" i="15"/>
  <c r="EB44" i="15"/>
  <c r="ED44" i="15" s="1"/>
  <c r="EB45" i="15"/>
  <c r="EC45" i="15" s="1"/>
  <c r="EE45" i="15" s="1"/>
  <c r="EB46" i="15"/>
  <c r="ED46" i="15" s="1"/>
  <c r="EB47" i="15"/>
  <c r="ED47" i="15" s="1"/>
  <c r="EB48" i="15"/>
  <c r="ED48" i="15" s="1"/>
  <c r="EB49" i="15"/>
  <c r="ED49" i="15" s="1"/>
  <c r="EB50" i="15"/>
  <c r="ED50" i="15" s="1"/>
  <c r="EB51" i="15"/>
  <c r="ED51" i="15" s="1"/>
  <c r="EB52" i="15"/>
  <c r="ED52" i="15" s="1"/>
  <c r="EB53" i="15"/>
  <c r="ED53" i="15" s="1"/>
  <c r="EB54" i="15"/>
  <c r="ED54" i="15" s="1"/>
  <c r="EB55" i="15"/>
  <c r="ED55" i="15" s="1"/>
  <c r="EB30" i="15"/>
  <c r="EC30" i="15" s="1"/>
  <c r="EB31" i="15"/>
  <c r="ED31" i="15" s="1"/>
  <c r="EB32" i="15"/>
  <c r="ED32" i="15" s="1"/>
  <c r="EB33" i="15"/>
  <c r="ED33" i="15" s="1"/>
  <c r="EB34" i="15"/>
  <c r="ED34" i="15" s="1"/>
  <c r="EB35" i="15"/>
  <c r="ED35" i="15" s="1"/>
  <c r="EB36" i="15"/>
  <c r="ED36" i="15" s="1"/>
  <c r="EB37" i="15"/>
  <c r="EC37" i="15" s="1"/>
  <c r="EE37" i="15" s="1"/>
  <c r="EB38" i="15"/>
  <c r="ED38" i="15" s="1"/>
  <c r="EB39" i="15"/>
  <c r="ED39" i="15" s="1"/>
  <c r="EB40" i="15"/>
  <c r="ED40" i="15" s="1"/>
  <c r="EB41" i="15"/>
  <c r="ED41" i="15" s="1"/>
  <c r="EB42" i="15"/>
  <c r="ED42" i="15" s="1"/>
  <c r="EB43" i="15"/>
  <c r="ED43" i="15" s="1"/>
  <c r="FA10" i="15"/>
  <c r="FB10" i="15" s="1"/>
  <c r="FA11" i="15"/>
  <c r="FB11" i="15" s="1"/>
  <c r="FA9" i="15"/>
  <c r="FB9" i="15" s="1"/>
  <c r="AB6" i="15"/>
  <c r="Z6" i="15"/>
  <c r="U10" i="15"/>
  <c r="U9" i="15"/>
  <c r="EC51" i="15" l="1"/>
  <c r="EE51" i="15" s="1"/>
  <c r="ED45" i="15"/>
  <c r="EC44" i="15"/>
  <c r="EE44" i="15" s="1"/>
  <c r="EC52" i="15"/>
  <c r="EE52" i="15" s="1"/>
  <c r="EC43" i="15"/>
  <c r="EE43" i="15" s="1"/>
  <c r="EC36" i="15"/>
  <c r="EE36" i="15" s="1"/>
  <c r="EC35" i="15"/>
  <c r="EE35" i="15" s="1"/>
  <c r="EC53" i="15"/>
  <c r="EE53" i="15" s="1"/>
  <c r="EC50" i="15"/>
  <c r="EE50" i="15" s="1"/>
  <c r="EC42" i="15"/>
  <c r="EE42" i="15" s="1"/>
  <c r="EC34" i="15"/>
  <c r="EE34" i="15" s="1"/>
  <c r="EC49" i="15"/>
  <c r="EE49" i="15" s="1"/>
  <c r="EC41" i="15"/>
  <c r="EE41" i="15" s="1"/>
  <c r="EC33" i="15"/>
  <c r="EE33" i="15" s="1"/>
  <c r="ED37" i="15"/>
  <c r="EC48" i="15"/>
  <c r="EE48" i="15" s="1"/>
  <c r="EC40" i="15"/>
  <c r="EE40" i="15" s="1"/>
  <c r="EC32" i="15"/>
  <c r="EE32" i="15" s="1"/>
  <c r="EC55" i="15"/>
  <c r="EE55" i="15" s="1"/>
  <c r="EC47" i="15"/>
  <c r="EE47" i="15" s="1"/>
  <c r="EC39" i="15"/>
  <c r="EE39" i="15" s="1"/>
  <c r="EC31" i="15"/>
  <c r="EE31" i="15" s="1"/>
  <c r="EC54" i="15"/>
  <c r="EE54" i="15" s="1"/>
  <c r="EC46" i="15"/>
  <c r="EE46" i="15" s="1"/>
  <c r="EC38" i="15"/>
  <c r="EE38" i="15" s="1"/>
  <c r="ES10" i="15"/>
  <c r="BL14" i="15" s="1"/>
  <c r="ED30" i="15"/>
  <c r="EE30" i="15" s="1"/>
  <c r="EZ13" i="15"/>
  <c r="T13" i="15"/>
  <c r="BJ7" i="15"/>
  <c r="BI7" i="15"/>
  <c r="BG7" i="15"/>
  <c r="BJ6" i="15"/>
  <c r="BI6" i="15"/>
  <c r="BG6" i="15"/>
  <c r="BJ5" i="15"/>
  <c r="BI5" i="15"/>
  <c r="BG5" i="15"/>
  <c r="BJ4" i="15"/>
  <c r="BI4" i="15"/>
  <c r="BG4" i="15"/>
  <c r="BJ3" i="15"/>
  <c r="BI3" i="15"/>
  <c r="BG3" i="15"/>
  <c r="BA4" i="15"/>
  <c r="BA5" i="15"/>
  <c r="BA6" i="15"/>
  <c r="BA7" i="15"/>
  <c r="BA3" i="15"/>
  <c r="AZ4" i="15"/>
  <c r="AZ5" i="15"/>
  <c r="AZ6" i="15"/>
  <c r="AZ7" i="15"/>
  <c r="AZ3" i="15"/>
  <c r="AX4" i="15"/>
  <c r="AX5" i="15"/>
  <c r="AX6" i="15"/>
  <c r="AX7" i="15"/>
  <c r="AX3" i="15"/>
  <c r="DV9" i="15"/>
  <c r="DV8" i="15"/>
  <c r="DV7" i="15"/>
  <c r="DV6" i="15"/>
  <c r="DV5" i="15"/>
  <c r="DV4" i="15"/>
  <c r="DT13" i="15"/>
  <c r="DT11" i="15"/>
  <c r="DX9" i="15"/>
  <c r="DX8" i="15"/>
  <c r="DX7" i="15"/>
  <c r="DX6" i="15"/>
  <c r="DX5" i="15"/>
  <c r="DX4" i="15"/>
  <c r="EH47" i="15"/>
  <c r="EH46" i="15"/>
  <c r="EH45" i="15"/>
  <c r="EH44" i="15"/>
  <c r="EH43" i="15"/>
  <c r="EH42" i="15"/>
  <c r="EH41" i="15"/>
  <c r="EH40" i="15"/>
  <c r="EH39" i="15"/>
  <c r="EH38" i="15"/>
  <c r="EH37" i="15"/>
  <c r="EH36" i="15"/>
  <c r="EH35" i="15"/>
  <c r="EH34" i="15"/>
  <c r="EH33" i="15"/>
  <c r="EH32" i="15"/>
  <c r="EH31" i="15"/>
  <c r="EH30" i="15"/>
  <c r="EH29" i="15"/>
  <c r="EH28" i="15"/>
  <c r="EH27" i="15"/>
  <c r="EH26" i="15"/>
  <c r="AK31" i="15"/>
  <c r="AH31" i="15"/>
  <c r="EB27" i="15"/>
  <c r="EB28" i="15"/>
  <c r="EB29" i="15"/>
  <c r="EB26" i="15"/>
  <c r="C8" i="18"/>
  <c r="F6" i="18"/>
  <c r="DW5" i="15" l="1"/>
  <c r="DY5" i="15"/>
  <c r="DW6" i="15"/>
  <c r="DY6" i="15"/>
  <c r="DW7" i="15"/>
  <c r="DY7" i="15"/>
  <c r="DW8" i="15"/>
  <c r="DY8" i="15"/>
  <c r="DW9" i="15"/>
  <c r="DY9" i="15"/>
  <c r="DW4" i="15"/>
  <c r="DY4" i="15"/>
  <c r="G8" i="18"/>
  <c r="EI41" i="15"/>
  <c r="EJ41" i="15"/>
  <c r="EJ42" i="15"/>
  <c r="EI42" i="15"/>
  <c r="EI47" i="15"/>
  <c r="EK47" i="15" s="1"/>
  <c r="EJ47" i="15"/>
  <c r="EI40" i="15"/>
  <c r="EJ40" i="15"/>
  <c r="EJ43" i="15"/>
  <c r="EI43" i="15"/>
  <c r="EJ44" i="15"/>
  <c r="EI44" i="15"/>
  <c r="EJ45" i="15"/>
  <c r="EI45" i="15"/>
  <c r="EI39" i="15"/>
  <c r="EJ39" i="15"/>
  <c r="EJ38" i="15"/>
  <c r="EI38" i="15"/>
  <c r="EJ46" i="15"/>
  <c r="EI46" i="15"/>
  <c r="EC28" i="15"/>
  <c r="ED28" i="15"/>
  <c r="EC27" i="15"/>
  <c r="ED27" i="15"/>
  <c r="ED26" i="15"/>
  <c r="EC26" i="15"/>
  <c r="EC29" i="15"/>
  <c r="ED29" i="15"/>
  <c r="EI33" i="15"/>
  <c r="EJ33" i="15"/>
  <c r="EJ26" i="15"/>
  <c r="EI26" i="15"/>
  <c r="EJ27" i="15"/>
  <c r="EI27" i="15"/>
  <c r="EI28" i="15"/>
  <c r="EJ28" i="15"/>
  <c r="EJ35" i="15"/>
  <c r="EI35" i="15"/>
  <c r="EI32" i="15"/>
  <c r="EJ32" i="15"/>
  <c r="EI29" i="15"/>
  <c r="EJ29" i="15"/>
  <c r="EI34" i="15"/>
  <c r="EJ34" i="15"/>
  <c r="EI36" i="15"/>
  <c r="EJ36" i="15"/>
  <c r="EI30" i="15"/>
  <c r="EJ30" i="15"/>
  <c r="EI31" i="15"/>
  <c r="EJ31" i="15"/>
  <c r="EI37" i="15"/>
  <c r="EJ37" i="15"/>
  <c r="AG33" i="15"/>
  <c r="AG35" i="15" s="1"/>
  <c r="F11" i="18"/>
  <c r="F10" i="18"/>
  <c r="F9" i="18"/>
  <c r="J6" i="15"/>
  <c r="G9" i="18" l="1"/>
  <c r="G11" i="18"/>
  <c r="G10" i="18"/>
  <c r="H8" i="18"/>
  <c r="EK41" i="15"/>
  <c r="EK40" i="15"/>
  <c r="EK46" i="15"/>
  <c r="EK44" i="15"/>
  <c r="EK42" i="15"/>
  <c r="EK45" i="15"/>
  <c r="EK39" i="15"/>
  <c r="EE27" i="15"/>
  <c r="EK38" i="15"/>
  <c r="EK43" i="15"/>
  <c r="EK30" i="15"/>
  <c r="EK27" i="15"/>
  <c r="EK35" i="15"/>
  <c r="EK37" i="15"/>
  <c r="EK34" i="15"/>
  <c r="EE29" i="15"/>
  <c r="EE26" i="15"/>
  <c r="EK36" i="15"/>
  <c r="EE28" i="15"/>
  <c r="EK32" i="15"/>
  <c r="EK33" i="15"/>
  <c r="EK28" i="15"/>
  <c r="EK31" i="15"/>
  <c r="EK29" i="15"/>
  <c r="EK26" i="15"/>
  <c r="H6" i="15"/>
  <c r="H9" i="18" l="1"/>
  <c r="H10" i="18"/>
  <c r="H11" i="18"/>
  <c r="I8" i="18"/>
  <c r="EB57" i="15"/>
  <c r="EC57" i="15" s="1"/>
  <c r="EH57" i="15"/>
  <c r="EI57" i="15" s="1"/>
  <c r="I10" i="18" l="1"/>
  <c r="I9" i="18"/>
  <c r="I11" i="18"/>
  <c r="J8" i="18"/>
  <c r="BL10" i="15"/>
  <c r="BL11" i="15"/>
  <c r="J10" i="18" l="1"/>
  <c r="J9" i="18"/>
  <c r="J11" i="18"/>
  <c r="K8" i="18"/>
  <c r="U2" i="13"/>
  <c r="U6" i="13" s="1"/>
  <c r="D22" i="12"/>
  <c r="R2" i="13"/>
  <c r="R3" i="13"/>
  <c r="R4" i="13"/>
  <c r="R5" i="13"/>
  <c r="R6" i="13"/>
  <c r="R7" i="13"/>
  <c r="AK29" i="15"/>
  <c r="AJ29" i="15"/>
  <c r="AK28" i="15"/>
  <c r="AJ28" i="15"/>
  <c r="AK27" i="15"/>
  <c r="AJ27" i="15"/>
  <c r="AK26" i="15"/>
  <c r="AJ26" i="15"/>
  <c r="AK25" i="15"/>
  <c r="AJ25" i="15"/>
  <c r="AG26" i="15"/>
  <c r="AG27" i="15"/>
  <c r="AG28" i="15"/>
  <c r="AG29" i="15"/>
  <c r="AG25" i="15"/>
  <c r="AH25" i="15"/>
  <c r="AH26" i="15"/>
  <c r="AH27" i="15"/>
  <c r="AH28" i="15"/>
  <c r="AH29" i="15"/>
  <c r="CG6" i="15"/>
  <c r="BZ6" i="15"/>
  <c r="CF6" i="15"/>
  <c r="CE6" i="15"/>
  <c r="BY6" i="15"/>
  <c r="BX6" i="15"/>
  <c r="CD6" i="15"/>
  <c r="CC6" i="15"/>
  <c r="BW6" i="15"/>
  <c r="BV6" i="15"/>
  <c r="BT8" i="15"/>
  <c r="BS8" i="15"/>
  <c r="BQ8" i="15"/>
  <c r="BP8" i="15"/>
  <c r="AQ9" i="15"/>
  <c r="AR9" i="15" s="1"/>
  <c r="O2" i="13"/>
  <c r="O1" i="13"/>
  <c r="K2" i="13"/>
  <c r="U4" i="13" s="1"/>
  <c r="K11" i="18" l="1"/>
  <c r="K10" i="18"/>
  <c r="K9" i="18"/>
  <c r="L8" i="18"/>
  <c r="BL5" i="15"/>
  <c r="BL4" i="15"/>
  <c r="BL3" i="15"/>
  <c r="BL2" i="15"/>
  <c r="BH4" i="15"/>
  <c r="AY6" i="15"/>
  <c r="BH6" i="15"/>
  <c r="BH5" i="15"/>
  <c r="AY3" i="15"/>
  <c r="AY7" i="15"/>
  <c r="BH7" i="15"/>
  <c r="AY4" i="15"/>
  <c r="AY5" i="15"/>
  <c r="BH3" i="15"/>
  <c r="K5" i="10"/>
  <c r="DU7" i="15"/>
  <c r="H5" i="10"/>
  <c r="DU4" i="15"/>
  <c r="S3" i="13"/>
  <c r="I6" i="10" s="1"/>
  <c r="DU5" i="15"/>
  <c r="M5" i="10"/>
  <c r="DU9" i="15"/>
  <c r="L5" i="10"/>
  <c r="DU8" i="15"/>
  <c r="J5" i="10"/>
  <c r="DU6" i="15"/>
  <c r="S2" i="13"/>
  <c r="H6" i="10" s="1"/>
  <c r="I5" i="10"/>
  <c r="S4" i="13"/>
  <c r="J6" i="10" s="1"/>
  <c r="X3" i="13"/>
  <c r="X2" i="13"/>
  <c r="L2" i="13"/>
  <c r="W2" i="13"/>
  <c r="W3" i="13"/>
  <c r="S5" i="13"/>
  <c r="K6" i="10" s="1"/>
  <c r="S6" i="13"/>
  <c r="L6" i="10" s="1"/>
  <c r="S7" i="13"/>
  <c r="M6" i="10" s="1"/>
  <c r="AB8" i="15"/>
  <c r="Z8" i="15"/>
  <c r="U13" i="15"/>
  <c r="N9" i="10" l="1"/>
  <c r="N8" i="10"/>
  <c r="L11" i="18"/>
  <c r="L10" i="18"/>
  <c r="L9" i="18"/>
  <c r="F12" i="18"/>
  <c r="N12" i="18" s="1"/>
  <c r="DU12" i="15"/>
  <c r="DV12" i="15" s="1"/>
  <c r="DU14" i="15"/>
  <c r="M2" i="13"/>
  <c r="N6" i="10"/>
  <c r="F15" i="18" l="1"/>
  <c r="F14" i="18"/>
  <c r="F13" i="18"/>
  <c r="G12" i="18"/>
  <c r="BL9" i="15"/>
  <c r="DW12" i="15"/>
  <c r="BL6" i="15" s="1"/>
  <c r="BL8" i="15"/>
  <c r="DW14" i="15"/>
  <c r="DV14" i="15"/>
  <c r="H12" i="18" l="1"/>
  <c r="G15" i="18"/>
  <c r="G14" i="18"/>
  <c r="G13" i="18"/>
  <c r="BL13" i="15"/>
  <c r="BL7" i="15"/>
  <c r="BL12" i="15"/>
  <c r="I12" i="18" l="1"/>
  <c r="H15" i="18"/>
  <c r="H14" i="18"/>
  <c r="H13" i="18"/>
  <c r="I13" i="18" l="1"/>
  <c r="I15" i="18"/>
  <c r="I14" i="18"/>
  <c r="J12" i="18"/>
  <c r="J15" i="18" l="1"/>
  <c r="J13" i="18"/>
  <c r="J14" i="18"/>
  <c r="K12" i="18"/>
  <c r="L12" i="18" l="1"/>
  <c r="K14" i="18"/>
  <c r="K15" i="18"/>
  <c r="K13" i="18"/>
  <c r="L14" i="18" l="1"/>
  <c r="F16" i="18"/>
  <c r="N16" i="18" s="1"/>
  <c r="L13" i="18"/>
  <c r="L15" i="18"/>
  <c r="F19" i="18" l="1"/>
  <c r="G16" i="18"/>
  <c r="F17" i="18"/>
  <c r="F18" i="18"/>
  <c r="H16" i="18" l="1"/>
  <c r="G17" i="18"/>
  <c r="G19" i="18"/>
  <c r="G18" i="18"/>
  <c r="H17" i="18" l="1"/>
  <c r="I16" i="18"/>
  <c r="H19" i="18"/>
  <c r="H18" i="18"/>
  <c r="I18" i="18" l="1"/>
  <c r="I17" i="18"/>
  <c r="J16" i="18"/>
  <c r="I19" i="18"/>
  <c r="J19" i="18" l="1"/>
  <c r="J17" i="18"/>
  <c r="K16" i="18"/>
  <c r="J18" i="18"/>
  <c r="K19" i="18" l="1"/>
  <c r="K17" i="18"/>
  <c r="L16" i="18"/>
  <c r="K18" i="18"/>
  <c r="L17" i="18" l="1"/>
  <c r="F20" i="18"/>
  <c r="N20" i="18" s="1"/>
  <c r="L18" i="18"/>
  <c r="L19" i="18"/>
  <c r="G20" i="18" l="1"/>
  <c r="F23" i="18"/>
  <c r="F22" i="18"/>
  <c r="F21" i="18"/>
  <c r="G22" i="18" l="1"/>
  <c r="H20" i="18"/>
  <c r="G23" i="18"/>
  <c r="G21" i="18"/>
  <c r="H21" i="18" l="1"/>
  <c r="H22" i="18"/>
  <c r="I20" i="18"/>
  <c r="H23" i="18"/>
  <c r="J20" i="18" l="1"/>
  <c r="I21" i="18"/>
  <c r="I22" i="18"/>
  <c r="I23" i="18"/>
  <c r="J22" i="18" l="1"/>
  <c r="K20" i="18"/>
  <c r="J21" i="18"/>
  <c r="J23" i="18"/>
  <c r="K22" i="18" l="1"/>
  <c r="K21" i="18"/>
  <c r="L20" i="18"/>
  <c r="K23" i="18"/>
  <c r="L21" i="18" l="1"/>
  <c r="F24" i="18"/>
  <c r="N24" i="18" s="1"/>
  <c r="L23" i="18"/>
  <c r="L22" i="18"/>
  <c r="G24" i="18" l="1"/>
  <c r="F25" i="18"/>
  <c r="F27" i="18"/>
  <c r="F26" i="18"/>
  <c r="H24" i="18" l="1"/>
  <c r="G25" i="18"/>
  <c r="G27" i="18"/>
  <c r="G26" i="18"/>
  <c r="H25" i="18" l="1"/>
  <c r="H26" i="18"/>
  <c r="I24" i="18"/>
  <c r="H27" i="18"/>
  <c r="J24" i="18" l="1"/>
  <c r="I26" i="18"/>
  <c r="I25" i="18"/>
  <c r="I27" i="18"/>
  <c r="J25" i="18" l="1"/>
  <c r="J27" i="18"/>
  <c r="K24" i="18"/>
  <c r="J26" i="18"/>
  <c r="K25" i="18" l="1"/>
  <c r="K27" i="18"/>
  <c r="L24" i="18"/>
  <c r="K26" i="18"/>
  <c r="AN12" i="15"/>
  <c r="AO10" i="15" s="1"/>
  <c r="L25" i="18" l="1"/>
  <c r="F28" i="18"/>
  <c r="N28" i="18" s="1"/>
  <c r="L27" i="18"/>
  <c r="L26" i="18"/>
  <c r="AO9" i="15"/>
  <c r="AO11" i="15"/>
  <c r="F30" i="18" l="1"/>
  <c r="F31" i="18"/>
  <c r="F29" i="18"/>
  <c r="G28" i="18"/>
  <c r="N29" i="18"/>
  <c r="N10" i="18"/>
  <c r="N11" i="18"/>
  <c r="N9" i="18"/>
  <c r="N27" i="18"/>
  <c r="N26" i="18"/>
  <c r="N25" i="18"/>
  <c r="N15" i="18"/>
  <c r="N14" i="18"/>
  <c r="N13" i="18"/>
  <c r="N18" i="18"/>
  <c r="N17" i="18"/>
  <c r="N19" i="18"/>
  <c r="N23" i="18"/>
  <c r="N22" i="18"/>
  <c r="N21" i="18"/>
  <c r="N30" i="18" l="1"/>
  <c r="N31" i="18"/>
  <c r="G29" i="18"/>
  <c r="G30" i="18"/>
  <c r="H28" i="18"/>
  <c r="G31" i="18"/>
  <c r="I28" i="18" l="1"/>
  <c r="H30" i="18"/>
  <c r="H31" i="18"/>
  <c r="H29" i="18"/>
  <c r="J28" i="18" l="1"/>
  <c r="I31" i="18"/>
  <c r="I29" i="18"/>
  <c r="I30" i="18"/>
  <c r="J30" i="18" l="1"/>
  <c r="J31" i="18"/>
  <c r="K28" i="18"/>
  <c r="J29" i="18"/>
  <c r="K30" i="18" l="1"/>
  <c r="L28" i="18"/>
  <c r="K29" i="18"/>
  <c r="K31" i="18"/>
  <c r="L30" i="18" l="1"/>
  <c r="L29" i="18"/>
  <c r="L31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Urdaneta</author>
  </authors>
  <commentList>
    <comment ref="B10" authorId="0" shapeId="0" xr:uid="{8930BC42-73DB-4253-801B-046296C93671}">
      <text>
        <r>
          <rPr>
            <b/>
            <sz val="6"/>
            <color indexed="81"/>
            <rFont val="Verdana"/>
            <family val="2"/>
          </rPr>
          <t>Selecciona de la lista desplegable la propfirm en la que adquiriste tu prueba</t>
        </r>
      </text>
    </comment>
    <comment ref="B11" authorId="0" shapeId="0" xr:uid="{E0081C82-BC45-462E-850D-FC494BE42506}">
      <text>
        <r>
          <rPr>
            <b/>
            <sz val="6"/>
            <color indexed="81"/>
            <rFont val="Verdana"/>
            <family val="2"/>
          </rPr>
          <t>Ingresa el monto de tu cuenta</t>
        </r>
      </text>
    </comment>
    <comment ref="B12" authorId="0" shapeId="0" xr:uid="{4EC8B723-6544-4525-844F-50474E7E68F1}">
      <text>
        <r>
          <rPr>
            <b/>
            <sz val="6"/>
            <color indexed="81"/>
            <rFont val="Verdana"/>
            <family val="2"/>
          </rPr>
          <t>Selecciona la etapa en la que te encuentras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Urdaneta</author>
  </authors>
  <commentList>
    <comment ref="B7" authorId="0" shapeId="0" xr:uid="{B834A1B0-95D2-4D14-93DF-9AF9EDF7FE7A}">
      <text>
        <r>
          <rPr>
            <b/>
            <sz val="8"/>
            <color indexed="81"/>
            <rFont val="Verdana"/>
            <family val="2"/>
          </rPr>
          <t>El numero de semana se calcula automaticamente</t>
        </r>
      </text>
    </comment>
    <comment ref="C7" authorId="0" shapeId="0" xr:uid="{665B1C45-68FE-4811-AA80-F3B0A3DFA725}">
      <text>
        <r>
          <rPr>
            <b/>
            <sz val="8"/>
            <color indexed="81"/>
            <rFont val="Verdana"/>
            <family val="2"/>
          </rPr>
          <t>Ingresa la fecha de apertura de la operacion</t>
        </r>
      </text>
    </comment>
    <comment ref="D7" authorId="0" shapeId="0" xr:uid="{69EC249F-293D-43F9-A81C-986139200D3D}">
      <text>
        <r>
          <rPr>
            <b/>
            <sz val="8"/>
            <color indexed="81"/>
            <rFont val="Verdana"/>
            <family val="2"/>
          </rPr>
          <t>Ingresa el par o activo utilizado</t>
        </r>
      </text>
    </comment>
    <comment ref="E7" authorId="0" shapeId="0" xr:uid="{388707F7-287D-487E-9D26-B66D6D5E2269}">
      <text>
        <r>
          <rPr>
            <b/>
            <sz val="8"/>
            <color indexed="81"/>
            <rFont val="Verdana"/>
            <family val="2"/>
          </rPr>
          <t>Hora en la que se abrio la operacion</t>
        </r>
      </text>
    </comment>
    <comment ref="F7" authorId="0" shapeId="0" xr:uid="{648B08E5-7B4C-4C3B-A2B2-D5C8867B2533}">
      <text>
        <r>
          <rPr>
            <b/>
            <sz val="8"/>
            <color indexed="81"/>
            <rFont val="Verdana"/>
            <family val="2"/>
          </rPr>
          <t>Hora en la que se cerro la operacion</t>
        </r>
      </text>
    </comment>
    <comment ref="N7" authorId="0" shapeId="0" xr:uid="{C516BAB5-58EB-4DFD-A7EF-13D2B470547D}">
      <text>
        <r>
          <rPr>
            <b/>
            <sz val="9"/>
            <color indexed="81"/>
            <rFont val="Tahoma"/>
            <family val="2"/>
          </rPr>
          <t>Porcentaje de CUMPLIMIENTO CON LA ESTRATEGIA (NO INDICA PROBABILIDAD DE ACIERTO)</t>
        </r>
      </text>
    </comment>
    <comment ref="P7" authorId="0" shapeId="0" xr:uid="{AEDC9A62-1E44-4D77-A9F6-1DF3FA9BC5D2}">
      <text>
        <r>
          <rPr>
            <b/>
            <sz val="9"/>
            <color indexed="81"/>
            <rFont val="Tahoma"/>
            <family val="2"/>
          </rPr>
          <t>Ganada (TP), Perdida (SL), Breakeven (BE)</t>
        </r>
      </text>
    </comment>
    <comment ref="Q7" authorId="0" shapeId="0" xr:uid="{9F11A5D1-9CF9-4F5C-A179-A657116FE2B0}">
      <text>
        <r>
          <rPr>
            <b/>
            <sz val="9"/>
            <color indexed="81"/>
            <rFont val="Tahoma"/>
            <family val="2"/>
          </rPr>
          <t>Resultado de la operación en Porcentaje</t>
        </r>
      </text>
    </comment>
    <comment ref="T7" authorId="0" shapeId="0" xr:uid="{2A4ACECF-B052-4D85-8EDB-B9A5448C99FC}">
      <text>
        <r>
          <rPr>
            <b/>
            <sz val="9"/>
            <color indexed="81"/>
            <rFont val="Tahoma"/>
            <family val="2"/>
          </rPr>
          <t>En caso de existir, denomine brevemente alguna falla en la interpretacion de la grafica (Ejemplo: HABIA LIQUIDEZ, NO VI EL FVG)</t>
        </r>
      </text>
    </comment>
    <comment ref="U7" authorId="0" shapeId="0" xr:uid="{75BBFA63-B5F2-4AF3-A403-664813FED61A}">
      <text>
        <r>
          <rPr>
            <b/>
            <sz val="9"/>
            <color indexed="81"/>
            <rFont val="Tahoma"/>
            <family val="2"/>
          </rPr>
          <t>En caso de existir, denomine brevemente cualquier falla emocional durante la operación (Ejemplo: ANSIEDAD, FOMO, MIEDO A PERDER)</t>
        </r>
      </text>
    </comment>
    <comment ref="V7" authorId="0" shapeId="0" xr:uid="{72E5108E-CE56-40F2-99C1-D540BB0F2E11}">
      <text>
        <r>
          <rPr>
            <b/>
            <sz val="9"/>
            <color indexed="81"/>
            <rFont val="Tahoma"/>
            <family val="2"/>
          </rPr>
          <t>Aquí puede describir detalles de la operación que no haya podido plasmar en los campos anteriores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<sst xmlns="http://schemas.openxmlformats.org/spreadsheetml/2006/main" count="360" uniqueCount="157">
  <si>
    <t>BE</t>
  </si>
  <si>
    <t>%</t>
  </si>
  <si>
    <t>SI</t>
  </si>
  <si>
    <t>NO</t>
  </si>
  <si>
    <t>Etiquetas de fila</t>
  </si>
  <si>
    <t>Tu nombre:</t>
  </si>
  <si>
    <t>Empresa de Fondeo:</t>
  </si>
  <si>
    <t>Tamaño de Cuenta:</t>
  </si>
  <si>
    <t>Real o Demo:</t>
  </si>
  <si>
    <t>Funded Next</t>
  </si>
  <si>
    <t>Demo</t>
  </si>
  <si>
    <t>Empresa de Fondeo</t>
  </si>
  <si>
    <t>Funding Pips</t>
  </si>
  <si>
    <t>FTMO</t>
  </si>
  <si>
    <t>The5ers</t>
  </si>
  <si>
    <t>Tamaño de la cuenta</t>
  </si>
  <si>
    <t>Tipo de Cuenta</t>
  </si>
  <si>
    <t>Real</t>
  </si>
  <si>
    <t>Capital Propio</t>
  </si>
  <si>
    <t>Prueba (Fase 1)</t>
  </si>
  <si>
    <t>Prueba (Fase 2)</t>
  </si>
  <si>
    <t>Otra</t>
  </si>
  <si>
    <t>Otro</t>
  </si>
  <si>
    <t>Columna1</t>
  </si>
  <si>
    <t>Criterios de Entrada</t>
  </si>
  <si>
    <t>lunes</t>
  </si>
  <si>
    <t>TP</t>
  </si>
  <si>
    <t>SL</t>
  </si>
  <si>
    <t>TP,SL o BE</t>
  </si>
  <si>
    <t>Balance Actual</t>
  </si>
  <si>
    <t>Semana</t>
  </si>
  <si>
    <t>Fecha</t>
  </si>
  <si>
    <t>Par</t>
  </si>
  <si>
    <t>Hora de Entrada</t>
  </si>
  <si>
    <t>Hora de Salida</t>
  </si>
  <si>
    <t>Duracion</t>
  </si>
  <si>
    <t>Falla Tecnica</t>
  </si>
  <si>
    <t>Falla Emocional</t>
  </si>
  <si>
    <t>Observaciones</t>
  </si>
  <si>
    <t>Anexo</t>
  </si>
  <si>
    <t>Cumplimiento</t>
  </si>
  <si>
    <t>1F7A8C</t>
  </si>
  <si>
    <t>AAADC4</t>
  </si>
  <si>
    <t>D6EEFF</t>
  </si>
  <si>
    <t>Criterio 1</t>
  </si>
  <si>
    <t>Criterio 2</t>
  </si>
  <si>
    <t>Criterio 3</t>
  </si>
  <si>
    <t>Criterio 4</t>
  </si>
  <si>
    <t>Criterio 5</t>
  </si>
  <si>
    <t>Criterio 6</t>
  </si>
  <si>
    <t>#</t>
  </si>
  <si>
    <t>Resultado ($)</t>
  </si>
  <si>
    <t>DD</t>
  </si>
  <si>
    <t>ACUM</t>
  </si>
  <si>
    <t>Tamaño de Cuenta</t>
  </si>
  <si>
    <t>Rentabilidad</t>
  </si>
  <si>
    <t>LMMJV</t>
  </si>
  <si>
    <t>martes</t>
  </si>
  <si>
    <t>miércoles</t>
  </si>
  <si>
    <t>jueves</t>
  </si>
  <si>
    <t>viernes</t>
  </si>
  <si>
    <t>Ops Realizadas</t>
  </si>
  <si>
    <t>Resultado medio</t>
  </si>
  <si>
    <t>Prom %</t>
  </si>
  <si>
    <t>Prom ($)</t>
  </si>
  <si>
    <t>Promedio de Duracion</t>
  </si>
  <si>
    <t>Duracion Prom por Op</t>
  </si>
  <si>
    <t>Año</t>
  </si>
  <si>
    <t>Tipo Op</t>
  </si>
  <si>
    <t>Monto</t>
  </si>
  <si>
    <t>Factor</t>
  </si>
  <si>
    <t>Máx. de ACUM</t>
  </si>
  <si>
    <t>Mín. de ACUM</t>
  </si>
  <si>
    <t>MAX</t>
  </si>
  <si>
    <t>MIN</t>
  </si>
  <si>
    <t>(en blanco)</t>
  </si>
  <si>
    <t>Cuenta de Falla Emocional</t>
  </si>
  <si>
    <t>Cuenta de Falla Tecnica</t>
  </si>
  <si>
    <t xml:space="preserve"> </t>
  </si>
  <si>
    <t>Resultado</t>
  </si>
  <si>
    <t>Cantidad</t>
  </si>
  <si>
    <t>% de Cumplimiento</t>
  </si>
  <si>
    <t>1-</t>
  </si>
  <si>
    <t>($)</t>
  </si>
  <si>
    <t>Cump</t>
  </si>
  <si>
    <t>$</t>
  </si>
  <si>
    <t>Week</t>
  </si>
  <si>
    <t>FT</t>
  </si>
  <si>
    <t>FE</t>
  </si>
  <si>
    <t>cum</t>
  </si>
  <si>
    <t>Suma de Resultado ($)</t>
  </si>
  <si>
    <t>Criterio</t>
  </si>
  <si>
    <t>Criterios</t>
  </si>
  <si>
    <t>Descripcion</t>
  </si>
  <si>
    <t>Win R</t>
  </si>
  <si>
    <t>Falla</t>
  </si>
  <si>
    <t>Total</t>
  </si>
  <si>
    <t>Mes</t>
  </si>
  <si>
    <t>Cuenta</t>
  </si>
  <si>
    <t>Cuenta FE</t>
  </si>
  <si>
    <t>Cuenta FT</t>
  </si>
  <si>
    <t>Valor</t>
  </si>
  <si>
    <t>Automatico</t>
  </si>
  <si>
    <t>Ingrese valor +/- para calculo de valor de BE ($)</t>
  </si>
  <si>
    <t>BE Auto</t>
  </si>
  <si>
    <t>Rel</t>
  </si>
  <si>
    <t>+</t>
  </si>
  <si>
    <t>-</t>
  </si>
  <si>
    <t>Manual</t>
  </si>
  <si>
    <t>Seleccione si va a utilizar el calculo de BE Automatico</t>
  </si>
  <si>
    <t>AUXILIAR BE</t>
  </si>
  <si>
    <t>Suma de ACUM</t>
  </si>
  <si>
    <t>SL Prom $</t>
  </si>
  <si>
    <t>Mín. de DD</t>
  </si>
  <si>
    <t>Scalper</t>
  </si>
  <si>
    <t>Intraday</t>
  </si>
  <si>
    <t>TIPO DE TRADE</t>
  </si>
  <si>
    <t>Tipo</t>
  </si>
  <si>
    <t>LUNES</t>
  </si>
  <si>
    <t>MARTES</t>
  </si>
  <si>
    <t>JUEVES</t>
  </si>
  <si>
    <t>VIERNES</t>
  </si>
  <si>
    <t>DOMINGO</t>
  </si>
  <si>
    <t>MIÉRCOLES</t>
  </si>
  <si>
    <t>SÁBADO</t>
  </si>
  <si>
    <t>SEMANA</t>
  </si>
  <si>
    <t>Fallas</t>
  </si>
  <si>
    <t>Tot</t>
  </si>
  <si>
    <t>s/N</t>
  </si>
  <si>
    <t>Cta</t>
  </si>
  <si>
    <t>S/N</t>
  </si>
  <si>
    <t>Uso</t>
  </si>
  <si>
    <t>% Uso</t>
  </si>
  <si>
    <t>Suma de %</t>
  </si>
  <si>
    <t>diasem</t>
  </si>
  <si>
    <t>SL Prom %</t>
  </si>
  <si>
    <t>Swing Trader</t>
  </si>
  <si>
    <t>Escriba los activos a utilizar (MAX 10)</t>
  </si>
  <si>
    <t>Activo</t>
  </si>
  <si>
    <t>Cuenta de Activo</t>
  </si>
  <si>
    <t xml:space="preserve"> Par</t>
  </si>
  <si>
    <t>001</t>
  </si>
  <si>
    <t>EURUSD</t>
  </si>
  <si>
    <t>GBPUSD</t>
  </si>
  <si>
    <t>Deslizamiento</t>
  </si>
  <si>
    <t>2025</t>
  </si>
  <si>
    <t>002</t>
  </si>
  <si>
    <t>feb</t>
  </si>
  <si>
    <t>domingo</t>
  </si>
  <si>
    <t>sábado</t>
  </si>
  <si>
    <t>Correcciones</t>
  </si>
  <si>
    <t>Pendiente</t>
  </si>
  <si>
    <t>Cambiar inicio de semana en calendario</t>
  </si>
  <si>
    <t>HE</t>
  </si>
  <si>
    <t>correccion de errores:
- se corrigio inicio de semana a domingo
- se agrego sabado y domingo a grafica de rendimiento por dia 
- se corrigio falta de visualizacion de explicacion BE en hoja cuenta
- inicio de semana cambiado a domingo en hoja calendario</t>
  </si>
  <si>
    <t>se agrego columna con horas de entrada agrupadas para evitar errores de filtro automatico
agregue tambien orden en tabla dinamica para usar meses en lugar de fecha, hice pruebas y quedo bien</t>
  </si>
  <si>
    <t>no se pueden borrar las primeras 2 filas porque se perderian las formulas, debo investigar para bien sea usar base de datos o asginar formulas a columnas especificas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</si>
</sst>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[$$-540A]#,##0"/>
    <numFmt numFmtId="165" formatCode="dd/mm/yy;@"/>
    <numFmt numFmtId="166" formatCode="[h]:mm"/>
    <numFmt numFmtId="167" formatCode="dd"/>
    <numFmt numFmtId="168" formatCode="\+\$#,##0;\-\$#,##0"/>
    <numFmt numFmtId="169" formatCode="[$$-540A]#,##0.00"/>
    <numFmt numFmtId="170" formatCode="dd\-mmm"/>
  </numFmts>
  <fonts count="4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Rockwell"/>
      <family val="1"/>
    </font>
    <font>
      <sz val="11"/>
      <color theme="1"/>
      <name val="Verdana"/>
      <family val="2"/>
    </font>
    <font>
      <sz val="9"/>
      <color rgb="FF444054"/>
      <name val="Verdana"/>
      <family val="2"/>
    </font>
    <font>
      <b/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8"/>
      <color rgb="FF444054"/>
      <name val="Verdana"/>
      <family val="2"/>
    </font>
    <font>
      <b/>
      <sz val="9"/>
      <color rgb="FF444054"/>
      <name val="Verdana"/>
      <family val="2"/>
    </font>
    <font>
      <sz val="10"/>
      <color theme="1"/>
      <name val="Verdana"/>
      <family val="2"/>
    </font>
    <font>
      <sz val="9"/>
      <color theme="1"/>
      <name val="Verdana"/>
      <family val="2"/>
    </font>
    <font>
      <sz val="8"/>
      <color rgb="FF444054"/>
      <name val="Verdana"/>
      <family val="2"/>
    </font>
    <font>
      <sz val="24"/>
      <color theme="1"/>
      <name val="Verdana"/>
      <family val="2"/>
    </font>
    <font>
      <b/>
      <sz val="12"/>
      <color theme="1"/>
      <name val="Verdana"/>
      <family val="2"/>
    </font>
    <font>
      <b/>
      <sz val="14"/>
      <color theme="1"/>
      <name val="Verdana"/>
      <family val="2"/>
    </font>
    <font>
      <b/>
      <sz val="9"/>
      <color theme="0"/>
      <name val="Verdana"/>
      <family val="2"/>
    </font>
    <font>
      <sz val="9"/>
      <color theme="0"/>
      <name val="Verdana"/>
      <family val="2"/>
    </font>
    <font>
      <b/>
      <sz val="8"/>
      <color indexed="81"/>
      <name val="Verdana"/>
      <family val="2"/>
    </font>
    <font>
      <b/>
      <sz val="6"/>
      <color indexed="81"/>
      <name val="Verdana"/>
      <family val="2"/>
    </font>
    <font>
      <b/>
      <sz val="9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Verdana"/>
      <family val="2"/>
    </font>
    <font>
      <b/>
      <sz val="11"/>
      <color rgb="FF444054"/>
      <name val="Calibri"/>
      <family val="2"/>
      <scheme val="minor"/>
    </font>
    <font>
      <sz val="11"/>
      <color rgb="FFD6EEFF"/>
      <name val="Calibri"/>
      <family val="2"/>
      <scheme val="minor"/>
    </font>
    <font>
      <b/>
      <sz val="10"/>
      <color rgb="FF444054"/>
      <name val="Verdana"/>
      <family val="2"/>
    </font>
    <font>
      <sz val="11"/>
      <name val="Calibri"/>
      <family val="2"/>
      <scheme val="minor"/>
    </font>
    <font>
      <b/>
      <sz val="28"/>
      <color theme="0"/>
      <name val="Calibri Light"/>
      <family val="2"/>
      <scheme val="major"/>
    </font>
    <font>
      <sz val="36"/>
      <color theme="4" tint="-0.2499465926084170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6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Verdana"/>
      <family val="2"/>
    </font>
    <font>
      <b/>
      <sz val="12"/>
      <color theme="0"/>
      <name val="Verdana"/>
      <family val="2"/>
    </font>
    <font>
      <b/>
      <sz val="12"/>
      <color rgb="FF444054"/>
      <name val="Verdana"/>
      <family val="2"/>
    </font>
    <font>
      <sz val="11"/>
      <color rgb="FFD6EEFF"/>
      <name val="Verdana"/>
      <family val="2"/>
    </font>
    <font>
      <b/>
      <sz val="20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1F7A8C"/>
        <bgColor indexed="64"/>
      </patternFill>
    </fill>
    <fill>
      <patternFill patternType="solid">
        <fgColor rgb="FF444054"/>
        <bgColor indexed="64"/>
      </patternFill>
    </fill>
    <fill>
      <patternFill patternType="solid">
        <fgColor rgb="FFAAADC4"/>
        <bgColor indexed="64"/>
      </patternFill>
    </fill>
    <fill>
      <patternFill patternType="solid">
        <fgColor rgb="FFD6EEFF"/>
        <bgColor indexed="64"/>
      </patternFill>
    </fill>
    <fill>
      <patternFill patternType="solid">
        <fgColor rgb="FFFFFFCC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DCFDD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rgb="FF1F7A8C"/>
      </left>
      <right style="thin">
        <color rgb="FF1F7A8C"/>
      </right>
      <top style="thin">
        <color rgb="FF1F7A8C"/>
      </top>
      <bottom style="thin">
        <color rgb="FF1F7A8C"/>
      </bottom>
      <diagonal/>
    </border>
    <border>
      <left style="thin">
        <color rgb="FF1F7A8C"/>
      </left>
      <right style="thin">
        <color rgb="FF1F7A8C"/>
      </right>
      <top style="thin">
        <color rgb="FF1F7A8C"/>
      </top>
      <bottom/>
      <diagonal/>
    </border>
    <border>
      <left style="thin">
        <color rgb="FF1F7A8C"/>
      </left>
      <right style="thin">
        <color rgb="FF1F7A8C"/>
      </right>
      <top/>
      <bottom style="thin">
        <color rgb="FF1F7A8C"/>
      </bottom>
      <diagonal/>
    </border>
    <border>
      <left style="thin">
        <color rgb="FF1F7A8C"/>
      </left>
      <right style="thin">
        <color rgb="FF1F7A8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9" fontId="24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30" fillId="0" borderId="0" applyFill="0" applyBorder="0" applyProtection="0"/>
    <xf numFmtId="0" fontId="31" fillId="7" borderId="0" applyNumberFormat="0" applyBorder="0" applyProtection="0">
      <alignment horizontal="center"/>
    </xf>
    <xf numFmtId="0" fontId="32" fillId="0" borderId="0" applyNumberFormat="0" applyFill="0" applyProtection="0">
      <alignment horizontal="left" indent="3"/>
    </xf>
    <xf numFmtId="0" fontId="33" fillId="8" borderId="2" applyNumberFormat="0" applyProtection="0">
      <alignment horizontal="left" vertical="center" indent="1"/>
    </xf>
    <xf numFmtId="0" fontId="33" fillId="7" borderId="2" applyNumberFormat="0" applyProtection="0">
      <alignment horizontal="left" indent="1"/>
    </xf>
    <xf numFmtId="167" fontId="34" fillId="0" borderId="3" applyFill="0" applyProtection="0">
      <alignment horizontal="left" vertical="center" wrapText="1" indent="1"/>
    </xf>
    <xf numFmtId="167" fontId="35" fillId="0" borderId="4" applyFill="0" applyProtection="0">
      <alignment horizontal="left" vertical="top" wrapText="1" indent="1"/>
    </xf>
    <xf numFmtId="167" fontId="30" fillId="0" borderId="5" applyNumberFormat="0" applyFill="0" applyProtection="0">
      <alignment horizontal="left" vertical="center" wrapText="1" indent="1"/>
    </xf>
    <xf numFmtId="0" fontId="30" fillId="6" borderId="6" applyNumberFormat="0" applyFont="0" applyAlignment="0" applyProtection="0"/>
  </cellStyleXfs>
  <cellXfs count="130">
    <xf numFmtId="0" fontId="0" fillId="0" borderId="0" xfId="0"/>
    <xf numFmtId="0" fontId="0" fillId="0" borderId="0" xfId="0" pivotButton="1"/>
    <xf numFmtId="0" fontId="0" fillId="0" borderId="0" xfId="0" applyFill="1"/>
    <xf numFmtId="10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Fill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10" fontId="0" fillId="0" borderId="0" xfId="2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NumberFormat="1"/>
    <xf numFmtId="164" fontId="0" fillId="0" borderId="0" xfId="0" applyNumberFormat="1"/>
    <xf numFmtId="45" fontId="0" fillId="0" borderId="0" xfId="0" applyNumberFormat="1"/>
    <xf numFmtId="0" fontId="25" fillId="0" borderId="0" xfId="0" applyFont="1"/>
    <xf numFmtId="2" fontId="0" fillId="0" borderId="0" xfId="0" applyNumberFormat="1"/>
    <xf numFmtId="10" fontId="2" fillId="0" borderId="0" xfId="2" applyNumberFormat="1" applyFont="1"/>
    <xf numFmtId="9" fontId="0" fillId="0" borderId="0" xfId="0" applyNumberFormat="1"/>
    <xf numFmtId="9" fontId="0" fillId="0" borderId="0" xfId="2" applyFont="1"/>
    <xf numFmtId="0" fontId="14" fillId="0" borderId="0" xfId="0" applyFont="1" applyAlignment="1">
      <alignment wrapText="1"/>
    </xf>
    <xf numFmtId="15" fontId="0" fillId="5" borderId="0" xfId="0" applyNumberFormat="1" applyFill="1"/>
    <xf numFmtId="0" fontId="0" fillId="0" borderId="0" xfId="0" applyFill="1" applyAlignment="1"/>
    <xf numFmtId="0" fontId="14" fillId="0" borderId="0" xfId="0" applyFont="1" applyAlignment="1"/>
    <xf numFmtId="9" fontId="0" fillId="0" borderId="0" xfId="0" applyNumberFormat="1" applyFill="1"/>
    <xf numFmtId="164" fontId="2" fillId="0" borderId="0" xfId="0" applyNumberFormat="1" applyFont="1"/>
    <xf numFmtId="0" fontId="0" fillId="0" borderId="0" xfId="0" applyAlignment="1">
      <alignment horizontal="left" indent="1"/>
    </xf>
    <xf numFmtId="166" fontId="0" fillId="0" borderId="0" xfId="0" applyNumberFormat="1"/>
    <xf numFmtId="166" fontId="0" fillId="0" borderId="0" xfId="0" applyNumberFormat="1" applyFill="1"/>
    <xf numFmtId="9" fontId="0" fillId="0" borderId="0" xfId="2" applyNumberFormat="1" applyFont="1"/>
    <xf numFmtId="0" fontId="7" fillId="5" borderId="0" xfId="0" applyFont="1" applyFill="1" applyProtection="1">
      <protection locked="0"/>
    </xf>
    <xf numFmtId="0" fontId="16" fillId="5" borderId="0" xfId="0" applyFont="1" applyFill="1" applyProtection="1">
      <protection locked="0"/>
    </xf>
    <xf numFmtId="0" fontId="23" fillId="5" borderId="0" xfId="0" applyFont="1" applyFill="1" applyBorder="1" applyAlignment="1" applyProtection="1">
      <alignment horizontal="center" vertical="center" wrapText="1"/>
      <protection locked="0"/>
    </xf>
    <xf numFmtId="164" fontId="10" fillId="5" borderId="0" xfId="0" applyNumberFormat="1" applyFont="1" applyFill="1" applyBorder="1" applyAlignment="1" applyProtection="1">
      <alignment horizontal="center" vertical="center"/>
      <protection locked="0"/>
    </xf>
    <xf numFmtId="0" fontId="18" fillId="5" borderId="0" xfId="0" applyFont="1" applyFill="1" applyBorder="1" applyAlignment="1" applyProtection="1">
      <alignment horizontal="center"/>
      <protection locked="0"/>
    </xf>
    <xf numFmtId="0" fontId="13" fillId="0" borderId="0" xfId="0" applyFont="1" applyFill="1" applyAlignment="1" applyProtection="1">
      <alignment horizontal="center" vertical="center" wrapText="1"/>
      <protection locked="0"/>
    </xf>
    <xf numFmtId="0" fontId="13" fillId="5" borderId="0" xfId="0" applyFont="1" applyFill="1" applyAlignment="1" applyProtection="1">
      <alignment wrapText="1"/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center" vertical="center" wrapText="1"/>
      <protection locked="0"/>
    </xf>
    <xf numFmtId="0" fontId="1" fillId="0" borderId="0" xfId="3" applyFill="1" applyAlignment="1" applyProtection="1">
      <alignment horizontal="center" vertical="center" wrapText="1"/>
      <protection locked="0"/>
    </xf>
    <xf numFmtId="10" fontId="20" fillId="2" borderId="0" xfId="0" applyNumberFormat="1" applyFont="1" applyFill="1" applyAlignment="1" applyProtection="1">
      <alignment horizontal="center" vertical="center"/>
      <protection hidden="1"/>
    </xf>
    <xf numFmtId="9" fontId="20" fillId="2" borderId="0" xfId="0" applyNumberFormat="1" applyFont="1" applyFill="1" applyAlignment="1" applyProtection="1">
      <alignment horizontal="center" vertical="center"/>
      <protection hidden="1"/>
    </xf>
    <xf numFmtId="16" fontId="8" fillId="0" borderId="0" xfId="0" applyNumberFormat="1" applyFont="1" applyFill="1" applyAlignment="1" applyProtection="1">
      <alignment horizontal="center" vertical="center"/>
      <protection hidden="1"/>
    </xf>
    <xf numFmtId="0" fontId="8" fillId="0" borderId="0" xfId="0" applyFont="1" applyFill="1" applyAlignment="1" applyProtection="1">
      <alignment horizontal="center" vertical="center"/>
      <protection hidden="1"/>
    </xf>
    <xf numFmtId="0" fontId="7" fillId="5" borderId="0" xfId="0" applyFont="1" applyFill="1" applyProtection="1">
      <protection hidden="1"/>
    </xf>
    <xf numFmtId="0" fontId="12" fillId="5" borderId="0" xfId="0" applyFont="1" applyFill="1" applyAlignment="1" applyProtection="1">
      <alignment horizontal="center" vertical="center"/>
      <protection hidden="1"/>
    </xf>
    <xf numFmtId="0" fontId="19" fillId="2" borderId="0" xfId="0" applyFont="1" applyFill="1" applyBorder="1" applyAlignment="1" applyProtection="1">
      <alignment horizontal="center" vertical="center" wrapText="1"/>
      <protection hidden="1"/>
    </xf>
    <xf numFmtId="0" fontId="14" fillId="5" borderId="0" xfId="0" applyFont="1" applyFill="1" applyProtection="1">
      <protection hidden="1"/>
    </xf>
    <xf numFmtId="0" fontId="17" fillId="5" borderId="0" xfId="0" applyFont="1" applyFill="1" applyAlignment="1" applyProtection="1">
      <protection hidden="1"/>
    </xf>
    <xf numFmtId="0" fontId="20" fillId="2" borderId="0" xfId="0" applyNumberFormat="1" applyFont="1" applyFill="1" applyAlignment="1" applyProtection="1">
      <alignment horizontal="center" vertical="center"/>
      <protection hidden="1"/>
    </xf>
    <xf numFmtId="166" fontId="20" fillId="2" borderId="0" xfId="0" applyNumberFormat="1" applyFont="1" applyFill="1" applyAlignment="1" applyProtection="1">
      <alignment horizontal="center" vertical="center"/>
      <protection hidden="1"/>
    </xf>
    <xf numFmtId="0" fontId="11" fillId="5" borderId="0" xfId="0" applyFont="1" applyFill="1" applyProtection="1">
      <protection hidden="1"/>
    </xf>
    <xf numFmtId="0" fontId="0" fillId="0" borderId="11" xfId="0" applyBorder="1"/>
    <xf numFmtId="9" fontId="0" fillId="0" borderId="11" xfId="2" applyFont="1" applyBorder="1"/>
    <xf numFmtId="0" fontId="0" fillId="0" borderId="12" xfId="0" applyBorder="1" applyAlignment="1">
      <alignment horizontal="left"/>
    </xf>
    <xf numFmtId="9" fontId="0" fillId="0" borderId="13" xfId="2" applyFont="1" applyBorder="1"/>
    <xf numFmtId="0" fontId="2" fillId="0" borderId="14" xfId="0" applyFont="1" applyBorder="1" applyAlignment="1">
      <alignment horizontal="left"/>
    </xf>
    <xf numFmtId="0" fontId="2" fillId="0" borderId="15" xfId="0" applyFont="1" applyBorder="1"/>
    <xf numFmtId="0" fontId="2" fillId="0" borderId="16" xfId="0" applyFont="1" applyBorder="1"/>
    <xf numFmtId="0" fontId="0" fillId="0" borderId="17" xfId="0" applyBorder="1" applyAlignment="1">
      <alignment horizontal="left"/>
    </xf>
    <xf numFmtId="0" fontId="0" fillId="0" borderId="18" xfId="0" applyBorder="1"/>
    <xf numFmtId="9" fontId="0" fillId="0" borderId="18" xfId="2" applyFont="1" applyBorder="1"/>
    <xf numFmtId="9" fontId="0" fillId="0" borderId="19" xfId="2" applyFont="1" applyBorder="1"/>
    <xf numFmtId="9" fontId="0" fillId="0" borderId="0" xfId="2" applyFont="1" applyAlignment="1">
      <alignment wrapText="1"/>
    </xf>
    <xf numFmtId="0" fontId="0" fillId="0" borderId="0" xfId="2" applyNumberFormat="1" applyFont="1"/>
    <xf numFmtId="0" fontId="0" fillId="5" borderId="0" xfId="0" applyFill="1" applyProtection="1">
      <protection hidden="1"/>
    </xf>
    <xf numFmtId="0" fontId="8" fillId="5" borderId="0" xfId="0" applyFont="1" applyFill="1" applyAlignment="1" applyProtection="1">
      <alignment vertical="top" wrapText="1"/>
      <protection hidden="1"/>
    </xf>
    <xf numFmtId="0" fontId="3" fillId="5" borderId="0" xfId="0" applyFont="1" applyFill="1" applyProtection="1">
      <protection hidden="1"/>
    </xf>
    <xf numFmtId="0" fontId="27" fillId="5" borderId="0" xfId="0" applyFont="1" applyFill="1" applyProtection="1">
      <protection hidden="1"/>
    </xf>
    <xf numFmtId="0" fontId="12" fillId="5" borderId="0" xfId="0" applyFont="1" applyFill="1" applyProtection="1">
      <protection hidden="1"/>
    </xf>
    <xf numFmtId="0" fontId="11" fillId="4" borderId="0" xfId="0" applyFont="1" applyFill="1" applyAlignment="1" applyProtection="1">
      <alignment horizontal="left"/>
      <protection locked="0" hidden="1"/>
    </xf>
    <xf numFmtId="164" fontId="11" fillId="4" borderId="0" xfId="0" applyNumberFormat="1" applyFont="1" applyFill="1" applyAlignment="1" applyProtection="1">
      <alignment horizontal="left"/>
      <protection locked="0" hidden="1"/>
    </xf>
    <xf numFmtId="0" fontId="11" fillId="4" borderId="0" xfId="0" applyFont="1" applyFill="1" applyAlignment="1" applyProtection="1">
      <alignment horizontal="center" vertical="center"/>
      <protection locked="0" hidden="1"/>
    </xf>
    <xf numFmtId="0" fontId="11" fillId="5" borderId="0" xfId="0" applyFont="1" applyFill="1" applyProtection="1">
      <protection locked="0" hidden="1"/>
    </xf>
    <xf numFmtId="0" fontId="26" fillId="5" borderId="0" xfId="0" applyFont="1" applyFill="1" applyProtection="1">
      <protection locked="0" hidden="1"/>
    </xf>
    <xf numFmtId="0" fontId="28" fillId="5" borderId="0" xfId="0" applyFont="1" applyFill="1" applyProtection="1">
      <protection locked="0" hidden="1"/>
    </xf>
    <xf numFmtId="164" fontId="12" fillId="4" borderId="0" xfId="0" applyNumberFormat="1" applyFont="1" applyFill="1" applyAlignment="1" applyProtection="1">
      <alignment horizontal="center" vertical="center"/>
      <protection locked="0" hidden="1"/>
    </xf>
    <xf numFmtId="0" fontId="29" fillId="4" borderId="1" xfId="0" applyFont="1" applyFill="1" applyBorder="1" applyAlignment="1" applyProtection="1">
      <alignment horizontal="center" vertical="center"/>
      <protection locked="0" hidden="1"/>
    </xf>
    <xf numFmtId="0" fontId="7" fillId="5" borderId="0" xfId="0" applyFont="1" applyFill="1" applyAlignment="1" applyProtection="1">
      <alignment vertical="center"/>
      <protection hidden="1"/>
    </xf>
    <xf numFmtId="0" fontId="40" fillId="5" borderId="0" xfId="0" applyFont="1" applyFill="1" applyAlignment="1" applyProtection="1">
      <alignment horizontal="center"/>
      <protection hidden="1"/>
    </xf>
    <xf numFmtId="14" fontId="36" fillId="3" borderId="7" xfId="0" applyNumberFormat="1" applyFont="1" applyFill="1" applyBorder="1" applyAlignment="1" applyProtection="1">
      <alignment horizontal="center" vertical="center"/>
      <protection hidden="1"/>
    </xf>
    <xf numFmtId="14" fontId="39" fillId="5" borderId="0" xfId="0" applyNumberFormat="1" applyFont="1" applyFill="1" applyProtection="1">
      <protection hidden="1"/>
    </xf>
    <xf numFmtId="167" fontId="37" fillId="2" borderId="7" xfId="0" applyNumberFormat="1" applyFont="1" applyFill="1" applyBorder="1" applyAlignment="1" applyProtection="1">
      <alignment horizontal="left"/>
      <protection hidden="1"/>
    </xf>
    <xf numFmtId="0" fontId="37" fillId="2" borderId="7" xfId="0" applyNumberFormat="1" applyFont="1" applyFill="1" applyBorder="1" applyAlignment="1" applyProtection="1">
      <alignment horizontal="left" vertical="center"/>
      <protection hidden="1"/>
    </xf>
    <xf numFmtId="0" fontId="13" fillId="0" borderId="8" xfId="0" applyNumberFormat="1" applyFont="1" applyFill="1" applyBorder="1" applyAlignment="1" applyProtection="1">
      <alignment horizontal="right" vertical="center"/>
      <protection hidden="1"/>
    </xf>
    <xf numFmtId="0" fontId="13" fillId="9" borderId="8" xfId="0" applyNumberFormat="1" applyFont="1" applyFill="1" applyBorder="1" applyAlignment="1" applyProtection="1">
      <alignment horizontal="right" vertical="center"/>
      <protection hidden="1"/>
    </xf>
    <xf numFmtId="0" fontId="7" fillId="0" borderId="8" xfId="0" applyNumberFormat="1" applyFont="1" applyFill="1" applyBorder="1" applyAlignment="1" applyProtection="1">
      <alignment horizontal="right" vertical="center"/>
      <protection hidden="1"/>
    </xf>
    <xf numFmtId="168" fontId="13" fillId="0" borderId="10" xfId="0" applyNumberFormat="1" applyFont="1" applyFill="1" applyBorder="1" applyAlignment="1" applyProtection="1">
      <alignment horizontal="right" vertical="center"/>
      <protection hidden="1"/>
    </xf>
    <xf numFmtId="168" fontId="13" fillId="9" borderId="10" xfId="0" applyNumberFormat="1" applyFont="1" applyFill="1" applyBorder="1" applyAlignment="1" applyProtection="1">
      <alignment horizontal="right" vertical="center"/>
      <protection hidden="1"/>
    </xf>
    <xf numFmtId="168" fontId="7" fillId="0" borderId="10" xfId="0" applyNumberFormat="1" applyFont="1" applyFill="1" applyBorder="1" applyAlignment="1" applyProtection="1">
      <alignment horizontal="right" vertical="center"/>
      <protection hidden="1"/>
    </xf>
    <xf numFmtId="9" fontId="13" fillId="0" borderId="9" xfId="2" applyFont="1" applyFill="1" applyBorder="1" applyAlignment="1" applyProtection="1">
      <alignment horizontal="right" vertical="center"/>
      <protection hidden="1"/>
    </xf>
    <xf numFmtId="9" fontId="13" fillId="9" borderId="9" xfId="2" applyFont="1" applyFill="1" applyBorder="1" applyAlignment="1" applyProtection="1">
      <alignment horizontal="right" vertical="center"/>
      <protection hidden="1"/>
    </xf>
    <xf numFmtId="9" fontId="7" fillId="0" borderId="9" xfId="2" applyFont="1" applyFill="1" applyBorder="1" applyAlignment="1" applyProtection="1">
      <alignment horizontal="right" vertical="center"/>
      <protection hidden="1"/>
    </xf>
    <xf numFmtId="0" fontId="17" fillId="5" borderId="0" xfId="0" applyFont="1" applyFill="1" applyAlignment="1" applyProtection="1">
      <alignment horizontal="center" vertical="center"/>
      <protection hidden="1"/>
    </xf>
    <xf numFmtId="0" fontId="38" fillId="5" borderId="0" xfId="0" applyFont="1" applyFill="1" applyProtection="1">
      <protection hidden="1"/>
    </xf>
    <xf numFmtId="0" fontId="11" fillId="5" borderId="0" xfId="0" applyFont="1" applyFill="1" applyAlignment="1" applyProtection="1">
      <alignment horizontal="left" vertical="center"/>
      <protection hidden="1"/>
    </xf>
    <xf numFmtId="0" fontId="36" fillId="4" borderId="0" xfId="0" applyFont="1" applyFill="1" applyAlignment="1" applyProtection="1">
      <alignment horizontal="center" vertical="center"/>
      <protection locked="0"/>
    </xf>
    <xf numFmtId="0" fontId="36" fillId="4" borderId="0" xfId="0" applyNumberFormat="1" applyFont="1" applyFill="1" applyAlignment="1" applyProtection="1">
      <alignment horizontal="center" vertical="center"/>
      <protection locked="0"/>
    </xf>
    <xf numFmtId="164" fontId="8" fillId="0" borderId="0" xfId="0" applyNumberFormat="1" applyFont="1" applyFill="1" applyAlignment="1" applyProtection="1">
      <alignment horizontal="center" vertical="center"/>
      <protection locked="0"/>
    </xf>
    <xf numFmtId="0" fontId="8" fillId="0" borderId="0" xfId="0" applyNumberFormat="1" applyFont="1" applyFill="1" applyAlignment="1" applyProtection="1">
      <alignment horizontal="center" vertical="center"/>
      <protection hidden="1"/>
    </xf>
    <xf numFmtId="165" fontId="8" fillId="0" borderId="0" xfId="0" applyNumberFormat="1" applyFont="1" applyAlignment="1" applyProtection="1">
      <alignment horizontal="center" vertical="center"/>
      <protection locked="0"/>
    </xf>
    <xf numFmtId="16" fontId="8" fillId="0" borderId="0" xfId="0" applyNumberFormat="1" applyFont="1" applyAlignment="1" applyProtection="1">
      <alignment horizontal="center" vertical="center" wrapText="1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70" fontId="8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13" fillId="0" borderId="0" xfId="0" applyFont="1" applyFill="1" applyAlignment="1" applyProtection="1">
      <alignment horizontal="center" vertical="center" wrapText="1"/>
      <protection hidden="1"/>
    </xf>
    <xf numFmtId="0" fontId="14" fillId="5" borderId="0" xfId="0" applyFont="1" applyFill="1" applyProtection="1">
      <protection locked="0"/>
    </xf>
    <xf numFmtId="0" fontId="14" fillId="0" borderId="0" xfId="0" applyFont="1" applyFill="1" applyAlignment="1" applyProtection="1">
      <alignment horizontal="center" vertical="center"/>
      <protection hidden="1"/>
    </xf>
    <xf numFmtId="18" fontId="14" fillId="0" borderId="0" xfId="0" applyNumberFormat="1" applyFont="1" applyFill="1" applyAlignment="1" applyProtection="1">
      <alignment horizontal="center" vertical="center"/>
      <protection hidden="1"/>
    </xf>
    <xf numFmtId="0" fontId="14" fillId="0" borderId="0" xfId="0" applyNumberFormat="1" applyFont="1" applyFill="1" applyAlignment="1" applyProtection="1">
      <alignment horizontal="center" vertical="center"/>
      <protection hidden="1"/>
    </xf>
    <xf numFmtId="18" fontId="0" fillId="0" borderId="0" xfId="0" applyNumberFormat="1" applyAlignment="1">
      <alignment horizontal="left"/>
    </xf>
    <xf numFmtId="16" fontId="0" fillId="0" borderId="0" xfId="0" applyNumberFormat="1" applyAlignment="1">
      <alignment horizontal="center" vertical="center"/>
    </xf>
    <xf numFmtId="0" fontId="15" fillId="5" borderId="0" xfId="0" applyFont="1" applyFill="1" applyAlignment="1" applyProtection="1">
      <alignment horizontal="left" vertical="top" wrapText="1"/>
      <protection hidden="1"/>
    </xf>
    <xf numFmtId="0" fontId="26" fillId="5" borderId="0" xfId="0" applyFont="1" applyFill="1" applyAlignment="1" applyProtection="1">
      <alignment horizontal="left" vertical="center" wrapText="1"/>
      <protection hidden="1"/>
    </xf>
    <xf numFmtId="0" fontId="9" fillId="5" borderId="0" xfId="0" applyFont="1" applyFill="1" applyBorder="1" applyAlignment="1" applyProtection="1">
      <alignment horizontal="center"/>
      <protection locked="0"/>
    </xf>
    <xf numFmtId="0" fontId="17" fillId="5" borderId="0" xfId="0" applyFont="1" applyFill="1" applyBorder="1" applyAlignment="1" applyProtection="1">
      <alignment horizontal="center" vertical="center"/>
      <protection hidden="1"/>
    </xf>
    <xf numFmtId="0" fontId="13" fillId="5" borderId="0" xfId="0" applyFont="1" applyFill="1" applyAlignment="1" applyProtection="1">
      <alignment horizontal="left" vertical="center" wrapText="1"/>
      <protection hidden="1"/>
    </xf>
    <xf numFmtId="0" fontId="40" fillId="5" borderId="0" xfId="0" applyFont="1" applyFill="1" applyAlignment="1" applyProtection="1">
      <alignment horizontal="center"/>
      <protection hidden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9" fontId="8" fillId="0" borderId="0" xfId="0" applyNumberFormat="1" applyFont="1" applyAlignment="1" applyProtection="1">
      <alignment horizontal="center" vertical="center"/>
      <protection locked="0"/>
    </xf>
  </cellXfs>
  <cellStyles count="13">
    <cellStyle name="Detalle de día" xfId="10" xr:uid="{2E49BBBE-8E5C-4D05-A091-6C0893D8C705}"/>
    <cellStyle name="Día" xfId="9" xr:uid="{EF07B204-80D2-403A-914B-29D8E75B7808}"/>
    <cellStyle name="Encabezado 1 2" xfId="6" xr:uid="{27CDBB99-0E0B-4000-BD22-C163E2C95989}"/>
    <cellStyle name="Encabezado de notas" xfId="11" xr:uid="{A4A57E9E-4017-49EC-B094-4B06D460C904}"/>
    <cellStyle name="Hipervínculo" xfId="3" builtinId="8"/>
    <cellStyle name="Hyperlink" xfId="1" xr:uid="{00000000-000B-0000-0000-000008000000}"/>
    <cellStyle name="Normal" xfId="0" builtinId="0"/>
    <cellStyle name="Normal 2" xfId="4" xr:uid="{6496E267-A4B1-4D99-B98A-76D9199692EC}"/>
    <cellStyle name="Notas 2" xfId="12" xr:uid="{D4B668E7-437F-4F3A-9F8A-45E54C5E2CED}"/>
    <cellStyle name="Porcentaje" xfId="2" builtinId="5"/>
    <cellStyle name="Título 2 2" xfId="7" xr:uid="{A13BD246-8BB4-432F-AFFF-D8184F8C371E}"/>
    <cellStyle name="Título 3 2" xfId="8" xr:uid="{B156E8B2-E75A-47E4-8844-B28AD22ECB61}"/>
    <cellStyle name="Título 4" xfId="5" xr:uid="{F8C02B91-6AE0-4D27-AE48-6E3AD64893A7}"/>
  </cellStyles>
  <dxfs count="160">
    <dxf>
      <font>
        <color auto="1"/>
      </font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 val="0"/>
        <i val="0"/>
        <color rgb="FF00B050"/>
      </font>
    </dxf>
    <dxf>
      <font>
        <b val="0"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444054"/>
      </font>
      <fill>
        <patternFill>
          <bgColor rgb="FFD6EEFF"/>
        </patternFill>
      </fill>
    </dxf>
    <dxf>
      <font>
        <color rgb="FF444054"/>
      </font>
      <fill>
        <patternFill>
          <bgColor rgb="FFD6EEFF"/>
        </patternFill>
      </fill>
    </dxf>
    <dxf>
      <font>
        <color rgb="FF1F7A8C"/>
      </font>
      <fill>
        <patternFill>
          <bgColor rgb="FF1F7A8C"/>
        </patternFill>
      </fill>
    </dxf>
    <dxf>
      <font>
        <color rgb="FF1F7A8C"/>
      </font>
      <fill>
        <patternFill>
          <bgColor rgb="FF1F7A8C"/>
        </patternFill>
      </fill>
    </dxf>
    <dxf>
      <font>
        <color rgb="FF1F7A8C"/>
      </font>
      <fill>
        <patternFill>
          <bgColor rgb="FF1F7A8C"/>
        </patternFill>
      </fill>
    </dxf>
    <dxf>
      <font>
        <color rgb="FF1F7A8C"/>
      </font>
      <fill>
        <patternFill>
          <bgColor rgb="FF1F7A8C"/>
        </patternFill>
      </fill>
    </dxf>
    <dxf>
      <font>
        <color rgb="FF1F7A8C"/>
      </font>
      <fill>
        <patternFill>
          <bgColor rgb="FF1F7A8C"/>
        </patternFill>
      </fill>
    </dxf>
    <dxf>
      <font>
        <color rgb="FF1F7A8C"/>
      </font>
      <fill>
        <patternFill>
          <bgColor rgb="FF1F7A8C"/>
        </patternFill>
      </fill>
    </dxf>
    <dxf>
      <font>
        <color rgb="FF1F7A8C"/>
      </font>
      <fill>
        <patternFill>
          <bgColor rgb="FF1F7A8C"/>
        </patternFill>
      </fill>
    </dxf>
    <dxf>
      <font>
        <color rgb="FF1F7A8C"/>
      </font>
      <fill>
        <patternFill>
          <bgColor rgb="FF1F7A8C"/>
        </patternFill>
      </fill>
    </dxf>
    <dxf>
      <font>
        <color rgb="FF1F7A8C"/>
      </font>
      <fill>
        <patternFill>
          <bgColor rgb="FF1F7A8C"/>
        </patternFill>
      </fill>
    </dxf>
    <dxf>
      <font>
        <color rgb="FF1F7A8C"/>
      </font>
      <fill>
        <patternFill>
          <bgColor rgb="FF1F7A8C"/>
        </patternFill>
      </fill>
    </dxf>
    <dxf>
      <font>
        <color rgb="FF444054"/>
      </font>
      <fill>
        <patternFill>
          <bgColor rgb="FFAAADC4"/>
        </patternFill>
      </fill>
    </dxf>
    <dxf>
      <font>
        <color rgb="FFAAADC4"/>
      </font>
      <fill>
        <patternFill>
          <bgColor rgb="FF444054"/>
        </patternFill>
      </fill>
    </dxf>
    <dxf>
      <font>
        <color rgb="FFAAADC4"/>
      </font>
      <fill>
        <patternFill>
          <bgColor rgb="FF444054"/>
        </patternFill>
      </fill>
    </dxf>
    <dxf>
      <font>
        <color rgb="FF444054"/>
      </font>
      <fill>
        <patternFill>
          <bgColor rgb="FFAAADC4"/>
        </patternFill>
      </fill>
    </dxf>
    <dxf>
      <font>
        <color rgb="FFD6EEFF"/>
      </font>
      <fill>
        <patternFill>
          <bgColor rgb="FFD6EEFF"/>
        </patternFill>
      </fill>
      <border>
        <left/>
        <right/>
        <top/>
        <bottom/>
      </border>
    </dxf>
    <dxf>
      <font>
        <color rgb="FFD6EEFF"/>
      </font>
      <fill>
        <patternFill>
          <bgColor rgb="FFD6EEFF"/>
        </patternFill>
      </fill>
    </dxf>
    <dxf>
      <numFmt numFmtId="164" formatCode="[$$-540A]#,##0"/>
    </dxf>
    <dxf>
      <numFmt numFmtId="13" formatCode="0%"/>
    </dxf>
    <dxf>
      <font>
        <b/>
      </font>
    </dxf>
    <dxf>
      <numFmt numFmtId="14" formatCode="0.00%"/>
    </dxf>
    <dxf>
      <numFmt numFmtId="164" formatCode="[$$-540A]#,##0"/>
    </dxf>
    <dxf>
      <numFmt numFmtId="171" formatCode="[$$-440A]#,##0"/>
    </dxf>
    <dxf>
      <numFmt numFmtId="164" formatCode="[$$-540A]#,##0"/>
    </dxf>
    <dxf>
      <numFmt numFmtId="13" formatCode="0%"/>
    </dxf>
    <dxf>
      <numFmt numFmtId="164" formatCode="[$$-540A]#,##0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numFmt numFmtId="169" formatCode="[$$-540A]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numFmt numFmtId="166" formatCode="[h]: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numFmt numFmtId="166" formatCode="[h]: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numFmt numFmtId="165" formatCode="dd/mm/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numFmt numFmtId="21" formatCode="d\-m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23" formatCode="h:mm\ AM/PM"/>
      <fill>
        <patternFill patternType="none">
          <fgColor indexed="64"/>
          <bgColor auto="1"/>
        </patternFill>
      </fill>
      <alignment horizontal="center" vertical="center"/>
      <protection locked="1" hidden="1"/>
    </dxf>
    <dxf>
      <font>
        <strike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/>
      <protection locked="1" hidden="1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$-540A]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numFmt numFmtId="21" formatCode="d\-mmm"/>
      <fill>
        <patternFill patternType="none">
          <fgColor indexed="64"/>
          <bgColor auto="1"/>
        </patternFill>
      </fill>
      <alignment horizontal="center" vertical="center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0"/>
        <name val="Verdana"/>
        <family val="2"/>
        <scheme val="none"/>
      </font>
      <numFmt numFmtId="14" formatCode="0.00%"/>
      <fill>
        <patternFill patternType="solid">
          <fgColor indexed="64"/>
          <bgColor rgb="FF1F7A8C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9"/>
        <color theme="0"/>
        <name val="Verdana"/>
        <family val="2"/>
        <scheme val="none"/>
      </font>
      <numFmt numFmtId="14" formatCode="0.00%"/>
      <fill>
        <patternFill patternType="solid">
          <fgColor indexed="64"/>
          <bgColor rgb="FF1F7A8C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0"/>
        <name val="Verdana"/>
        <family val="2"/>
        <scheme val="none"/>
      </font>
      <numFmt numFmtId="14" formatCode="0.00%"/>
      <fill>
        <patternFill patternType="solid">
          <fgColor indexed="64"/>
          <bgColor rgb="FF1F7A8C"/>
        </patternFill>
      </fill>
      <alignment horizontal="center" vertical="center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numFmt numFmtId="164" formatCode="[$$-540A]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9"/>
        <color theme="0"/>
        <name val="Verdana"/>
        <family val="2"/>
        <scheme val="none"/>
      </font>
      <numFmt numFmtId="13" formatCode="0%"/>
      <fill>
        <patternFill patternType="solid">
          <fgColor indexed="64"/>
          <bgColor rgb="FF1F7A8C"/>
        </patternFill>
      </fill>
      <alignment horizontal="center" vertical="center"/>
      <protection locked="1" hidden="1"/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/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/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/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/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/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0"/>
        <name val="Verdana"/>
        <family val="2"/>
        <scheme val="none"/>
      </font>
      <numFmt numFmtId="166" formatCode="[h]:mm"/>
      <fill>
        <patternFill patternType="solid">
          <fgColor indexed="64"/>
          <bgColor rgb="FF1F7A8C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9"/>
        <color theme="0"/>
        <name val="Verdana"/>
        <family val="2"/>
        <scheme val="none"/>
      </font>
      <numFmt numFmtId="0" formatCode="General"/>
      <fill>
        <patternFill patternType="solid">
          <fgColor indexed="64"/>
          <bgColor rgb="FF1F7A8C"/>
        </patternFill>
      </fill>
      <alignment horizontal="center" vertical="center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054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9"/>
        <color theme="0"/>
        <name val="Verdana"/>
        <family val="2"/>
        <scheme val="none"/>
      </font>
      <numFmt numFmtId="0" formatCode="General"/>
      <fill>
        <patternFill patternType="solid">
          <fgColor indexed="64"/>
          <bgColor rgb="FF1F7A8C"/>
        </patternFill>
      </fill>
      <alignment horizontal="center" vertical="center"/>
      <protection locked="1" hidden="1"/>
    </dxf>
    <dxf>
      <font>
        <strike val="0"/>
        <outline val="0"/>
        <shadow val="0"/>
        <u val="none"/>
        <vertAlign val="baseline"/>
        <name val="Verdana"/>
        <family val="2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 patternType="solid">
          <fgColor theme="4" tint="0.79998168889431442"/>
          <bgColor theme="4" tint="0.79998168889431442"/>
        </patternFill>
      </fill>
    </dxf>
    <dxf>
      <font>
        <color rgb="FF444054"/>
      </font>
      <fill>
        <patternFill patternType="solid">
          <fgColor rgb="FFAAADC4"/>
          <bgColor rgb="FFCDCFDD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1F7A8C"/>
        </patternFill>
      </fill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sz val="4"/>
        <color rgb="FF1F7A8C"/>
        <name val="Verdana"/>
        <family val="2"/>
        <scheme val="none"/>
      </font>
      <border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sz val="6"/>
        <color theme="1"/>
        <name val="Verdana"/>
        <family val="2"/>
        <scheme val="none"/>
      </font>
      <fill>
        <patternFill>
          <bgColor rgb="FF1F7A8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1F7A8C"/>
        </patternFill>
      </fill>
    </dxf>
    <dxf>
      <border diagonalUp="0" diagonalDown="0">
        <left/>
        <right/>
        <top/>
        <bottom/>
        <vertical/>
        <horizontal/>
      </border>
    </dxf>
  </dxfs>
  <tableStyles count="4" defaultTableStyle="Mi tabla 2" defaultPivotStyle="PivotStyleLight16">
    <tableStyle name="Estilo de tabla 1" pivot="0" count="6" xr9:uid="{3D849BBD-99D5-4AB6-B03A-6DAA7F2FDB1A}">
      <tableStyleElement type="wholeTable" dxfId="159"/>
      <tableStyleElement type="headerRow" dxfId="158"/>
      <tableStyleElement type="firstRowStripe" dxfId="157"/>
      <tableStyleElement type="secondRowStripe" dxfId="156"/>
      <tableStyleElement type="firstColumnStripe" dxfId="155"/>
      <tableStyleElement type="secondColumnStripe" dxfId="154"/>
    </tableStyle>
    <tableStyle name="Mi Estilo" pivot="0" table="0" count="10" xr9:uid="{2134AD63-7E1D-4024-AEBD-A6788BF396AB}">
      <tableStyleElement type="wholeTable" dxfId="153"/>
      <tableStyleElement type="headerRow" dxfId="152"/>
    </tableStyle>
    <tableStyle name="mi estilo escala tiempo" pivot="0" table="0" count="9" xr9:uid="{BCA8EB1C-BA48-4740-BF82-D1345B04C87B}">
      <tableStyleElement type="wholeTable" dxfId="151"/>
      <tableStyleElement type="headerRow" dxfId="150"/>
    </tableStyle>
    <tableStyle name="Mi tabla 2" pivot="0" count="7" xr9:uid="{4DE56D2E-161B-4A85-A7EF-7D011A686163}">
      <tableStyleElement type="wholeTable" dxfId="149"/>
      <tableStyleElement type="headerRow" dxfId="148"/>
      <tableStyleElement type="totalRow" dxfId="147"/>
      <tableStyleElement type="firstColumn" dxfId="146"/>
      <tableStyleElement type="lastColumn" dxfId="145"/>
      <tableStyleElement type="firstRowStripe" dxfId="144"/>
      <tableStyleElement type="firstColumnStripe" dxfId="143"/>
    </tableStyle>
  </tableStyles>
  <colors>
    <mruColors>
      <color rgb="FFCDCFDD"/>
      <color rgb="FFAAADC4"/>
      <color rgb="FF444054"/>
      <color rgb="FF1F7A8C"/>
      <color rgb="FFD6EEFF"/>
      <color rgb="FF00FFFF"/>
    </mruColors>
  </colors>
  <extLst>
    <ext xmlns:x14="http://schemas.microsoft.com/office/spreadsheetml/2009/9/main" uri="{46F421CA-312F-682f-3DD2-61675219B42D}">
      <x14:dxfs count="8">
        <dxf>
          <font>
            <color rgb="FFD6EEFF"/>
            <name val="Verdana"/>
            <family val="2"/>
            <scheme val="none"/>
          </font>
          <fill>
            <patternFill patternType="solid">
              <fgColor auto="1"/>
              <bgColor rgb="FF44405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D6EEFF"/>
            <name val="Verdana"/>
            <family val="2"/>
          </font>
          <fill>
            <patternFill patternType="solid">
              <fgColor auto="1"/>
              <bgColor rgb="FF44405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D6EEFF"/>
            <name val="Verdana"/>
            <family val="2"/>
            <scheme val="none"/>
          </font>
          <fill>
            <patternFill patternType="solid">
              <fgColor auto="1"/>
              <bgColor rgb="FF44405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D6EEFF"/>
            <name val="Verdana"/>
            <family val="2"/>
          </font>
          <fill>
            <patternFill patternType="solid">
              <fgColor auto="1"/>
              <bgColor rgb="FF44405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444054"/>
            <name val="Verdana"/>
            <family val="2"/>
            <scheme val="none"/>
          </font>
          <fill>
            <patternFill patternType="solid">
              <fgColor theme="4" tint="0.79995117038483843"/>
              <bgColor rgb="FFD6EEFF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color rgb="FF444054"/>
            <name val="Verdana"/>
            <family val="2"/>
            <scheme val="none"/>
          </font>
          <fill>
            <patternFill patternType="solid">
              <fgColor theme="4" tint="0.59999389629810485"/>
              <bgColor rgb="FFD6EEFF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444054"/>
            <name val="Verdana"/>
            <family val="2"/>
            <scheme val="none"/>
          </font>
          <fill>
            <patternFill patternType="solid">
              <fgColor rgb="FFFFFFFF"/>
              <bgColor rgb="FFAAADC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444054"/>
            <name val="Verdana"/>
            <family val="2"/>
            <scheme val="none"/>
          </font>
          <fill>
            <patternFill patternType="solid">
              <fgColor rgb="FFFFFFFF"/>
              <bgColor rgb="FFAAADC4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i Estil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solid">
              <fgColor theme="4" tint="0.39994506668294322"/>
              <bgColor rgb="FFD6EEFF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AAADC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44405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4"/>
            <color theme="0"/>
            <name val="Verdana"/>
            <family val="2"/>
            <scheme val="none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4"/>
            <color theme="0"/>
            <name val="Verdana"/>
            <family val="2"/>
            <scheme val="none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4" tint="-0.249977111117893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mi estilo escala tiempo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4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2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rgbClr val="AAADC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1F7A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8A-4057-B475-B397222A4AF5}"/>
              </c:ext>
            </c:extLst>
          </c:dPt>
          <c:dPt>
            <c:idx val="1"/>
            <c:invertIfNegative val="0"/>
            <c:bubble3D val="0"/>
            <c:spPr>
              <a:solidFill>
                <a:srgbClr val="AAAD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8A-4057-B475-B397222A4AF5}"/>
              </c:ext>
            </c:extLst>
          </c:dPt>
          <c:dLbls>
            <c:dLbl>
              <c:idx val="0"/>
              <c:layout>
                <c:manualLayout>
                  <c:x val="0.10563380281690141"/>
                  <c:y val="3.4305990919814352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rgbClr val="444054"/>
                      </a:solidFill>
                      <a:latin typeface="Verdana" panose="020B0604030504040204" pitchFamily="34" charset="0"/>
                      <a:ea typeface="Verdana" panose="020B0604030504040204" pitchFamily="34" charset="0"/>
                      <a:cs typeface="+mn-cs"/>
                    </a:defRPr>
                  </a:pPr>
                  <a:endParaRPr lang="es-V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58A-4057-B475-B397222A4AF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rgbClr val="444054"/>
                      </a:solidFill>
                      <a:latin typeface="Verdana" panose="020B0604030504040204" pitchFamily="34" charset="0"/>
                      <a:ea typeface="Verdana" panose="020B0604030504040204" pitchFamily="34" charset="0"/>
                      <a:cs typeface="+mn-cs"/>
                    </a:defRPr>
                  </a:pPr>
                  <a:endParaRPr lang="es-V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058A-4057-B475-B397222A4A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44054"/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info!$W$1:$X$1</c:f>
              <c:strCache>
                <c:ptCount val="2"/>
                <c:pt idx="0">
                  <c:v>BE</c:v>
                </c:pt>
                <c:pt idx="1">
                  <c:v>1%</c:v>
                </c:pt>
              </c:strCache>
            </c:strRef>
          </c:cat>
          <c:val>
            <c:numRef>
              <c:f>info!$W$2:$X$2</c:f>
              <c:numCache>
                <c:formatCode>[$$-540A]#,##0</c:formatCode>
                <c:ptCount val="2"/>
                <c:pt idx="0">
                  <c:v>100</c:v>
                </c:pt>
                <c:pt idx="1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8A-4057-B475-B397222A4AF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1F7A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58A-4057-B475-B397222A4AF5}"/>
              </c:ext>
            </c:extLst>
          </c:dPt>
          <c:dPt>
            <c:idx val="1"/>
            <c:invertIfNegative val="0"/>
            <c:bubble3D val="0"/>
            <c:spPr>
              <a:solidFill>
                <a:srgbClr val="44405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58A-4057-B475-B397222A4AF5}"/>
              </c:ext>
            </c:extLst>
          </c:dPt>
          <c:dLbls>
            <c:dLbl>
              <c:idx val="0"/>
              <c:layout>
                <c:manualLayout>
                  <c:x val="-0.11491111111111114"/>
                  <c:y val="-4.042198674546347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none" lIns="38100" tIns="19050" rIns="38100" bIns="19050" anchor="ctr" anchorCtr="1">
                  <a:no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rgbClr val="444054"/>
                      </a:solidFill>
                      <a:latin typeface="Verdana" panose="020B0604030504040204" pitchFamily="34" charset="0"/>
                      <a:ea typeface="Verdana" panose="020B0604030504040204" pitchFamily="34" charset="0"/>
                      <a:cs typeface="+mn-cs"/>
                    </a:defRPr>
                  </a:pPr>
                  <a:endParaRPr lang="es-V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219110143789917"/>
                      <c:h val="0.2079437922852379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058A-4057-B475-B397222A4AF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none" lIns="38100" tIns="19050" rIns="38100" bIns="19050" anchor="ctr" anchorCtr="1">
                  <a:no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chemeClr val="bg1"/>
                      </a:solidFill>
                      <a:latin typeface="Verdana" panose="020B0604030504040204" pitchFamily="34" charset="0"/>
                      <a:ea typeface="Verdana" panose="020B0604030504040204" pitchFamily="34" charset="0"/>
                      <a:cs typeface="+mn-cs"/>
                    </a:defRPr>
                  </a:pPr>
                  <a:endParaRPr lang="es-V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658409168524416"/>
                      <c:h val="0.3616885075195884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058A-4057-B475-B397222A4A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non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info!$W$1:$X$1</c:f>
              <c:strCache>
                <c:ptCount val="2"/>
                <c:pt idx="0">
                  <c:v>BE</c:v>
                </c:pt>
                <c:pt idx="1">
                  <c:v>1%</c:v>
                </c:pt>
              </c:strCache>
            </c:strRef>
          </c:cat>
          <c:val>
            <c:numRef>
              <c:f>info!$W$3:$X$3</c:f>
              <c:numCache>
                <c:formatCode>[$$-540A]#,##0</c:formatCode>
                <c:ptCount val="2"/>
                <c:pt idx="0">
                  <c:v>-100</c:v>
                </c:pt>
                <c:pt idx="1">
                  <c:v>-1000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8A-4057-B475-B397222A4AF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244074464"/>
        <c:axId val="244072800"/>
      </c:barChart>
      <c:catAx>
        <c:axId val="2440744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s-VE"/>
          </a:p>
        </c:txPr>
        <c:crossAx val="244072800"/>
        <c:crosses val="autoZero"/>
        <c:auto val="1"/>
        <c:lblAlgn val="ctr"/>
        <c:lblOffset val="100"/>
        <c:noMultiLvlLbl val="0"/>
      </c:catAx>
      <c:valAx>
        <c:axId val="244072800"/>
        <c:scaling>
          <c:orientation val="minMax"/>
        </c:scaling>
        <c:delete val="1"/>
        <c:axPos val="t"/>
        <c:numFmt formatCode="[$$-540A]#,##0" sourceLinked="1"/>
        <c:majorTickMark val="none"/>
        <c:minorTickMark val="none"/>
        <c:tickLblPos val="nextTo"/>
        <c:crossAx val="24407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126106736"/>
        <c:axId val="2126107152"/>
      </c:barChart>
      <c:catAx>
        <c:axId val="21261067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high"/>
        <c:crossAx val="2126107152"/>
        <c:crosses val="autoZero"/>
        <c:auto val="1"/>
        <c:lblAlgn val="ctr"/>
        <c:lblOffset val="50"/>
        <c:noMultiLvlLbl val="0"/>
      </c:catAx>
      <c:valAx>
        <c:axId val="2126107152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2126106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[TRADING JOURNAL PRISMA PRO.xlsx]Dinamics!Grafica Acumulado</c:name>
    <c:fmtId val="6"/>
  </c:pivotSource>
  <c:chart>
    <c:autoTitleDeleted val="1"/>
    <c:pivotFmts>
      <c:pivotFmt>
        <c:idx val="0"/>
        <c:spPr>
          <a:solidFill>
            <a:srgbClr val="1F7A8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1F7A8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F7A8C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dLbl>
          <c:idx val="0"/>
          <c:layout>
            <c:manualLayout>
              <c:x val="-1.0779196465456927E-16"/>
              <c:y val="0.37293650793650795"/>
            </c:manualLayout>
          </c:layout>
          <c:spPr>
            <a:solidFill>
              <a:srgbClr val="444054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400" b="1" i="0" u="none" strike="noStrike" kern="1200" baseline="0">
                  <a:solidFill>
                    <a:srgbClr val="D6EEFF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  <c15:xForSave val="1"/>
            </c:ext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  <c:dLbl>
          <c:idx val="0"/>
          <c:layout>
            <c:manualLayout>
              <c:x val="0"/>
              <c:y val="0.37293650793650795"/>
            </c:manualLayout>
          </c:layout>
          <c:spPr>
            <a:solidFill>
              <a:srgbClr val="444054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400" b="1" i="0" u="none" strike="noStrike" kern="1200" baseline="0">
                  <a:solidFill>
                    <a:srgbClr val="D6EEFF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  <c15:xForSave val="1"/>
            </c:ext>
          </c:extLst>
        </c:dLbl>
      </c:pivotFmt>
      <c:pivotFmt>
        <c:idx val="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3207628659756335E-2"/>
          <c:y val="0.13546357044198895"/>
          <c:w val="0.92119339879978168"/>
          <c:h val="0.83276070441988947"/>
        </c:manualLayout>
      </c:layout>
      <c:areaChart>
        <c:grouping val="stacked"/>
        <c:varyColors val="0"/>
        <c:ser>
          <c:idx val="0"/>
          <c:order val="0"/>
          <c:tx>
            <c:strRef>
              <c:f>Dinamics!$X$2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F7A8C"/>
            </a:solidFill>
            <a:ln w="25400">
              <a:noFill/>
            </a:ln>
            <a:effectLst/>
          </c:spPr>
          <c:cat>
            <c:strRef>
              <c:f>Dinamics!$W$3:$W$4</c:f>
              <c:strCache>
                <c:ptCount val="2"/>
                <c:pt idx="0">
                  <c:v>001</c:v>
                </c:pt>
                <c:pt idx="1">
                  <c:v>002</c:v>
                </c:pt>
              </c:strCache>
            </c:strRef>
          </c:cat>
          <c:val>
            <c:numRef>
              <c:f>Dinamics!$X$3:$X$4</c:f>
              <c:numCache>
                <c:formatCode>0.00%</c:formatCode>
                <c:ptCount val="2"/>
                <c:pt idx="0">
                  <c:v>-1.5499999999999999E-3</c:v>
                </c:pt>
                <c:pt idx="1">
                  <c:v>1.9955000000000001E-2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01-4522-8CC4-EC5823EC0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5734592"/>
        <c:axId val="1265735840"/>
      </c:areaChart>
      <c:catAx>
        <c:axId val="1265734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low"/>
        <c:crossAx val="1265735840"/>
        <c:crosses val="autoZero"/>
        <c:auto val="1"/>
        <c:lblAlgn val="ctr"/>
        <c:lblOffset val="100"/>
        <c:noMultiLvlLbl val="0"/>
      </c:catAx>
      <c:valAx>
        <c:axId val="1265735840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" b="1" i="0" u="none" strike="noStrike" kern="1200" baseline="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s-VE"/>
          </a:p>
        </c:txPr>
        <c:crossAx val="126573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[TRADING JOURNAL PRISMA PRO.xlsx]Dinamics!% x Mes</c:name>
    <c:fmtId val="1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F7A8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" b="1" i="0" u="none" strike="noStrike" kern="1200" baseline="0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1F7A8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500" b="1" i="0" u="none" strike="noStrike" kern="1200" baseline="0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1828703703703706E-2"/>
          <c:y val="0.26437213640977802"/>
          <c:w val="0.93634259259259256"/>
          <c:h val="0.639809048259211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Dinamics!$P$3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F7A8C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1" i="0" u="none" strike="noStrike" kern="1200" baseline="0">
                    <a:solidFill>
                      <a:srgbClr val="444054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s-V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Dinamics!$O$4:$O$5</c:f>
              <c:multiLvlStrCache>
                <c:ptCount val="1"/>
                <c:lvl>
                  <c:pt idx="0">
                    <c:v>feb</c:v>
                  </c:pt>
                </c:lvl>
                <c:lvl>
                  <c:pt idx="0">
                    <c:v>2025</c:v>
                  </c:pt>
                </c:lvl>
              </c:multiLvlStrCache>
            </c:multiLvlStrRef>
          </c:cat>
          <c:val>
            <c:numRef>
              <c:f>Dinamics!$P$4:$P$5</c:f>
              <c:numCache>
                <c:formatCode>0.00%</c:formatCode>
                <c:ptCount val="1"/>
                <c:pt idx="0">
                  <c:v>1.9955000000000001E-2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444054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3B9E-4322-B6C0-EF9F3135AC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50"/>
        <c:axId val="1527742991"/>
        <c:axId val="1527743407"/>
      </c:barChart>
      <c:catAx>
        <c:axId val="152774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s-VE"/>
          </a:p>
        </c:txPr>
        <c:crossAx val="1527743407"/>
        <c:crosses val="autoZero"/>
        <c:auto val="1"/>
        <c:lblAlgn val="ctr"/>
        <c:lblOffset val="200"/>
        <c:noMultiLvlLbl val="0"/>
      </c:catAx>
      <c:valAx>
        <c:axId val="1527743407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74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Dinamics!$AH$24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rgbClr val="44405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rgbClr val="444054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s-V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Dinamics!$AG$25:$AG$29</c:f>
              <c:strCache>
                <c:ptCount val="5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</c:strCache>
            </c:strRef>
          </c:cat>
          <c:val>
            <c:numRef>
              <c:f>Dinamics!$AH$25:$AH$29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8-4BEA-BC45-77347DB05C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765502383"/>
        <c:axId val="1765498639"/>
      </c:barChart>
      <c:catAx>
        <c:axId val="1765502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s-VE"/>
          </a:p>
        </c:txPr>
        <c:crossAx val="1765498639"/>
        <c:crosses val="autoZero"/>
        <c:auto val="1"/>
        <c:lblAlgn val="ctr"/>
        <c:lblOffset val="100"/>
        <c:noMultiLvlLbl val="0"/>
      </c:catAx>
      <c:valAx>
        <c:axId val="176549863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76550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Dinamics!$AK$24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rgbClr val="44405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rgbClr val="444054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s-V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Dinamics!$AJ$25:$AJ$29</c:f>
              <c:strCache>
                <c:ptCount val="5"/>
                <c:pt idx="0">
                  <c:v>Deslizamiento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</c:strCache>
            </c:strRef>
          </c:cat>
          <c:val>
            <c:numRef>
              <c:f>Dinamics!$AK$25:$AK$29</c:f>
              <c:numCache>
                <c:formatCode>General</c:formatCode>
                <c:ptCount val="5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9B-4600-95AD-1F6007EFC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866872464"/>
        <c:axId val="866875792"/>
      </c:barChart>
      <c:catAx>
        <c:axId val="8668724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s-VE"/>
          </a:p>
        </c:txPr>
        <c:crossAx val="866875792"/>
        <c:crosses val="autoZero"/>
        <c:auto val="1"/>
        <c:lblAlgn val="ctr"/>
        <c:lblOffset val="100"/>
        <c:noMultiLvlLbl val="0"/>
      </c:catAx>
      <c:valAx>
        <c:axId val="86687579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86687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[TRADING JOURNAL PRISMA PRO.xlsx]Dinamics!Rend $ x Par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F7A8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5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rgbClr val="1F7A8C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5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0429558404558405"/>
                  <c:h val="8.3488790475289981E-2"/>
                </c:manualLayout>
              </c15:layout>
            </c:ext>
          </c:extLst>
        </c:dLbl>
      </c:pivotFmt>
      <c:pivotFmt>
        <c:idx val="4"/>
        <c:spPr>
          <a:solidFill>
            <a:srgbClr val="1F7A8C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5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0429558404558405"/>
                  <c:h val="8.3488790475289981E-2"/>
                </c:manualLayout>
              </c15:layout>
            </c:ext>
          </c:extLst>
        </c:dLbl>
      </c:pivotFmt>
      <c:pivotFmt>
        <c:idx val="5"/>
        <c:spPr>
          <a:solidFill>
            <a:srgbClr val="1F7A8C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5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0429558404558405"/>
                  <c:h val="8.3488790475289981E-2"/>
                </c:manualLayout>
              </c15:layout>
            </c:ext>
          </c:extLst>
        </c:dLbl>
      </c:pivotFmt>
      <c:pivotFmt>
        <c:idx val="6"/>
        <c:spPr>
          <a:solidFill>
            <a:srgbClr val="1F7A8C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5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0429558404558405"/>
                  <c:h val="8.3488790475289981E-2"/>
                </c:manualLayout>
              </c15:layout>
            </c:ext>
          </c:extLst>
        </c:dLbl>
      </c:pivotFmt>
      <c:pivotFmt>
        <c:idx val="7"/>
        <c:spPr>
          <a:solidFill>
            <a:srgbClr val="1F7A8C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5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0429558404558405"/>
                  <c:h val="8.3488790475289981E-2"/>
                </c:manualLayout>
              </c15:layout>
            </c:ext>
          </c:extLst>
        </c:dLbl>
      </c:pivotFmt>
      <c:pivotFmt>
        <c:idx val="8"/>
        <c:spPr>
          <a:solidFill>
            <a:srgbClr val="1F7A8C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5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9.8031695156695159E-2"/>
                  <c:h val="8.3488790475289981E-2"/>
                </c:manualLayout>
              </c15:layout>
            </c:ext>
          </c:extLst>
        </c:dLbl>
      </c:pivotFmt>
      <c:pivotFmt>
        <c:idx val="9"/>
        <c:spPr>
          <a:solidFill>
            <a:srgbClr val="1F7A8C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5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1732122507122507"/>
                  <c:h val="8.3488790475289981E-2"/>
                </c:manualLayout>
              </c15:layout>
            </c:ext>
          </c:extLst>
        </c:dLbl>
      </c:pivotFmt>
      <c:pivotFmt>
        <c:idx val="10"/>
        <c:spPr>
          <a:solidFill>
            <a:srgbClr val="1F7A8C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5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1732122507122507"/>
                  <c:h val="8.3488790475289981E-2"/>
                </c:manualLayout>
              </c15:layout>
            </c:ext>
          </c:extLst>
        </c:dLbl>
      </c:pivotFmt>
      <c:pivotFmt>
        <c:idx val="11"/>
        <c:spPr>
          <a:solidFill>
            <a:srgbClr val="1F7A8C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5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1732122507122507"/>
                  <c:h val="8.3488790475289981E-2"/>
                </c:manualLayout>
              </c15:layout>
            </c:ext>
          </c:extLst>
        </c:dLbl>
      </c:pivotFmt>
      <c:pivotFmt>
        <c:idx val="12"/>
        <c:spPr>
          <a:solidFill>
            <a:srgbClr val="1F7A8C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5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1732122507122507"/>
                  <c:h val="8.3488790475289981E-2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5.4671968190854868E-2"/>
          <c:y val="0.13672683880557107"/>
          <c:w val="0.89065606361829031"/>
          <c:h val="0.63608436826259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Dinamics!$EP$2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F7A8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noAutofit/>
              </a:bodyPr>
              <a:lstStyle/>
              <a:p>
                <a:pPr>
                  <a:defRPr sz="5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s-V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Dinamics!$EO$3:$EO$4</c:f>
              <c:strCache>
                <c:ptCount val="2"/>
                <c:pt idx="0">
                  <c:v>GBPUSD</c:v>
                </c:pt>
                <c:pt idx="1">
                  <c:v>EURUSD</c:v>
                </c:pt>
              </c:strCache>
            </c:strRef>
          </c:cat>
          <c:val>
            <c:numRef>
              <c:f>Dinamics!$EP$3:$EP$4</c:f>
              <c:numCache>
                <c:formatCode>[$$-540A]#,##0</c:formatCode>
                <c:ptCount val="2"/>
                <c:pt idx="0">
                  <c:v>2150.5</c:v>
                </c:pt>
                <c:pt idx="1">
                  <c:v>-155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295-4BFF-89BA-2553E4AFC5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50"/>
        <c:axId val="1665641263"/>
        <c:axId val="1665637935"/>
      </c:barChart>
      <c:catAx>
        <c:axId val="166564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s-VE"/>
          </a:p>
        </c:txPr>
        <c:crossAx val="1665637935"/>
        <c:crosses val="autoZero"/>
        <c:auto val="1"/>
        <c:lblAlgn val="ctr"/>
        <c:lblOffset val="500"/>
        <c:noMultiLvlLbl val="0"/>
      </c:catAx>
      <c:valAx>
        <c:axId val="1665637935"/>
        <c:scaling>
          <c:orientation val="minMax"/>
        </c:scaling>
        <c:delete val="1"/>
        <c:axPos val="l"/>
        <c:numFmt formatCode="[$$-540A]#,##0" sourceLinked="1"/>
        <c:majorTickMark val="none"/>
        <c:minorTickMark val="none"/>
        <c:tickLblPos val="nextTo"/>
        <c:crossAx val="166564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AAADC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B3-4EFC-BBB8-EE190A1A0EE9}"/>
              </c:ext>
            </c:extLst>
          </c:dPt>
          <c:dPt>
            <c:idx val="1"/>
            <c:bubble3D val="0"/>
            <c:spPr>
              <a:solidFill>
                <a:srgbClr val="AAADC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FB3-4EFC-BBB8-EE190A1A0EE9}"/>
              </c:ext>
            </c:extLst>
          </c:dPt>
          <c:dPt>
            <c:idx val="2"/>
            <c:bubble3D val="0"/>
            <c:spPr>
              <a:solidFill>
                <a:srgbClr val="1F7A8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FB3-4EFC-BBB8-EE190A1A0EE9}"/>
              </c:ext>
            </c:extLst>
          </c:dPt>
          <c:cat>
            <c:strRef>
              <c:f>Dinamics!$AM$9:$AM$11</c:f>
              <c:strCache>
                <c:ptCount val="3"/>
                <c:pt idx="0">
                  <c:v>BE</c:v>
                </c:pt>
                <c:pt idx="1">
                  <c:v>SL</c:v>
                </c:pt>
                <c:pt idx="2">
                  <c:v>TP</c:v>
                </c:pt>
              </c:strCache>
            </c:strRef>
          </c:cat>
          <c:val>
            <c:numRef>
              <c:f>Dinamics!$AN$9:$AN$11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B3-4EFC-BBB8-EE190A1A0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AAADC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BEF-4592-8414-2DE0EEE1DD87}"/>
              </c:ext>
            </c:extLst>
          </c:dPt>
          <c:dPt>
            <c:idx val="1"/>
            <c:bubble3D val="0"/>
            <c:spPr>
              <a:solidFill>
                <a:srgbClr val="1F7A8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BEF-4592-8414-2DE0EEE1DD87}"/>
              </c:ext>
            </c:extLst>
          </c:dPt>
          <c:dPt>
            <c:idx val="2"/>
            <c:bubble3D val="0"/>
            <c:spPr>
              <a:solidFill>
                <a:srgbClr val="AAADC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BEF-4592-8414-2DE0EEE1DD87}"/>
              </c:ext>
            </c:extLst>
          </c:dPt>
          <c:cat>
            <c:strRef>
              <c:f>Dinamics!$AM$9:$AM$11</c:f>
              <c:strCache>
                <c:ptCount val="3"/>
                <c:pt idx="0">
                  <c:v>BE</c:v>
                </c:pt>
                <c:pt idx="1">
                  <c:v>SL</c:v>
                </c:pt>
                <c:pt idx="2">
                  <c:v>TP</c:v>
                </c:pt>
              </c:strCache>
            </c:strRef>
          </c:cat>
          <c:val>
            <c:numRef>
              <c:f>Dinamics!$AN$9:$AN$11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EF-4592-8414-2DE0EEE1D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[TRADING JOURNAL PRISMA PRO.xlsx]Dinamics!Pares Cuenta</c:name>
    <c:fmtId val="1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AAD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1F7A8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Dinamics!$AE$2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F7A8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rgbClr val="444054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s-V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Dinamics!$AD$3:$AD$4</c:f>
              <c:strCache>
                <c:ptCount val="2"/>
                <c:pt idx="0">
                  <c:v>EURUSD</c:v>
                </c:pt>
                <c:pt idx="1">
                  <c:v>GBPUSD</c:v>
                </c:pt>
              </c:strCache>
            </c:strRef>
          </c:cat>
          <c:val>
            <c:numRef>
              <c:f>Dinamics!$AE$3:$AE$4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2B-434F-94D3-EF6D0C90C5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2099892047"/>
        <c:axId val="2099892879"/>
      </c:barChart>
      <c:catAx>
        <c:axId val="2099892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s-VE"/>
          </a:p>
        </c:txPr>
        <c:crossAx val="2099892879"/>
        <c:crosses val="autoZero"/>
        <c:auto val="1"/>
        <c:lblAlgn val="ctr"/>
        <c:lblOffset val="100"/>
        <c:noMultiLvlLbl val="0"/>
      </c:catAx>
      <c:valAx>
        <c:axId val="20998928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9989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1.6035714285714285E-2"/>
          <c:w val="0.98396464646464643"/>
          <c:h val="0.98396464646464643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AAADC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6FF-4A2F-ADB2-998BC38D3546}"/>
              </c:ext>
            </c:extLst>
          </c:dPt>
          <c:dPt>
            <c:idx val="1"/>
            <c:bubble3D val="0"/>
            <c:spPr>
              <a:solidFill>
                <a:srgbClr val="1F7A8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6FF-4A2F-ADB2-998BC38D3546}"/>
              </c:ext>
            </c:extLst>
          </c:dPt>
          <c:dPt>
            <c:idx val="2"/>
            <c:bubble3D val="0"/>
            <c:spPr>
              <a:solidFill>
                <a:srgbClr val="AAADC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6FF-4A2F-ADB2-998BC38D354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F16-4E70-A40E-B661750A5BA4}"/>
              </c:ext>
            </c:extLst>
          </c:dPt>
          <c:val>
            <c:numRef>
              <c:f>Dinamics!$FB$9:$FB$12</c:f>
              <c:numCache>
                <c:formatCode>0%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FF-4A2F-ADB2-998BC38D3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dPt>
            <c:idx val="0"/>
            <c:bubble3D val="0"/>
            <c:spPr>
              <a:solidFill>
                <a:srgbClr val="1F7A8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FC-4DF0-95CD-DBD78167D4E8}"/>
              </c:ext>
            </c:extLst>
          </c:dPt>
          <c:dPt>
            <c:idx val="1"/>
            <c:bubble3D val="0"/>
            <c:spPr>
              <a:solidFill>
                <a:srgbClr val="AAADC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FC-4DF0-95CD-DBD78167D4E8}"/>
              </c:ext>
            </c:extLst>
          </c:dPt>
          <c:val>
            <c:numRef>
              <c:f>Dinamics!$AQ$9:$AR$9</c:f>
              <c:numCache>
                <c:formatCode>0.00%</c:formatCode>
                <c:ptCount val="2"/>
                <c:pt idx="0" formatCode="0%">
                  <c:v>0.875</c:v>
                </c:pt>
                <c:pt idx="1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FC-4DF0-95CD-DBD78167D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[TRADING JOURNAL PRISMA PRO.xlsx]Dinamics!Hrs del Dia</c:name>
    <c:fmtId val="2"/>
  </c:pivotSource>
  <c:chart>
    <c:autoTitleDeleted val="1"/>
    <c:pivotFmts>
      <c:pivotFmt>
        <c:idx val="0"/>
        <c:spPr>
          <a:solidFill>
            <a:srgbClr val="1F7A8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1F7A8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F7A8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500" b="1" i="0" u="none" strike="noStrike" kern="1200" baseline="0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66974377906181"/>
          <c:y val="5.6862743634842686E-2"/>
          <c:w val="0.63791082247489417"/>
          <c:h val="0.8957516366694551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Dinamics!$FF$2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F7A8C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1" i="0" u="none" strike="noStrike" kern="1200" baseline="0">
                    <a:solidFill>
                      <a:srgbClr val="444054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s-V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Dinamics!$FE$3:$FE$4</c:f>
              <c:strCache>
                <c:ptCount val="2"/>
                <c:pt idx="0">
                  <c:v>9:00 a. m.</c:v>
                </c:pt>
                <c:pt idx="1">
                  <c:v>10:00 a. m.</c:v>
                </c:pt>
              </c:strCache>
            </c:strRef>
          </c:cat>
          <c:val>
            <c:numRef>
              <c:f>Dinamics!$FF$3:$FF$4</c:f>
              <c:numCache>
                <c:formatCode>[$$-540A]#,##0</c:formatCode>
                <c:ptCount val="2"/>
                <c:pt idx="0">
                  <c:v>2150.5</c:v>
                </c:pt>
                <c:pt idx="1">
                  <c:v>-155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444054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1F1B-425F-A8C0-AC3597C789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406067247"/>
        <c:axId val="1406060591"/>
      </c:barChart>
      <c:catAx>
        <c:axId val="14060672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1" i="0" u="none" strike="noStrike" kern="1200" baseline="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s-VE"/>
          </a:p>
        </c:txPr>
        <c:crossAx val="1406060591"/>
        <c:crosses val="autoZero"/>
        <c:auto val="1"/>
        <c:lblAlgn val="ctr"/>
        <c:lblOffset val="300"/>
        <c:noMultiLvlLbl val="0"/>
      </c:catAx>
      <c:valAx>
        <c:axId val="1406060591"/>
        <c:scaling>
          <c:orientation val="minMax"/>
        </c:scaling>
        <c:delete val="1"/>
        <c:axPos val="t"/>
        <c:numFmt formatCode="[$$-540A]#,##0" sourceLinked="1"/>
        <c:majorTickMark val="none"/>
        <c:minorTickMark val="none"/>
        <c:tickLblPos val="nextTo"/>
        <c:crossAx val="140606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34362139917695"/>
          <c:y val="0.10185185185185185"/>
          <c:w val="0.82279423868312762"/>
          <c:h val="0.615024059492563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AAADC4"/>
            </a:solidFill>
            <a:ln>
              <a:noFill/>
            </a:ln>
            <a:effectLst/>
          </c:spPr>
          <c:invertIfNegative val="0"/>
          <c:dPt>
            <c:idx val="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4-8C49-461C-92AD-63DDD02021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s-V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Dinamics!$B$17:$B$23</c:f>
              <c:strCache>
                <c:ptCount val="7"/>
                <c:pt idx="0">
                  <c:v>domingo</c:v>
                </c:pt>
                <c:pt idx="1">
                  <c:v>lunes</c:v>
                </c:pt>
                <c:pt idx="2">
                  <c:v>martes</c:v>
                </c:pt>
                <c:pt idx="3">
                  <c:v>miércoles</c:v>
                </c:pt>
                <c:pt idx="4">
                  <c:v>jueves</c:v>
                </c:pt>
                <c:pt idx="5">
                  <c:v>viernes</c:v>
                </c:pt>
                <c:pt idx="6">
                  <c:v>sábado</c:v>
                </c:pt>
              </c:strCache>
            </c:strRef>
          </c:cat>
          <c:val>
            <c:numRef>
              <c:f>Dinamics!$C$17:$C$23</c:f>
              <c:numCache>
                <c:formatCode>0.00%</c:formatCode>
                <c:ptCount val="7"/>
                <c:pt idx="0">
                  <c:v>#N/A</c:v>
                </c:pt>
                <c:pt idx="1">
                  <c:v>2.1505E-2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9-461C-92AD-63DDD0202151}"/>
            </c:ext>
          </c:extLst>
        </c:ser>
        <c:ser>
          <c:idx val="1"/>
          <c:order val="1"/>
          <c:spPr>
            <a:solidFill>
              <a:srgbClr val="444054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2.6131687242798355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C49-461C-92AD-63DDD02021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s-V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Dinamics!$B$17:$B$23</c:f>
              <c:strCache>
                <c:ptCount val="7"/>
                <c:pt idx="0">
                  <c:v>domingo</c:v>
                </c:pt>
                <c:pt idx="1">
                  <c:v>lunes</c:v>
                </c:pt>
                <c:pt idx="2">
                  <c:v>martes</c:v>
                </c:pt>
                <c:pt idx="3">
                  <c:v>miércoles</c:v>
                </c:pt>
                <c:pt idx="4">
                  <c:v>jueves</c:v>
                </c:pt>
                <c:pt idx="5">
                  <c:v>viernes</c:v>
                </c:pt>
                <c:pt idx="6">
                  <c:v>sábado</c:v>
                </c:pt>
              </c:strCache>
            </c:strRef>
          </c:cat>
          <c:val>
            <c:numRef>
              <c:f>Dinamics!$D$17:$D$23</c:f>
              <c:numCache>
                <c:formatCode>0.00%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-1.5499999999999999E-3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49-461C-92AD-63DDD02021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319569439"/>
        <c:axId val="319567359"/>
      </c:barChart>
      <c:catAx>
        <c:axId val="3195694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s-VE"/>
          </a:p>
        </c:txPr>
        <c:crossAx val="319567359"/>
        <c:crosses val="autoZero"/>
        <c:auto val="1"/>
        <c:lblAlgn val="ctr"/>
        <c:lblOffset val="250"/>
        <c:noMultiLvlLbl val="0"/>
      </c:catAx>
      <c:valAx>
        <c:axId val="319567359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319569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plotArea>
      <cx:plotAreaRegion>
        <cx:series layoutId="treemap" uniqueId="{7C57886A-FA53-47C6-9E66-8EE48F28DFDB}">
          <cx:spPr>
            <a:ln>
              <a:noFill/>
            </a:ln>
          </cx:spPr>
          <cx:dataLabels pos="inEnd">
            <cx:spPr>
              <a:noFill/>
              <a:ln>
                <a:noFill/>
              </a:ln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500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endParaRPr lang="es-ES" sz="500" b="0" i="0" u="none" strike="noStrike" baseline="0">
                  <a:solidFill>
                    <a:sysClr val="window" lastClr="FFFFFF"/>
                  </a:solidFill>
                  <a:latin typeface="Verdana" panose="020B0604030504040204" pitchFamily="34" charset="0"/>
                  <a:ea typeface="Verdana" panose="020B0604030504040204" pitchFamily="34" charset="0"/>
                </a:endParaRPr>
              </a:p>
            </cx:txPr>
            <cx:visibility seriesName="0" categoryName="1" value="1"/>
            <cx:separator> 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500" b="1">
                      <a:solidFill>
                        <a:srgbClr val="444054"/>
                      </a:solidFill>
                    </a:defRPr>
                  </a:pPr>
                  <a:r>
                    <a:rPr lang="es-ES" sz="500" b="1" i="0" u="none" strike="noStrike" baseline="0">
                      <a:solidFill>
                        <a:srgbClr val="444054"/>
                      </a:solidFill>
                      <a:latin typeface="Verdana" panose="020B0604030504040204" pitchFamily="34" charset="0"/>
                      <a:ea typeface="Verdana" panose="020B0604030504040204" pitchFamily="34" charset="0"/>
                    </a:rPr>
                    <a:t>Criterio 1 100%</a:t>
                  </a:r>
                </a:p>
              </cx:txPr>
              <cx:visibility seriesName="0" categoryName="1" value="1"/>
              <cx:separator> </cx:separato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>
                      <a:solidFill>
                        <a:srgbClr val="444054"/>
                      </a:solidFill>
                    </a:defRPr>
                  </a:pPr>
                  <a:r>
                    <a:rPr lang="es-ES" sz="500" b="1" i="0" u="none" strike="noStrike" baseline="0">
                      <a:solidFill>
                        <a:srgbClr val="444054"/>
                      </a:solidFill>
                      <a:latin typeface="Verdana" panose="020B0604030504040204" pitchFamily="34" charset="0"/>
                      <a:ea typeface="Verdana" panose="020B0604030504040204" pitchFamily="34" charset="0"/>
                    </a:rPr>
                    <a:t>Criterio 2 100%</a:t>
                  </a:r>
                </a:p>
              </cx:txPr>
              <cx:visibility seriesName="0" categoryName="1" value="1"/>
              <cx:separator> </cx:separator>
            </cx:dataLabel>
            <cx:dataLabel idx="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>
                      <a:solidFill>
                        <a:srgbClr val="444054"/>
                      </a:solidFill>
                    </a:defRPr>
                  </a:pPr>
                  <a:r>
                    <a:rPr lang="es-ES" sz="500" b="1" i="0" u="none" strike="noStrike" baseline="0">
                      <a:solidFill>
                        <a:srgbClr val="444054"/>
                      </a:solidFill>
                      <a:latin typeface="Verdana" panose="020B0604030504040204" pitchFamily="34" charset="0"/>
                      <a:ea typeface="Verdana" panose="020B0604030504040204" pitchFamily="34" charset="0"/>
                    </a:rPr>
                    <a:t>Criterio 3 50%</a:t>
                  </a:r>
                </a:p>
              </cx:txPr>
              <cx:visibility seriesName="0" categoryName="1" value="1"/>
              <cx:separator> </cx:separator>
            </cx:dataLabel>
            <cx:dataLabel idx="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>
                      <a:solidFill>
                        <a:srgbClr val="444054"/>
                      </a:solidFill>
                    </a:defRPr>
                  </a:pPr>
                  <a:r>
                    <a:rPr lang="es-ES" sz="500" b="1" i="0" u="none" strike="noStrike" baseline="0">
                      <a:solidFill>
                        <a:srgbClr val="444054"/>
                      </a:solidFill>
                      <a:latin typeface="Verdana" panose="020B0604030504040204" pitchFamily="34" charset="0"/>
                      <a:ea typeface="Verdana" panose="020B0604030504040204" pitchFamily="34" charset="0"/>
                    </a:rPr>
                    <a:t>Criterio 4 100%</a:t>
                  </a:r>
                </a:p>
              </cx:txPr>
              <cx:visibility seriesName="0" categoryName="1" value="1"/>
              <cx:separator> </cx:separator>
            </cx:dataLabel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>
                      <a:solidFill>
                        <a:srgbClr val="444054"/>
                      </a:solidFill>
                    </a:defRPr>
                  </a:pPr>
                  <a:r>
                    <a:rPr lang="es-ES" sz="500" b="1" i="0" u="none" strike="noStrike" baseline="0">
                      <a:solidFill>
                        <a:srgbClr val="444054"/>
                      </a:solidFill>
                      <a:latin typeface="Verdana" panose="020B0604030504040204" pitchFamily="34" charset="0"/>
                      <a:ea typeface="Verdana" panose="020B0604030504040204" pitchFamily="34" charset="0"/>
                    </a:rPr>
                    <a:t>Criterio 5 100%</a:t>
                  </a:r>
                </a:p>
              </cx:txPr>
              <cx:visibility seriesName="0" categoryName="1" value="1"/>
              <cx:separator> </cx:separator>
            </cx:dataLabel>
            <cx:dataLabel idx="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>
                      <a:solidFill>
                        <a:srgbClr val="444054"/>
                      </a:solidFill>
                    </a:defRPr>
                  </a:pPr>
                  <a:r>
                    <a:rPr lang="es-ES" sz="500" b="1" i="0" u="none" strike="noStrike" baseline="0">
                      <a:solidFill>
                        <a:srgbClr val="444054"/>
                      </a:solidFill>
                      <a:latin typeface="Verdana" panose="020B0604030504040204" pitchFamily="34" charset="0"/>
                      <a:ea typeface="Verdana" panose="020B0604030504040204" pitchFamily="34" charset="0"/>
                    </a:rPr>
                    <a:t>Criterio 6 50%</a:t>
                  </a:r>
                </a:p>
              </cx:txPr>
              <cx:visibility seriesName="0" categoryName="1" value="1"/>
              <cx:separator> </cx:separator>
            </cx:dataLabel>
          </cx:dataLabels>
          <cx:dataId val="0"/>
          <cx:layoutPr>
            <cx:parentLabelLayout val="overlapping"/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E$19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0.svg"/><Relationship Id="rId5" Type="http://schemas.openxmlformats.org/officeDocument/2006/relationships/image" Target="../media/image5.png"/><Relationship Id="rId10" Type="http://schemas.openxmlformats.org/officeDocument/2006/relationships/image" Target="../media/image9.png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svg"/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8.xml"/><Relationship Id="rId18" Type="http://schemas.openxmlformats.org/officeDocument/2006/relationships/image" Target="../media/image25.svg"/><Relationship Id="rId26" Type="http://schemas.openxmlformats.org/officeDocument/2006/relationships/image" Target="../media/image32.png"/><Relationship Id="rId39" Type="http://schemas.openxmlformats.org/officeDocument/2006/relationships/image" Target="../media/image43.svg"/><Relationship Id="rId21" Type="http://schemas.openxmlformats.org/officeDocument/2006/relationships/image" Target="../media/image27.svg"/><Relationship Id="rId34" Type="http://schemas.openxmlformats.org/officeDocument/2006/relationships/image" Target="../media/image39.png"/><Relationship Id="rId42" Type="http://schemas.openxmlformats.org/officeDocument/2006/relationships/chart" Target="../charts/chart14.xml"/><Relationship Id="rId7" Type="http://schemas.openxmlformats.org/officeDocument/2006/relationships/image" Target="../media/image17.svg"/><Relationship Id="rId2" Type="http://schemas.openxmlformats.org/officeDocument/2006/relationships/chart" Target="../charts/chart3.xml"/><Relationship Id="rId16" Type="http://schemas.openxmlformats.org/officeDocument/2006/relationships/chart" Target="../charts/chart9.xml"/><Relationship Id="rId20" Type="http://schemas.openxmlformats.org/officeDocument/2006/relationships/image" Target="../media/image26.png"/><Relationship Id="rId29" Type="http://schemas.openxmlformats.org/officeDocument/2006/relationships/image" Target="../media/image34.png"/><Relationship Id="rId41" Type="http://schemas.openxmlformats.org/officeDocument/2006/relationships/chart" Target="../charts/chart13.xml"/><Relationship Id="rId1" Type="http://schemas.openxmlformats.org/officeDocument/2006/relationships/chart" Target="../charts/chart2.xml"/><Relationship Id="rId6" Type="http://schemas.openxmlformats.org/officeDocument/2006/relationships/image" Target="../media/image16.png"/><Relationship Id="rId11" Type="http://schemas.openxmlformats.org/officeDocument/2006/relationships/image" Target="../media/image20.png"/><Relationship Id="rId24" Type="http://schemas.openxmlformats.org/officeDocument/2006/relationships/image" Target="../media/image30.png"/><Relationship Id="rId32" Type="http://schemas.openxmlformats.org/officeDocument/2006/relationships/image" Target="../media/image37.png"/><Relationship Id="rId37" Type="http://schemas.openxmlformats.org/officeDocument/2006/relationships/image" Target="../media/image42.svg"/><Relationship Id="rId40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image" Target="../media/image23.svg"/><Relationship Id="rId23" Type="http://schemas.openxmlformats.org/officeDocument/2006/relationships/image" Target="../media/image29.svg"/><Relationship Id="rId28" Type="http://schemas.openxmlformats.org/officeDocument/2006/relationships/chart" Target="../charts/chart11.xml"/><Relationship Id="rId36" Type="http://schemas.openxmlformats.org/officeDocument/2006/relationships/image" Target="../media/image41.png"/><Relationship Id="rId10" Type="http://schemas.openxmlformats.org/officeDocument/2006/relationships/chart" Target="../charts/chart7.xml"/><Relationship Id="rId19" Type="http://schemas.openxmlformats.org/officeDocument/2006/relationships/chart" Target="../charts/chart10.xml"/><Relationship Id="rId31" Type="http://schemas.openxmlformats.org/officeDocument/2006/relationships/image" Target="../media/image36.png"/><Relationship Id="rId4" Type="http://schemas.openxmlformats.org/officeDocument/2006/relationships/chart" Target="../charts/chart5.xml"/><Relationship Id="rId9" Type="http://schemas.openxmlformats.org/officeDocument/2006/relationships/image" Target="../media/image19.svg"/><Relationship Id="rId14" Type="http://schemas.openxmlformats.org/officeDocument/2006/relationships/image" Target="../media/image22.png"/><Relationship Id="rId22" Type="http://schemas.openxmlformats.org/officeDocument/2006/relationships/image" Target="../media/image28.png"/><Relationship Id="rId27" Type="http://schemas.openxmlformats.org/officeDocument/2006/relationships/image" Target="../media/image33.svg"/><Relationship Id="rId30" Type="http://schemas.openxmlformats.org/officeDocument/2006/relationships/image" Target="../media/image35.svg"/><Relationship Id="rId35" Type="http://schemas.openxmlformats.org/officeDocument/2006/relationships/image" Target="../media/image40.svg"/><Relationship Id="rId8" Type="http://schemas.openxmlformats.org/officeDocument/2006/relationships/image" Target="../media/image18.png"/><Relationship Id="rId3" Type="http://schemas.openxmlformats.org/officeDocument/2006/relationships/chart" Target="../charts/chart4.xml"/><Relationship Id="rId12" Type="http://schemas.openxmlformats.org/officeDocument/2006/relationships/image" Target="../media/image21.svg"/><Relationship Id="rId17" Type="http://schemas.openxmlformats.org/officeDocument/2006/relationships/image" Target="../media/image24.png"/><Relationship Id="rId25" Type="http://schemas.openxmlformats.org/officeDocument/2006/relationships/image" Target="../media/image31.svg"/><Relationship Id="rId33" Type="http://schemas.openxmlformats.org/officeDocument/2006/relationships/image" Target="../media/image38.svg"/><Relationship Id="rId38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6.emf"/><Relationship Id="rId7" Type="http://schemas.openxmlformats.org/officeDocument/2006/relationships/image" Target="../media/image50.svg"/><Relationship Id="rId2" Type="http://schemas.openxmlformats.org/officeDocument/2006/relationships/image" Target="../media/image45.svg"/><Relationship Id="rId1" Type="http://schemas.openxmlformats.org/officeDocument/2006/relationships/image" Target="../media/image44.png"/><Relationship Id="rId6" Type="http://schemas.openxmlformats.org/officeDocument/2006/relationships/image" Target="../media/image49.png"/><Relationship Id="rId5" Type="http://schemas.openxmlformats.org/officeDocument/2006/relationships/image" Target="../media/image48.png"/><Relationship Id="rId4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523240</xdr:colOff>
      <xdr:row>5</xdr:row>
      <xdr:rowOff>66040</xdr:rowOff>
    </xdr:from>
    <xdr:to>
      <xdr:col>9</xdr:col>
      <xdr:colOff>320041</xdr:colOff>
      <xdr:row>15</xdr:row>
      <xdr:rowOff>30480</xdr:rowOff>
    </xdr:to>
    <xdr:sp macro="" textlink="">
      <xdr:nvSpPr>
        <xdr:cNvPr id="9" name="Bocadillo: rectángulo con esquinas redondeada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558280" y="955040"/>
          <a:ext cx="2946401" cy="1635760"/>
        </a:xfrm>
        <a:prstGeom prst="wedgeRoundRectCallout">
          <a:avLst>
            <a:gd name="adj1" fmla="val -61405"/>
            <a:gd name="adj2" fmla="val -29682"/>
            <a:gd name="adj3" fmla="val 16667"/>
          </a:avLst>
        </a:prstGeom>
        <a:solidFill>
          <a:srgbClr val="444054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VE" sz="900" b="1">
              <a:solidFill>
                <a:srgbClr val="D6EEFF"/>
              </a:solidFill>
              <a:latin typeface="Verdana" panose="020B0604030504040204" pitchFamily="34" charset="0"/>
              <a:ea typeface="Verdana" panose="020B0604030504040204" pitchFamily="34" charset="0"/>
            </a:rPr>
            <a:t>¿Como</a:t>
          </a:r>
          <a:r>
            <a:rPr lang="es-VE" sz="900" b="1" baseline="0">
              <a:solidFill>
                <a:srgbClr val="D6EEFF"/>
              </a:solidFill>
              <a:latin typeface="Verdana" panose="020B0604030504040204" pitchFamily="34" charset="0"/>
              <a:ea typeface="Verdana" panose="020B0604030504040204" pitchFamily="34" charset="0"/>
            </a:rPr>
            <a:t> usar los criterios de estrategia?</a:t>
          </a:r>
        </a:p>
        <a:p>
          <a:pPr algn="l"/>
          <a:endParaRPr lang="es-VE" sz="900" b="1">
            <a:solidFill>
              <a:srgbClr val="D6EEFF"/>
            </a:solidFill>
            <a:latin typeface="Verdana" panose="020B0604030504040204" pitchFamily="34" charset="0"/>
            <a:ea typeface="Verdana" panose="020B0604030504040204" pitchFamily="34" charset="0"/>
          </a:endParaRPr>
        </a:p>
        <a:p>
          <a:pPr algn="l"/>
          <a:r>
            <a:rPr lang="es-VE" sz="700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rPr>
            <a:t>Agrega el numero de importancia (del 1 al 3) para cada criterio de entrada mostrado, según sea tu estrategia. Esto sera utilizado para calcular un porcentaje de </a:t>
          </a:r>
          <a:r>
            <a:rPr lang="es-VE" sz="700" b="1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rPr>
            <a:t>CUMPLIMIENTO CON LA ESTRATEGIA </a:t>
          </a:r>
          <a:r>
            <a:rPr lang="es-VE" sz="700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rPr>
            <a:t>tomando en cuenta si se cumplieron o no los criterios de entrada.</a:t>
          </a:r>
        </a:p>
        <a:p>
          <a:pPr algn="l"/>
          <a:endParaRPr lang="es-VE" sz="700">
            <a:solidFill>
              <a:schemeClr val="bg1"/>
            </a:solidFill>
            <a:latin typeface="Verdana" panose="020B0604030504040204" pitchFamily="34" charset="0"/>
            <a:ea typeface="Verdana" panose="020B0604030504040204" pitchFamily="34" charset="0"/>
          </a:endParaRPr>
        </a:p>
        <a:p>
          <a:pPr algn="l"/>
          <a:r>
            <a:rPr lang="es-VE" sz="700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rPr>
            <a:t>Por ejemplo, el valor de </a:t>
          </a:r>
          <a:r>
            <a:rPr lang="es-VE" sz="700" b="1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rPr>
            <a:t>3 </a:t>
          </a:r>
          <a:r>
            <a:rPr lang="es-VE" sz="700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rPr>
            <a:t>en un criterio de entrada, significa que es muy importante para la operativa, mientras que un </a:t>
          </a:r>
          <a:r>
            <a:rPr lang="es-VE" sz="700" b="1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rPr>
            <a:t>1</a:t>
          </a:r>
          <a:r>
            <a:rPr lang="es-VE" sz="700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rPr>
            <a:t> solo agrega o poco mas de confirmacion pero su ausencia no invalida la entrada.</a:t>
          </a:r>
        </a:p>
      </xdr:txBody>
    </xdr:sp>
    <xdr:clientData/>
  </xdr:twoCellAnchor>
  <xdr:twoCellAnchor>
    <xdr:from>
      <xdr:col>3</xdr:col>
      <xdr:colOff>1814</xdr:colOff>
      <xdr:row>5</xdr:row>
      <xdr:rowOff>78764</xdr:rowOff>
    </xdr:from>
    <xdr:to>
      <xdr:col>4</xdr:col>
      <xdr:colOff>1070925</xdr:colOff>
      <xdr:row>7</xdr:row>
      <xdr:rowOff>129764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253014" y="967764"/>
          <a:ext cx="2770911" cy="406600"/>
          <a:chOff x="3259546" y="997155"/>
          <a:chExt cx="2768371" cy="399343"/>
        </a:xfrm>
      </xdr:grpSpPr>
      <xdr:sp macro="" textlink="">
        <xdr:nvSpPr>
          <xdr:cNvPr id="8" name="Rectángulo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3259546" y="1132447"/>
            <a:ext cx="2768371" cy="264051"/>
          </a:xfrm>
          <a:prstGeom prst="rect">
            <a:avLst/>
          </a:prstGeom>
          <a:solidFill>
            <a:srgbClr val="1F7A8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VE" sz="1200" b="0">
                <a:latin typeface="Verdana" panose="020B0604030504040204" pitchFamily="34" charset="0"/>
                <a:ea typeface="Verdana" panose="020B0604030504040204" pitchFamily="34" charset="0"/>
              </a:rPr>
              <a:t>Detalles</a:t>
            </a:r>
            <a:r>
              <a:rPr lang="es-VE" sz="1200" b="0" baseline="0">
                <a:latin typeface="Verdana" panose="020B0604030504040204" pitchFamily="34" charset="0"/>
                <a:ea typeface="Verdana" panose="020B0604030504040204" pitchFamily="34" charset="0"/>
              </a:rPr>
              <a:t> de Estrategia</a:t>
            </a:r>
            <a:endParaRPr lang="es-VE" sz="1200" b="0"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pic>
        <xdr:nvPicPr>
          <xdr:cNvPr id="4" name="Gráfico 3" descr="Cuaderno de estrategias con relleno sóli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592717" y="997155"/>
            <a:ext cx="432000" cy="399343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5</xdr:row>
      <xdr:rowOff>21547</xdr:rowOff>
    </xdr:from>
    <xdr:to>
      <xdr:col>2</xdr:col>
      <xdr:colOff>2177</xdr:colOff>
      <xdr:row>7</xdr:row>
      <xdr:rowOff>130265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0" y="910547"/>
          <a:ext cx="2511697" cy="464318"/>
          <a:chOff x="0" y="1028840"/>
          <a:chExt cx="2509520" cy="440171"/>
        </a:xfrm>
      </xdr:grpSpPr>
      <xdr:sp macro="" textlink="">
        <xdr:nvSpPr>
          <xdr:cNvPr id="7" name="Rectángulo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1181011"/>
            <a:ext cx="2509520" cy="288000"/>
          </a:xfrm>
          <a:prstGeom prst="rect">
            <a:avLst/>
          </a:prstGeom>
          <a:solidFill>
            <a:srgbClr val="1F7A8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VE" sz="1200" b="0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Datos de Cuenta</a:t>
            </a:r>
          </a:p>
        </xdr:txBody>
      </xdr:sp>
      <xdr:pic>
        <xdr:nvPicPr>
          <xdr:cNvPr id="11" name="Gráfico 10" descr="Usuario con relleno sólido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2075320" y="1028840"/>
            <a:ext cx="432000" cy="4320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12</xdr:row>
      <xdr:rowOff>5080</xdr:rowOff>
    </xdr:from>
    <xdr:to>
      <xdr:col>2</xdr:col>
      <xdr:colOff>4717</xdr:colOff>
      <xdr:row>14</xdr:row>
      <xdr:rowOff>123571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0" y="2077720"/>
          <a:ext cx="2514237" cy="443611"/>
          <a:chOff x="0" y="2128936"/>
          <a:chExt cx="2509157" cy="436354"/>
        </a:xfrm>
      </xdr:grpSpPr>
      <xdr:sp macro="" textlink="">
        <xdr:nvSpPr>
          <xdr:cNvPr id="17" name="Rectángulo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0" y="2265316"/>
            <a:ext cx="2509157" cy="278203"/>
          </a:xfrm>
          <a:prstGeom prst="rect">
            <a:avLst/>
          </a:prstGeom>
          <a:solidFill>
            <a:srgbClr val="1F7A8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VE" sz="1200" b="0" baseline="0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Activos Utilizados</a:t>
            </a:r>
            <a:endParaRPr lang="es-VE" sz="1200" b="0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pic>
        <xdr:nvPicPr>
          <xdr:cNvPr id="10" name="Gráfico 9" descr="Dinero con relleno sólido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076069" y="2128936"/>
            <a:ext cx="433088" cy="436354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1814</xdr:colOff>
      <xdr:row>13</xdr:row>
      <xdr:rowOff>161888</xdr:rowOff>
    </xdr:from>
    <xdr:to>
      <xdr:col>4</xdr:col>
      <xdr:colOff>1074554</xdr:colOff>
      <xdr:row>16</xdr:row>
      <xdr:rowOff>117819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253014" y="2397088"/>
          <a:ext cx="2774540" cy="443611"/>
          <a:chOff x="3259546" y="2472199"/>
          <a:chExt cx="2772000" cy="436354"/>
        </a:xfrm>
      </xdr:grpSpPr>
      <xdr:sp macro="" textlink="">
        <xdr:nvSpPr>
          <xdr:cNvPr id="18" name="Rectángulo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3259546" y="2616199"/>
            <a:ext cx="2768371" cy="270583"/>
          </a:xfrm>
          <a:prstGeom prst="rect">
            <a:avLst/>
          </a:prstGeom>
          <a:solidFill>
            <a:srgbClr val="1F7A8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VE" sz="1200" b="0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Configuracion</a:t>
            </a:r>
            <a:r>
              <a:rPr lang="es-VE" sz="1200" b="0" baseline="0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de Breakeven</a:t>
            </a:r>
            <a:endParaRPr lang="es-VE" sz="1200" b="0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pic>
        <xdr:nvPicPr>
          <xdr:cNvPr id="15" name="Gráfico 14" descr="Dólar con relleno sólido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5595917" y="2472199"/>
            <a:ext cx="435629" cy="436354"/>
          </a:xfrm>
          <a:prstGeom prst="rect">
            <a:avLst/>
          </a:prstGeom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17</xdr:row>
          <xdr:rowOff>160020</xdr:rowOff>
        </xdr:from>
        <xdr:to>
          <xdr:col>3</xdr:col>
          <xdr:colOff>868680</xdr:colOff>
          <xdr:row>19</xdr:row>
          <xdr:rowOff>91440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1023818</xdr:colOff>
      <xdr:row>15</xdr:row>
      <xdr:rowOff>66040</xdr:rowOff>
    </xdr:from>
    <xdr:to>
      <xdr:col>9</xdr:col>
      <xdr:colOff>320041</xdr:colOff>
      <xdr:row>21</xdr:row>
      <xdr:rowOff>78833</xdr:rowOff>
    </xdr:to>
    <xdr:grpSp>
      <xdr:nvGrpSpPr>
        <xdr:cNvPr id="13" name="Grup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7058858" y="2626360"/>
          <a:ext cx="2445823" cy="988153"/>
          <a:chOff x="7355841" y="3058158"/>
          <a:chExt cx="2448000" cy="1012101"/>
        </a:xfrm>
      </xdr:grpSpPr>
      <xdr:sp macro="" textlink="">
        <xdr:nvSpPr>
          <xdr:cNvPr id="2" name="Rectángulo: esquinas redondeadas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7409840" y="3350259"/>
            <a:ext cx="2340000" cy="720000"/>
          </a:xfrm>
          <a:prstGeom prst="roundRect">
            <a:avLst>
              <a:gd name="adj" fmla="val 7381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graphicFrame macro="">
        <xdr:nvGraphicFramePr>
          <xdr:cNvPr id="19" name="Gráfico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aphicFramePr>
            <a:graphicFrameLocks/>
          </xdr:cNvGraphicFramePr>
        </xdr:nvGraphicFramePr>
        <xdr:xfrm>
          <a:off x="7499840" y="3350259"/>
          <a:ext cx="2160000" cy="7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sp macro="" textlink="">
        <xdr:nvSpPr>
          <xdr:cNvPr id="22" name="Rectángulo: esquinas redondeadas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7355841" y="3058158"/>
            <a:ext cx="2448000" cy="365761"/>
          </a:xfrm>
          <a:prstGeom prst="roundRect">
            <a:avLst>
              <a:gd name="adj" fmla="val 9722"/>
            </a:avLst>
          </a:prstGeom>
          <a:solidFill>
            <a:srgbClr val="1F7A8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VE" sz="700" b="1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Representacion</a:t>
            </a:r>
            <a:r>
              <a:rPr lang="es-VE" sz="700" b="1" baseline="0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del Rango de BE con respecto al +/- 1% de la cuenta</a:t>
            </a:r>
            <a:endParaRPr lang="es-VE" sz="700" b="1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</xdr:grpSp>
    <xdr:clientData/>
  </xdr:twoCellAnchor>
  <xdr:twoCellAnchor>
    <xdr:from>
      <xdr:col>4</xdr:col>
      <xdr:colOff>929139</xdr:colOff>
      <xdr:row>22</xdr:row>
      <xdr:rowOff>85268</xdr:rowOff>
    </xdr:from>
    <xdr:to>
      <xdr:col>9</xdr:col>
      <xdr:colOff>320041</xdr:colOff>
      <xdr:row>25</xdr:row>
      <xdr:rowOff>151740</xdr:rowOff>
    </xdr:to>
    <xdr:grpSp>
      <xdr:nvGrpSpPr>
        <xdr:cNvPr id="27" name="Grup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5882139" y="3783508"/>
          <a:ext cx="3622542" cy="554152"/>
          <a:chOff x="5769428" y="3866602"/>
          <a:chExt cx="3623630" cy="550886"/>
        </a:xfrm>
      </xdr:grpSpPr>
      <xdr:sp macro="" textlink="">
        <xdr:nvSpPr>
          <xdr:cNvPr id="14" name="Rectángulo: esquinas redondeadas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5769428" y="3866602"/>
            <a:ext cx="3623630" cy="550886"/>
          </a:xfrm>
          <a:prstGeom prst="roundRect">
            <a:avLst>
              <a:gd name="adj" fmla="val 7667"/>
            </a:avLst>
          </a:prstGeom>
          <a:solidFill>
            <a:srgbClr val="44405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s-VE" sz="700"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pic>
        <xdr:nvPicPr>
          <xdr:cNvPr id="24" name="Gráfico 23" descr="Signo de exclamación con relleno sólido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8826163" y="3866602"/>
            <a:ext cx="540363" cy="550886"/>
          </a:xfrm>
          <a:prstGeom prst="rect">
            <a:avLst/>
          </a:prstGeom>
        </xdr:spPr>
      </xdr:pic>
      <xdr:sp macro="" textlink="">
        <xdr:nvSpPr>
          <xdr:cNvPr id="25" name="CuadroTexto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5769429" y="3902602"/>
            <a:ext cx="3222171" cy="4788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VE" sz="900" b="1">
                <a:solidFill>
                  <a:srgbClr val="D6EEFF"/>
                </a:solidFill>
                <a:effectLst/>
                <a:latin typeface="Verdana" panose="020B0604030504040204" pitchFamily="34" charset="0"/>
                <a:ea typeface="Verdana" panose="020B0604030504040204" pitchFamily="34" charset="0"/>
                <a:cs typeface="+mn-cs"/>
              </a:rPr>
              <a:t>Aclaratoria</a:t>
            </a:r>
            <a:br>
              <a:rPr lang="es-VE" sz="700" b="1">
                <a:solidFill>
                  <a:schemeClr val="bg1"/>
                </a:solidFill>
                <a:effectLst/>
                <a:latin typeface="Verdana" panose="020B0604030504040204" pitchFamily="34" charset="0"/>
                <a:ea typeface="Verdana" panose="020B0604030504040204" pitchFamily="34" charset="0"/>
                <a:cs typeface="+mn-cs"/>
              </a:rPr>
            </a:br>
            <a:r>
              <a:rPr lang="es-VE" sz="700" b="0">
                <a:solidFill>
                  <a:schemeClr val="bg1"/>
                </a:solidFill>
                <a:effectLst/>
                <a:latin typeface="Verdana" panose="020B0604030504040204" pitchFamily="34" charset="0"/>
                <a:ea typeface="Verdana" panose="020B0604030504040204" pitchFamily="34" charset="0"/>
                <a:cs typeface="+mn-cs"/>
              </a:rPr>
              <a:t>En caso de seleccionar</a:t>
            </a:r>
            <a:r>
              <a:rPr lang="es-VE" sz="700" b="0" baseline="0">
                <a:solidFill>
                  <a:schemeClr val="bg1"/>
                </a:solidFill>
                <a:effectLst/>
                <a:latin typeface="Verdana" panose="020B0604030504040204" pitchFamily="34" charset="0"/>
                <a:ea typeface="Verdana" panose="020B0604030504040204" pitchFamily="34" charset="0"/>
                <a:cs typeface="+mn-cs"/>
              </a:rPr>
              <a:t> BE Manual, debera llenar manualmente el identificador de resultado en la hoja JOURNAL</a:t>
            </a:r>
            <a:endParaRPr lang="es-VE" sz="700" b="0">
              <a:solidFill>
                <a:schemeClr val="bg1"/>
              </a:solidFill>
              <a:effectLst/>
              <a:latin typeface="Verdana" panose="020B0604030504040204" pitchFamily="34" charset="0"/>
              <a:ea typeface="Verdana" panose="020B0604030504040204" pitchFamily="34" charset="0"/>
            </a:endParaRPr>
          </a:p>
          <a:p>
            <a:endParaRPr lang="es-VE" sz="700" b="1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</xdr:grpSp>
    <xdr:clientData/>
  </xdr:twoCellAnchor>
  <xdr:twoCellAnchor editAs="oneCell">
    <xdr:from>
      <xdr:col>0</xdr:col>
      <xdr:colOff>66040</xdr:colOff>
      <xdr:row>0</xdr:row>
      <xdr:rowOff>85907</xdr:rowOff>
    </xdr:from>
    <xdr:to>
      <xdr:col>2</xdr:col>
      <xdr:colOff>604107</xdr:colOff>
      <xdr:row>5</xdr:row>
      <xdr:rowOff>86361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731" b="24384"/>
        <a:stretch/>
      </xdr:blipFill>
      <xdr:spPr>
        <a:xfrm>
          <a:off x="66040" y="85907"/>
          <a:ext cx="3047587" cy="889454"/>
        </a:xfrm>
        <a:prstGeom prst="roundRect">
          <a:avLst>
            <a:gd name="adj" fmla="val 9690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660401</xdr:colOff>
      <xdr:row>0</xdr:row>
      <xdr:rowOff>85906</xdr:rowOff>
    </xdr:from>
    <xdr:to>
      <xdr:col>9</xdr:col>
      <xdr:colOff>320041</xdr:colOff>
      <xdr:row>4</xdr:row>
      <xdr:rowOff>62699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892" b="14293"/>
        <a:stretch/>
      </xdr:blipFill>
      <xdr:spPr>
        <a:xfrm>
          <a:off x="7777481" y="85906"/>
          <a:ext cx="1727200" cy="687993"/>
        </a:xfrm>
        <a:prstGeom prst="roundRect">
          <a:avLst>
            <a:gd name="adj" fmla="val 5892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676275</xdr:colOff>
      <xdr:row>0</xdr:row>
      <xdr:rowOff>157162</xdr:rowOff>
    </xdr:from>
    <xdr:to>
      <xdr:col>15</xdr:col>
      <xdr:colOff>16875</xdr:colOff>
      <xdr:row>3</xdr:row>
      <xdr:rowOff>115162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8096250" y="157162"/>
          <a:ext cx="2226675" cy="720000"/>
          <a:chOff x="10277475" y="157162"/>
          <a:chExt cx="2160000" cy="720000"/>
        </a:xfrm>
      </xdr:grpSpPr>
      <xdr:sp macro="" textlink="">
        <xdr:nvSpPr>
          <xdr:cNvPr id="2" name="Rectángulo: esquinas redondeadas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0277475" y="157162"/>
            <a:ext cx="2160000" cy="720000"/>
          </a:xfrm>
          <a:prstGeom prst="roundRect">
            <a:avLst>
              <a:gd name="adj" fmla="val 8764"/>
            </a:avLst>
          </a:prstGeom>
          <a:solidFill>
            <a:srgbClr val="44405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sp macro="" textlink="">
        <xdr:nvSpPr>
          <xdr:cNvPr id="7" name="CuadroTexto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10277475" y="157162"/>
            <a:ext cx="2160000" cy="247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VE" sz="1100" b="1">
                <a:solidFill>
                  <a:srgbClr val="AAADC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1100" b="1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Tamaño de la Cuenta</a:t>
            </a:r>
          </a:p>
        </xdr:txBody>
      </xdr:sp>
      <xdr:sp macro="" textlink="info!K2">
        <xdr:nvSpPr>
          <xdr:cNvPr id="8" name="CuadroTexto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10277475" y="517162"/>
            <a:ext cx="2160000" cy="36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DD2ACB4A-CADF-462C-8F92-531EECA6D6D5}" type="TxLink">
              <a:rPr lang="en-US" sz="1600" b="1" i="0" u="none" strike="noStrike">
                <a:solidFill>
                  <a:srgbClr val="AAADC4"/>
                </a:solidFill>
                <a:latin typeface="Verdana" panose="020B0604030504040204" pitchFamily="34" charset="0"/>
                <a:ea typeface="Verdana" panose="020B0604030504040204" pitchFamily="34" charset="0"/>
                <a:cs typeface="Calibri"/>
              </a:rPr>
              <a:pPr algn="r"/>
              <a:t>$100.000</a:t>
            </a:fld>
            <a:endParaRPr lang="es-VE" sz="3600" b="1">
              <a:solidFill>
                <a:srgbClr val="AAADC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</xdr:grpSp>
    <xdr:clientData/>
  </xdr:twoCellAnchor>
  <xdr:twoCellAnchor>
    <xdr:from>
      <xdr:col>15</xdr:col>
      <xdr:colOff>180974</xdr:colOff>
      <xdr:row>0</xdr:row>
      <xdr:rowOff>157161</xdr:rowOff>
    </xdr:from>
    <xdr:to>
      <xdr:col>18</xdr:col>
      <xdr:colOff>348336</xdr:colOff>
      <xdr:row>3</xdr:row>
      <xdr:rowOff>115162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10487024" y="157161"/>
          <a:ext cx="2167612" cy="720001"/>
          <a:chOff x="12601574" y="157161"/>
          <a:chExt cx="2167612" cy="720001"/>
        </a:xfrm>
      </xdr:grpSpPr>
      <xdr:sp macro="" textlink="">
        <xdr:nvSpPr>
          <xdr:cNvPr id="4" name="Rectángulo: esquinas redondeadas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2601574" y="157162"/>
            <a:ext cx="2160000" cy="720000"/>
          </a:xfrm>
          <a:prstGeom prst="roundRect">
            <a:avLst>
              <a:gd name="adj" fmla="val 8764"/>
            </a:avLst>
          </a:prstGeom>
          <a:solidFill>
            <a:srgbClr val="44405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sp macro="" textlink="">
        <xdr:nvSpPr>
          <xdr:cNvPr id="9" name="CuadroTexto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/>
        </xdr:nvSpPr>
        <xdr:spPr>
          <a:xfrm>
            <a:off x="12609186" y="157161"/>
            <a:ext cx="2160000" cy="25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s-VE" sz="1100" b="1">
                <a:solidFill>
                  <a:srgbClr val="AAADC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1100" b="1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Ganancia/</a:t>
            </a:r>
            <a:r>
              <a:rPr lang="es-VE" sz="1100" b="1" baseline="0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Perdida Neta</a:t>
            </a:r>
          </a:p>
        </xdr:txBody>
      </xdr:sp>
      <xdr:sp macro="" textlink="info!L2">
        <xdr:nvSpPr>
          <xdr:cNvPr id="12" name="CuadroTexto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12601574" y="524489"/>
            <a:ext cx="2160000" cy="3526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r"/>
            <a:fld id="{AE24089A-C755-4817-AA3A-F32EFDFEF86E}" type="TxLink">
              <a:rPr lang="en-US" sz="1600" b="1" i="0" u="none" strike="noStrike">
                <a:solidFill>
                  <a:srgbClr val="AAADC4"/>
                </a:solidFill>
                <a:latin typeface="Verdana" panose="020B0604030504040204" pitchFamily="34" charset="0"/>
                <a:ea typeface="Verdana" panose="020B0604030504040204" pitchFamily="34" charset="0"/>
                <a:cs typeface="Calibri"/>
              </a:rPr>
              <a:pPr marL="0" indent="0" algn="r"/>
              <a:t>$1.996</a:t>
            </a:fld>
            <a:endParaRPr lang="es-VE" sz="1600" b="1" i="0" u="none" strike="noStrike">
              <a:solidFill>
                <a:srgbClr val="AAADC4"/>
              </a:solidFill>
              <a:latin typeface="Verdana" panose="020B0604030504040204" pitchFamily="34" charset="0"/>
              <a:ea typeface="Verdana" panose="020B0604030504040204" pitchFamily="34" charset="0"/>
              <a:cs typeface="Calibri"/>
            </a:endParaRPr>
          </a:p>
        </xdr:txBody>
      </xdr:sp>
    </xdr:grpSp>
    <xdr:clientData/>
  </xdr:twoCellAnchor>
  <xdr:twoCellAnchor>
    <xdr:from>
      <xdr:col>18</xdr:col>
      <xdr:colOff>542925</xdr:colOff>
      <xdr:row>0</xdr:row>
      <xdr:rowOff>157162</xdr:rowOff>
    </xdr:from>
    <xdr:to>
      <xdr:col>20</xdr:col>
      <xdr:colOff>950325</xdr:colOff>
      <xdr:row>3</xdr:row>
      <xdr:rowOff>115162</xdr:rowOff>
    </xdr:to>
    <xdr:grpSp>
      <xdr:nvGrpSpPr>
        <xdr:cNvPr id="11" name="Grup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12849225" y="157162"/>
          <a:ext cx="2160000" cy="720000"/>
          <a:chOff x="14963775" y="157162"/>
          <a:chExt cx="2160000" cy="720000"/>
        </a:xfrm>
      </xdr:grpSpPr>
      <xdr:sp macro="" textlink="">
        <xdr:nvSpPr>
          <xdr:cNvPr id="6" name="Rectángulo: esquinas redondeadas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4963775" y="157162"/>
            <a:ext cx="2160000" cy="720000"/>
          </a:xfrm>
          <a:prstGeom prst="roundRect">
            <a:avLst>
              <a:gd name="adj" fmla="val 8764"/>
            </a:avLst>
          </a:prstGeom>
          <a:solidFill>
            <a:srgbClr val="44405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sp macro="" textlink="">
        <xdr:nvSpPr>
          <xdr:cNvPr id="13" name="CuadroTexto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 txBox="1"/>
        </xdr:nvSpPr>
        <xdr:spPr>
          <a:xfrm>
            <a:off x="14963775" y="157162"/>
            <a:ext cx="2160000" cy="2836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VE" sz="1100" b="1">
                <a:solidFill>
                  <a:srgbClr val="AAADC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1100" b="1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Balance</a:t>
            </a:r>
            <a:r>
              <a:rPr lang="es-VE" sz="1100" b="1" baseline="0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Actual</a:t>
            </a:r>
          </a:p>
        </xdr:txBody>
      </xdr:sp>
      <xdr:sp macro="" textlink="info!M2">
        <xdr:nvSpPr>
          <xdr:cNvPr id="14" name="CuadroTexto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14963775" y="524489"/>
            <a:ext cx="2158535" cy="3526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r"/>
            <a:fld id="{EB9026AF-3875-4EC5-8624-23BCAD9BF303}" type="TxLink">
              <a:rPr lang="en-US" sz="1600" b="1" i="0" u="none" strike="noStrike">
                <a:solidFill>
                  <a:srgbClr val="AAADC4"/>
                </a:solidFill>
                <a:latin typeface="Verdana" panose="020B0604030504040204" pitchFamily="34" charset="0"/>
                <a:ea typeface="Verdana" panose="020B0604030504040204" pitchFamily="34" charset="0"/>
                <a:cs typeface="Calibri"/>
              </a:rPr>
              <a:pPr marL="0" indent="0" algn="r"/>
              <a:t>$101.996</a:t>
            </a:fld>
            <a:endParaRPr lang="es-VE" sz="1600" b="1" i="0" u="none" strike="noStrike">
              <a:solidFill>
                <a:srgbClr val="AAADC4"/>
              </a:solidFill>
              <a:latin typeface="Verdana" panose="020B0604030504040204" pitchFamily="34" charset="0"/>
              <a:ea typeface="Verdana" panose="020B0604030504040204" pitchFamily="34" charset="0"/>
              <a:cs typeface="Calibri"/>
            </a:endParaRPr>
          </a:p>
        </xdr:txBody>
      </xdr:sp>
    </xdr:grpSp>
    <xdr:clientData/>
  </xdr:twoCellAnchor>
  <xdr:twoCellAnchor>
    <xdr:from>
      <xdr:col>0</xdr:col>
      <xdr:colOff>122465</xdr:colOff>
      <xdr:row>0</xdr:row>
      <xdr:rowOff>157162</xdr:rowOff>
    </xdr:from>
    <xdr:to>
      <xdr:col>8</xdr:col>
      <xdr:colOff>112265</xdr:colOff>
      <xdr:row>2</xdr:row>
      <xdr:rowOff>190237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22465" y="157162"/>
          <a:ext cx="5400000" cy="576000"/>
        </a:xfrm>
        <a:prstGeom prst="roundRect">
          <a:avLst>
            <a:gd name="adj" fmla="val 8681"/>
          </a:avLst>
        </a:prstGeom>
        <a:solidFill>
          <a:srgbClr val="AAADC4"/>
        </a:solidFill>
        <a:ln>
          <a:noFill/>
        </a:ln>
        <a:effectLst>
          <a:outerShdw blurRad="127000" dist="1270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VE" sz="2000" b="1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rPr>
            <a:t>REGISTRO</a:t>
          </a:r>
          <a:r>
            <a:rPr lang="es-VE" sz="2000" b="1" baseline="0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rPr>
            <a:t> DE OPERACIONES</a:t>
          </a:r>
          <a:endParaRPr lang="es-VE" sz="2000" b="1">
            <a:solidFill>
              <a:srgbClr val="444054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7</xdr:col>
      <xdr:colOff>389315</xdr:colOff>
      <xdr:row>1</xdr:row>
      <xdr:rowOff>21712</xdr:rowOff>
    </xdr:from>
    <xdr:to>
      <xdr:col>8</xdr:col>
      <xdr:colOff>112265</xdr:colOff>
      <xdr:row>2</xdr:row>
      <xdr:rowOff>154237</xdr:rowOff>
    </xdr:to>
    <xdr:pic>
      <xdr:nvPicPr>
        <xdr:cNvPr id="19" name="Gráfico 18" descr="Lista con relleno sólido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18465" y="193162"/>
          <a:ext cx="504000" cy="504000"/>
        </a:xfrm>
        <a:prstGeom prst="rect">
          <a:avLst/>
        </a:prstGeom>
      </xdr:spPr>
    </xdr:pic>
    <xdr:clientData/>
  </xdr:twoCellAnchor>
  <xdr:twoCellAnchor editAs="oneCell">
    <xdr:from>
      <xdr:col>21</xdr:col>
      <xdr:colOff>250358</xdr:colOff>
      <xdr:row>0</xdr:row>
      <xdr:rowOff>157162</xdr:rowOff>
    </xdr:from>
    <xdr:to>
      <xdr:col>22</xdr:col>
      <xdr:colOff>1155700</xdr:colOff>
      <xdr:row>4</xdr:row>
      <xdr:rowOff>176212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892" b="14293"/>
        <a:stretch/>
      </xdr:blipFill>
      <xdr:spPr>
        <a:xfrm>
          <a:off x="15328433" y="157162"/>
          <a:ext cx="2391242" cy="952500"/>
        </a:xfrm>
        <a:prstGeom prst="roundRect">
          <a:avLst>
            <a:gd name="adj" fmla="val 5892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60960</xdr:rowOff>
    </xdr:from>
    <xdr:to>
      <xdr:col>13</xdr:col>
      <xdr:colOff>273200</xdr:colOff>
      <xdr:row>57</xdr:row>
      <xdr:rowOff>76800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6200" y="60960"/>
          <a:ext cx="9468000" cy="10440000"/>
        </a:xfrm>
        <a:prstGeom prst="roundRect">
          <a:avLst>
            <a:gd name="adj" fmla="val 1373"/>
          </a:avLst>
        </a:prstGeom>
        <a:solidFill>
          <a:srgbClr val="1F7A8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 editAs="oneCell">
    <xdr:from>
      <xdr:col>5</xdr:col>
      <xdr:colOff>745980</xdr:colOff>
      <xdr:row>0</xdr:row>
      <xdr:rowOff>71470</xdr:rowOff>
    </xdr:from>
    <xdr:to>
      <xdr:col>9</xdr:col>
      <xdr:colOff>238760</xdr:colOff>
      <xdr:row>4</xdr:row>
      <xdr:rowOff>20320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43" name="Mes">
              <a:extLst>
                <a:ext uri="{FF2B5EF4-FFF2-40B4-BE49-F238E27FC236}">
                  <a16:creationId xmlns:a16="http://schemas.microsoft.com/office/drawing/2014/main" id="{00000000-0008-0000-0200-0000F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69900" y="71470"/>
              <a:ext cx="2723660" cy="680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0</xdr:col>
      <xdr:colOff>170265</xdr:colOff>
      <xdr:row>0</xdr:row>
      <xdr:rowOff>121920</xdr:rowOff>
    </xdr:from>
    <xdr:to>
      <xdr:col>5</xdr:col>
      <xdr:colOff>429345</xdr:colOff>
      <xdr:row>3</xdr:row>
      <xdr:rowOff>111760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70265" y="121920"/>
          <a:ext cx="3683000" cy="538480"/>
        </a:xfrm>
        <a:prstGeom prst="roundRect">
          <a:avLst/>
        </a:prstGeom>
        <a:solidFill>
          <a:srgbClr val="4440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0</xdr:col>
      <xdr:colOff>170265</xdr:colOff>
      <xdr:row>0</xdr:row>
      <xdr:rowOff>121920</xdr:rowOff>
    </xdr:from>
    <xdr:to>
      <xdr:col>3</xdr:col>
      <xdr:colOff>577515</xdr:colOff>
      <xdr:row>2</xdr:row>
      <xdr:rowOff>44160</xdr:rowOff>
    </xdr:to>
    <xdr:sp macro="" textlink="info!O1">
      <xdr:nvSpPr>
        <xdr:cNvPr id="5" name="CuadroText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170265" y="121920"/>
          <a:ext cx="2215730" cy="28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884430D-FA56-4A20-8CD5-A5102AB341F7}" type="TxLink">
            <a:rPr lang="en-US" sz="1400" b="1" i="0" u="none" strike="noStrike">
              <a:solidFill>
                <a:srgbClr val="D6EEFF"/>
              </a:solidFill>
              <a:latin typeface="Verdana" panose="020B0604030504040204" pitchFamily="34" charset="0"/>
              <a:ea typeface="Verdana" panose="020B0604030504040204" pitchFamily="34" charset="0"/>
              <a:cs typeface="Calibri"/>
            </a:rPr>
            <a:pPr/>
            <a:t>Hola </a:t>
          </a:fld>
          <a:endParaRPr lang="es-VE" sz="1400" b="1">
            <a:solidFill>
              <a:srgbClr val="D6EEFF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0</xdr:col>
      <xdr:colOff>170265</xdr:colOff>
      <xdr:row>1</xdr:row>
      <xdr:rowOff>177800</xdr:rowOff>
    </xdr:from>
    <xdr:to>
      <xdr:col>4</xdr:col>
      <xdr:colOff>678266</xdr:colOff>
      <xdr:row>3</xdr:row>
      <xdr:rowOff>101600</xdr:rowOff>
    </xdr:to>
    <xdr:sp macro="" textlink="info!O2">
      <xdr:nvSpPr>
        <xdr:cNvPr id="6" name="CuadroTex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70265" y="360680"/>
          <a:ext cx="3124201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A0663CF-F129-44F0-9675-7FD815263A0E}" type="TxLink">
            <a:rPr lang="en-US" sz="600" b="0" i="0" u="none" strike="noStrike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  <a:cs typeface="Calibri"/>
            </a:rPr>
            <a:pPr/>
            <a:t>Este es un resumen de los resultados obtenidos en tu cuenta  de $100.000</a:t>
          </a:fld>
          <a:endParaRPr lang="es-VE" sz="800" b="0">
            <a:solidFill>
              <a:schemeClr val="bg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</xdr:col>
      <xdr:colOff>678560</xdr:colOff>
      <xdr:row>10</xdr:row>
      <xdr:rowOff>177800</xdr:rowOff>
    </xdr:from>
    <xdr:to>
      <xdr:col>6</xdr:col>
      <xdr:colOff>271400</xdr:colOff>
      <xdr:row>14</xdr:row>
      <xdr:rowOff>94280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754380</xdr:colOff>
      <xdr:row>3</xdr:row>
      <xdr:rowOff>97400</xdr:rowOff>
    </xdr:from>
    <xdr:to>
      <xdr:col>3</xdr:col>
      <xdr:colOff>81280</xdr:colOff>
      <xdr:row>6</xdr:row>
      <xdr:rowOff>87240</xdr:rowOff>
    </xdr:to>
    <xdr:grpSp>
      <xdr:nvGrpSpPr>
        <xdr:cNvPr id="62" name="Grupo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947420" y="646040"/>
          <a:ext cx="942340" cy="538480"/>
          <a:chOff x="998220" y="629920"/>
          <a:chExt cx="942340" cy="538480"/>
        </a:xfrm>
      </xdr:grpSpPr>
      <xdr:sp macro="" textlink="">
        <xdr:nvSpPr>
          <xdr:cNvPr id="20" name="Rectángulo: esquinas redondeadas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/>
        </xdr:nvSpPr>
        <xdr:spPr>
          <a:xfrm>
            <a:off x="998220" y="629920"/>
            <a:ext cx="942340" cy="538480"/>
          </a:xfrm>
          <a:prstGeom prst="roundRect">
            <a:avLst>
              <a:gd name="adj" fmla="val 5846"/>
            </a:avLst>
          </a:prstGeom>
          <a:solidFill>
            <a:srgbClr val="AAADC4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sp macro="" textlink="">
        <xdr:nvSpPr>
          <xdr:cNvPr id="51" name="CuadroTexto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SpPr txBox="1"/>
        </xdr:nvSpPr>
        <xdr:spPr>
          <a:xfrm>
            <a:off x="998220" y="629920"/>
            <a:ext cx="900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VE" sz="7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7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7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Operaciones</a:t>
            </a:r>
          </a:p>
        </xdr:txBody>
      </xdr:sp>
      <xdr:sp macro="" textlink="">
        <xdr:nvSpPr>
          <xdr:cNvPr id="52" name="CuadroTexto 51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SpPr txBox="1"/>
        </xdr:nvSpPr>
        <xdr:spPr>
          <a:xfrm>
            <a:off x="1000760" y="745660"/>
            <a:ext cx="612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VE" sz="600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Realizadas</a:t>
            </a:r>
          </a:p>
        </xdr:txBody>
      </xdr:sp>
      <xdr:sp macro="" textlink="Dinamics!H6">
        <xdr:nvSpPr>
          <xdr:cNvPr id="37" name="CuadroTexto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 txBox="1"/>
        </xdr:nvSpPr>
        <xdr:spPr>
          <a:xfrm>
            <a:off x="1290320" y="916400"/>
            <a:ext cx="648000" cy="25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A14F7F-80B8-476D-B1A6-A024BBFE627A}" type="TxLink">
              <a:rPr lang="en-US" sz="1200" b="1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  <a:cs typeface="Calibri"/>
              </a:rPr>
              <a:pPr algn="ctr"/>
              <a:t>2</a:t>
            </a:fld>
            <a:endParaRPr lang="es-VE" sz="1200" b="1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</xdr:grpSp>
    <xdr:clientData/>
  </xdr:twoCellAnchor>
  <xdr:twoCellAnchor>
    <xdr:from>
      <xdr:col>3</xdr:col>
      <xdr:colOff>7100</xdr:colOff>
      <xdr:row>3</xdr:row>
      <xdr:rowOff>97400</xdr:rowOff>
    </xdr:from>
    <xdr:to>
      <xdr:col>4</xdr:col>
      <xdr:colOff>531380</xdr:colOff>
      <xdr:row>6</xdr:row>
      <xdr:rowOff>87240</xdr:rowOff>
    </xdr:to>
    <xdr:grpSp>
      <xdr:nvGrpSpPr>
        <xdr:cNvPr id="68" name="Grupo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GrpSpPr/>
      </xdr:nvGrpSpPr>
      <xdr:grpSpPr>
        <a:xfrm>
          <a:off x="1815580" y="646040"/>
          <a:ext cx="1332000" cy="538480"/>
          <a:chOff x="1864360" y="629920"/>
          <a:chExt cx="1332000" cy="538480"/>
        </a:xfrm>
      </xdr:grpSpPr>
      <xdr:sp macro="" textlink="">
        <xdr:nvSpPr>
          <xdr:cNvPr id="23" name="Rectángulo: esquinas redondeadas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/>
        </xdr:nvSpPr>
        <xdr:spPr>
          <a:xfrm>
            <a:off x="2054860" y="629920"/>
            <a:ext cx="942340" cy="538480"/>
          </a:xfrm>
          <a:prstGeom prst="roundRect">
            <a:avLst>
              <a:gd name="adj" fmla="val 5846"/>
            </a:avLst>
          </a:prstGeom>
          <a:solidFill>
            <a:srgbClr val="AAADC4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sp macro="" textlink="">
        <xdr:nvSpPr>
          <xdr:cNvPr id="54" name="CuadroTexto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SpPr txBox="1"/>
        </xdr:nvSpPr>
        <xdr:spPr>
          <a:xfrm>
            <a:off x="2059940" y="629920"/>
            <a:ext cx="900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VE" sz="7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7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7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Rentabilidad</a:t>
            </a:r>
          </a:p>
        </xdr:txBody>
      </xdr:sp>
      <xdr:sp macro="" textlink="">
        <xdr:nvSpPr>
          <xdr:cNvPr id="55" name="CuadroTexto 54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SpPr txBox="1"/>
        </xdr:nvSpPr>
        <xdr:spPr>
          <a:xfrm>
            <a:off x="2042160" y="745660"/>
            <a:ext cx="1008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VE" sz="600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Media</a:t>
            </a:r>
            <a:r>
              <a:rPr lang="es-VE" sz="600" baseline="0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por Operación</a:t>
            </a:r>
            <a:endParaRPr lang="es-VE" sz="600">
              <a:solidFill>
                <a:srgbClr val="1F7A8C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Dinamics!J6">
        <xdr:nvSpPr>
          <xdr:cNvPr id="56" name="CuadroTexto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SpPr txBox="1"/>
        </xdr:nvSpPr>
        <xdr:spPr>
          <a:xfrm>
            <a:off x="1864360" y="916400"/>
            <a:ext cx="1332000" cy="25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B53897FE-8838-40C4-9B3D-BDD455484C78}" type="TxLink">
              <a:rPr lang="en-US" sz="700" b="1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  <a:cs typeface="Calibri"/>
              </a:rPr>
              <a:pPr algn="ctr"/>
              <a:t>$998 │ 1,00%</a:t>
            </a:fld>
            <a:endParaRPr lang="es-VE" sz="800" b="1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</xdr:grpSp>
    <xdr:clientData/>
  </xdr:twoCellAnchor>
  <xdr:twoCellAnchor>
    <xdr:from>
      <xdr:col>0</xdr:col>
      <xdr:colOff>170265</xdr:colOff>
      <xdr:row>4</xdr:row>
      <xdr:rowOff>21000</xdr:rowOff>
    </xdr:from>
    <xdr:to>
      <xdr:col>1</xdr:col>
      <xdr:colOff>661225</xdr:colOff>
      <xdr:row>6</xdr:row>
      <xdr:rowOff>87240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70265" y="756724"/>
          <a:ext cx="680146" cy="434102"/>
        </a:xfrm>
        <a:prstGeom prst="roundRect">
          <a:avLst>
            <a:gd name="adj" fmla="val 5846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0</xdr:col>
      <xdr:colOff>104140</xdr:colOff>
      <xdr:row>4</xdr:row>
      <xdr:rowOff>21000</xdr:rowOff>
    </xdr:from>
    <xdr:to>
      <xdr:col>1</xdr:col>
      <xdr:colOff>739100</xdr:colOff>
      <xdr:row>5</xdr:row>
      <xdr:rowOff>18120</xdr:rowOff>
    </xdr:to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104140" y="752520"/>
          <a:ext cx="828000" cy="18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VE" sz="600" b="1">
              <a:solidFill>
                <a:srgbClr val="1F7A8C"/>
              </a:solidFill>
              <a:latin typeface="Verdana" panose="020B0604030504040204" pitchFamily="34" charset="0"/>
              <a:ea typeface="Verdana" panose="020B0604030504040204" pitchFamily="34" charset="0"/>
            </a:rPr>
            <a:t>●</a:t>
          </a:r>
          <a:r>
            <a:rPr lang="es-VE" sz="600" b="1">
              <a:latin typeface="Verdana" panose="020B0604030504040204" pitchFamily="34" charset="0"/>
              <a:ea typeface="Verdana" panose="020B0604030504040204" pitchFamily="34" charset="0"/>
            </a:rPr>
            <a:t> Factor R/B</a:t>
          </a:r>
        </a:p>
      </xdr:txBody>
    </xdr:sp>
    <xdr:clientData/>
  </xdr:twoCellAnchor>
  <xdr:twoCellAnchor>
    <xdr:from>
      <xdr:col>1</xdr:col>
      <xdr:colOff>0</xdr:colOff>
      <xdr:row>5</xdr:row>
      <xdr:rowOff>27840</xdr:rowOff>
    </xdr:from>
    <xdr:to>
      <xdr:col>1</xdr:col>
      <xdr:colOff>648000</xdr:colOff>
      <xdr:row>6</xdr:row>
      <xdr:rowOff>24960</xdr:rowOff>
    </xdr:to>
    <xdr:sp macro="" textlink="Dinamics!U13">
      <xdr:nvSpPr>
        <xdr:cNvPr id="65" name="CuadroTexto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193040" y="942240"/>
          <a:ext cx="648000" cy="18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9B284E6-CEEB-498A-8B1C-C9F291CA1BB8}" type="TxLink">
            <a:rPr lang="en-US" sz="1100" b="1" i="0" u="none" strike="noStrike"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  <a:cs typeface="Calibri"/>
            </a:rPr>
            <a:pPr algn="ctr"/>
            <a:t>1:13,9</a:t>
          </a:fld>
          <a:endParaRPr lang="es-VE" sz="1200" b="1">
            <a:solidFill>
              <a:srgbClr val="444054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0</xdr:col>
      <xdr:colOff>162560</xdr:colOff>
      <xdr:row>7</xdr:row>
      <xdr:rowOff>6480</xdr:rowOff>
    </xdr:from>
    <xdr:to>
      <xdr:col>6</xdr:col>
      <xdr:colOff>335200</xdr:colOff>
      <xdr:row>13</xdr:row>
      <xdr:rowOff>97200</xdr:rowOff>
    </xdr:to>
    <xdr:grpSp>
      <xdr:nvGrpSpPr>
        <xdr:cNvPr id="38" name="Grupo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162560" y="1286640"/>
          <a:ext cx="4404280" cy="1188000"/>
          <a:chOff x="162560" y="1286640"/>
          <a:chExt cx="4404280" cy="1188000"/>
        </a:xfrm>
      </xdr:grpSpPr>
      <xdr:sp macro="" textlink="">
        <xdr:nvSpPr>
          <xdr:cNvPr id="14" name="Rectángulo: esquinas redondeadas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162560" y="1286640"/>
            <a:ext cx="4399200" cy="1188000"/>
          </a:xfrm>
          <a:prstGeom prst="roundRect">
            <a:avLst>
              <a:gd name="adj" fmla="val 5846"/>
            </a:avLst>
          </a:prstGeom>
          <a:solidFill>
            <a:srgbClr val="D6EE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graphicFrame macro="">
        <xdr:nvGraphicFramePr>
          <xdr:cNvPr id="70" name="Gráfico 69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GraphicFramePr>
            <a:graphicFrameLocks/>
          </xdr:cNvGraphicFramePr>
        </xdr:nvGraphicFramePr>
        <xdr:xfrm>
          <a:off x="167640" y="1437640"/>
          <a:ext cx="4399200" cy="985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76" name="CuadroTexto 75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 txBox="1"/>
        </xdr:nvSpPr>
        <xdr:spPr>
          <a:xfrm>
            <a:off x="167640" y="1291760"/>
            <a:ext cx="107188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VE" sz="7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7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7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Rentabilidad</a:t>
            </a:r>
          </a:p>
        </xdr:txBody>
      </xdr:sp>
      <xdr:sp macro="" textlink="">
        <xdr:nvSpPr>
          <xdr:cNvPr id="77" name="CuadroTexto 76">
            <a:extLst>
              <a:ext uri="{FF2B5EF4-FFF2-40B4-BE49-F238E27FC236}">
                <a16:creationId xmlns:a16="http://schemas.microsoft.com/office/drawing/2014/main" id="{00000000-0008-0000-0200-00004D000000}"/>
              </a:ext>
            </a:extLst>
          </xdr:cNvPr>
          <xdr:cNvSpPr txBox="1"/>
        </xdr:nvSpPr>
        <xdr:spPr>
          <a:xfrm>
            <a:off x="1153160" y="1291760"/>
            <a:ext cx="74168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VE" sz="600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Acumulada</a:t>
            </a:r>
          </a:p>
        </xdr:txBody>
      </xdr:sp>
      <xdr:sp macro="" textlink="Dinamics!Z8">
        <xdr:nvSpPr>
          <xdr:cNvPr id="15" name="Rectángulo: esquinas redondeadas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3379114" y="1364305"/>
            <a:ext cx="536545" cy="166632"/>
          </a:xfrm>
          <a:prstGeom prst="roundRect">
            <a:avLst/>
          </a:prstGeom>
          <a:solidFill>
            <a:srgbClr val="44405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tIns="36000" rIns="36000" bIns="36000" rtlCol="0" anchor="ctr">
            <a:noAutofit/>
          </a:bodyPr>
          <a:lstStyle/>
          <a:p>
            <a:pPr algn="ctr"/>
            <a:fld id="{C3D64529-BA6C-427F-B53E-6FBCB5F31963}" type="TxLink">
              <a:rPr lang="en-US" sz="500" b="1" i="0" u="none" strike="noStrike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  <a:cs typeface="Calibri"/>
              </a:rPr>
              <a:pPr algn="ctr"/>
              <a:t>MAX: 2,00%</a:t>
            </a:fld>
            <a:endParaRPr lang="es-VE" sz="200" b="1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Dinamics!AB8">
        <xdr:nvSpPr>
          <xdr:cNvPr id="69" name="Rectángulo: esquinas redondeadas 68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SpPr/>
        </xdr:nvSpPr>
        <xdr:spPr>
          <a:xfrm>
            <a:off x="3994949" y="1364305"/>
            <a:ext cx="526845" cy="166632"/>
          </a:xfrm>
          <a:prstGeom prst="roundRect">
            <a:avLst/>
          </a:prstGeom>
          <a:solidFill>
            <a:srgbClr val="44405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lIns="36000" tIns="36000" rIns="36000" bIns="36000" rtlCol="0" anchor="ctr">
            <a:noAutofit/>
          </a:bodyPr>
          <a:lstStyle/>
          <a:p>
            <a:pPr algn="ctr"/>
            <a:fld id="{2B038D63-32D5-4C79-BDC0-5B7844834B4D}" type="TxLink">
              <a:rPr lang="en-US" sz="500" b="1" i="0" u="none" strike="noStrike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  <a:cs typeface="Calibri"/>
              </a:rPr>
              <a:pPr algn="ctr"/>
              <a:t>MIN: -0,16%</a:t>
            </a:fld>
            <a:endParaRPr lang="es-VE" sz="200" b="1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</xdr:grpSp>
    <xdr:clientData/>
  </xdr:twoCellAnchor>
  <xdr:twoCellAnchor>
    <xdr:from>
      <xdr:col>0</xdr:col>
      <xdr:colOff>162560</xdr:colOff>
      <xdr:row>13</xdr:row>
      <xdr:rowOff>159200</xdr:rowOff>
    </xdr:from>
    <xdr:to>
      <xdr:col>6</xdr:col>
      <xdr:colOff>322920</xdr:colOff>
      <xdr:row>22</xdr:row>
      <xdr:rowOff>133280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GrpSpPr/>
      </xdr:nvGrpSpPr>
      <xdr:grpSpPr>
        <a:xfrm>
          <a:off x="162560" y="2536640"/>
          <a:ext cx="4392000" cy="1620000"/>
          <a:chOff x="162560" y="2536640"/>
          <a:chExt cx="4392000" cy="1620000"/>
        </a:xfrm>
      </xdr:grpSpPr>
      <xdr:sp macro="" textlink="">
        <xdr:nvSpPr>
          <xdr:cNvPr id="3" name="Rectángulo: esquinas redondeadas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162560" y="2536640"/>
            <a:ext cx="4392000" cy="1620000"/>
          </a:xfrm>
          <a:prstGeom prst="roundRect">
            <a:avLst>
              <a:gd name="adj" fmla="val 5846"/>
            </a:avLst>
          </a:prstGeom>
          <a:solidFill>
            <a:srgbClr val="D6EE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sp macro="" textlink="">
        <xdr:nvSpPr>
          <xdr:cNvPr id="66" name="CuadroTexto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 txBox="1"/>
        </xdr:nvSpPr>
        <xdr:spPr>
          <a:xfrm>
            <a:off x="167640" y="2539025"/>
            <a:ext cx="1044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VE" sz="7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7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7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Rentabilidad</a:t>
            </a:r>
          </a:p>
        </xdr:txBody>
      </xdr:sp>
      <xdr:sp macro="" textlink="">
        <xdr:nvSpPr>
          <xdr:cNvPr id="67" name="CuadroTexto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 txBox="1"/>
        </xdr:nvSpPr>
        <xdr:spPr>
          <a:xfrm>
            <a:off x="1143000" y="2539025"/>
            <a:ext cx="147828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Por</a:t>
            </a:r>
            <a:r>
              <a:rPr lang="es-VE" sz="600" baseline="0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Mes</a:t>
            </a:r>
            <a:endParaRPr lang="es-VE" sz="600">
              <a:solidFill>
                <a:srgbClr val="1F7A8C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graphicFrame macro="">
        <xdr:nvGraphicFramePr>
          <xdr:cNvPr id="204" name="Gráfico 203">
            <a:extLst>
              <a:ext uri="{FF2B5EF4-FFF2-40B4-BE49-F238E27FC236}">
                <a16:creationId xmlns:a16="http://schemas.microsoft.com/office/drawing/2014/main" id="{00000000-0008-0000-0200-0000CC000000}"/>
              </a:ext>
            </a:extLst>
          </xdr:cNvPr>
          <xdr:cNvGraphicFramePr>
            <a:graphicFrameLocks/>
          </xdr:cNvGraphicFramePr>
        </xdr:nvGraphicFramePr>
        <xdr:xfrm>
          <a:off x="162560" y="2682240"/>
          <a:ext cx="4389120" cy="14579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9</xdr:col>
      <xdr:colOff>2150</xdr:colOff>
      <xdr:row>23</xdr:row>
      <xdr:rowOff>28585</xdr:rowOff>
    </xdr:from>
    <xdr:to>
      <xdr:col>10</xdr:col>
      <xdr:colOff>570644</xdr:colOff>
      <xdr:row>32</xdr:row>
      <xdr:rowOff>2665</xdr:rowOff>
    </xdr:to>
    <xdr:grpSp>
      <xdr:nvGrpSpPr>
        <xdr:cNvPr id="257" name="Grupo 256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GrpSpPr/>
      </xdr:nvGrpSpPr>
      <xdr:grpSpPr>
        <a:xfrm>
          <a:off x="6656950" y="4234825"/>
          <a:ext cx="1376214" cy="1620000"/>
          <a:chOff x="8104400" y="2546640"/>
          <a:chExt cx="1376214" cy="1620000"/>
        </a:xfrm>
      </xdr:grpSpPr>
      <xdr:sp macro="" textlink="">
        <xdr:nvSpPr>
          <xdr:cNvPr id="17" name="Rectángulo: esquinas redondeadas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/>
        </xdr:nvSpPr>
        <xdr:spPr>
          <a:xfrm>
            <a:off x="8112614" y="2546640"/>
            <a:ext cx="1368000" cy="1620000"/>
          </a:xfrm>
          <a:prstGeom prst="roundRect">
            <a:avLst>
              <a:gd name="adj" fmla="val 5846"/>
            </a:avLst>
          </a:prstGeom>
          <a:solidFill>
            <a:srgbClr val="D6EE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grpSp>
        <xdr:nvGrpSpPr>
          <xdr:cNvPr id="253" name="Grupo 252">
            <a:extLst>
              <a:ext uri="{FF2B5EF4-FFF2-40B4-BE49-F238E27FC236}">
                <a16:creationId xmlns:a16="http://schemas.microsoft.com/office/drawing/2014/main" id="{00000000-0008-0000-0200-0000FD000000}"/>
              </a:ext>
            </a:extLst>
          </xdr:cNvPr>
          <xdr:cNvGrpSpPr/>
        </xdr:nvGrpSpPr>
        <xdr:grpSpPr>
          <a:xfrm>
            <a:off x="8153400" y="2592240"/>
            <a:ext cx="1260000" cy="312080"/>
            <a:chOff x="8122920" y="2668440"/>
            <a:chExt cx="1260000" cy="312080"/>
          </a:xfrm>
        </xdr:grpSpPr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00000000-0008-0000-0200-000050000000}"/>
                </a:ext>
              </a:extLst>
            </xdr:cNvPr>
            <xdr:cNvSpPr txBox="1"/>
          </xdr:nvSpPr>
          <xdr:spPr>
            <a:xfrm>
              <a:off x="8122920" y="2668440"/>
              <a:ext cx="1260000" cy="180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VE" sz="700" b="1">
                  <a:solidFill>
                    <a:srgbClr val="1F7A8C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●</a:t>
              </a:r>
              <a:r>
                <a:rPr lang="es-VE" sz="700" b="1">
                  <a:latin typeface="Verdana" panose="020B0604030504040204" pitchFamily="34" charset="0"/>
                  <a:ea typeface="Verdana" panose="020B0604030504040204" pitchFamily="34" charset="0"/>
                </a:rPr>
                <a:t> </a:t>
              </a:r>
              <a:r>
                <a:rPr lang="es-VE" sz="700" b="1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Fallas</a:t>
              </a:r>
              <a:r>
                <a:rPr lang="es-VE" sz="700" b="1" baseline="0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 Emocionales</a:t>
              </a:r>
              <a:endParaRPr lang="es-VE" sz="7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00000000-0008-0000-0200-000051000000}"/>
                </a:ext>
              </a:extLst>
            </xdr:cNvPr>
            <xdr:cNvSpPr txBox="1"/>
          </xdr:nvSpPr>
          <xdr:spPr>
            <a:xfrm>
              <a:off x="8122920" y="2800520"/>
              <a:ext cx="468000" cy="180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VE" sz="600">
                  <a:solidFill>
                    <a:srgbClr val="1F7A8C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Top</a:t>
              </a:r>
              <a:r>
                <a:rPr lang="es-VE" sz="600" baseline="0">
                  <a:solidFill>
                    <a:srgbClr val="1F7A8C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 5</a:t>
              </a:r>
              <a:endParaRPr lang="es-VE" sz="600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  <xdr:graphicFrame macro="">
        <xdr:nvGraphicFramePr>
          <xdr:cNvPr id="206" name="Gráfico 205">
            <a:extLst>
              <a:ext uri="{FF2B5EF4-FFF2-40B4-BE49-F238E27FC236}">
                <a16:creationId xmlns:a16="http://schemas.microsoft.com/office/drawing/2014/main" id="{00000000-0008-0000-0200-0000CE000000}"/>
              </a:ext>
            </a:extLst>
          </xdr:cNvPr>
          <xdr:cNvGraphicFramePr>
            <a:graphicFrameLocks/>
          </xdr:cNvGraphicFramePr>
        </xdr:nvGraphicFramePr>
        <xdr:xfrm>
          <a:off x="8104400" y="2798640"/>
          <a:ext cx="1368000" cy="136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10</xdr:col>
      <xdr:colOff>644864</xdr:colOff>
      <xdr:row>23</xdr:row>
      <xdr:rowOff>28585</xdr:rowOff>
    </xdr:from>
    <xdr:to>
      <xdr:col>13</xdr:col>
      <xdr:colOff>209318</xdr:colOff>
      <xdr:row>32</xdr:row>
      <xdr:rowOff>2665</xdr:rowOff>
    </xdr:to>
    <xdr:grpSp>
      <xdr:nvGrpSpPr>
        <xdr:cNvPr id="256" name="Grupo 255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GrpSpPr/>
      </xdr:nvGrpSpPr>
      <xdr:grpSpPr>
        <a:xfrm>
          <a:off x="8107384" y="4234825"/>
          <a:ext cx="1372934" cy="1620000"/>
          <a:chOff x="8107680" y="844840"/>
          <a:chExt cx="1372934" cy="1620000"/>
        </a:xfrm>
      </xdr:grpSpPr>
      <xdr:sp macro="" textlink="">
        <xdr:nvSpPr>
          <xdr:cNvPr id="254" name="Rectángulo: esquinas redondeadas 253">
            <a:extLst>
              <a:ext uri="{FF2B5EF4-FFF2-40B4-BE49-F238E27FC236}">
                <a16:creationId xmlns:a16="http://schemas.microsoft.com/office/drawing/2014/main" id="{00000000-0008-0000-0200-0000FE000000}"/>
              </a:ext>
            </a:extLst>
          </xdr:cNvPr>
          <xdr:cNvSpPr/>
        </xdr:nvSpPr>
        <xdr:spPr>
          <a:xfrm>
            <a:off x="8112614" y="844840"/>
            <a:ext cx="1368000" cy="1620000"/>
          </a:xfrm>
          <a:prstGeom prst="roundRect">
            <a:avLst>
              <a:gd name="adj" fmla="val 5846"/>
            </a:avLst>
          </a:prstGeom>
          <a:solidFill>
            <a:srgbClr val="D6EE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grpSp>
        <xdr:nvGrpSpPr>
          <xdr:cNvPr id="255" name="Grupo 254">
            <a:extLst>
              <a:ext uri="{FF2B5EF4-FFF2-40B4-BE49-F238E27FC236}">
                <a16:creationId xmlns:a16="http://schemas.microsoft.com/office/drawing/2014/main" id="{00000000-0008-0000-0200-0000FF000000}"/>
              </a:ext>
            </a:extLst>
          </xdr:cNvPr>
          <xdr:cNvGrpSpPr/>
        </xdr:nvGrpSpPr>
        <xdr:grpSpPr>
          <a:xfrm>
            <a:off x="8158480" y="890440"/>
            <a:ext cx="1260000" cy="312080"/>
            <a:chOff x="8265160" y="849800"/>
            <a:chExt cx="1260000" cy="312080"/>
          </a:xfrm>
        </xdr:grpSpPr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00000000-0008-0000-0200-000052000000}"/>
                </a:ext>
              </a:extLst>
            </xdr:cNvPr>
            <xdr:cNvSpPr txBox="1"/>
          </xdr:nvSpPr>
          <xdr:spPr>
            <a:xfrm>
              <a:off x="8265160" y="849800"/>
              <a:ext cx="1260000" cy="180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VE" sz="700" b="1">
                  <a:solidFill>
                    <a:srgbClr val="1F7A8C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●</a:t>
              </a:r>
              <a:r>
                <a:rPr lang="es-VE" sz="700" b="1">
                  <a:latin typeface="Verdana" panose="020B0604030504040204" pitchFamily="34" charset="0"/>
                  <a:ea typeface="Verdana" panose="020B0604030504040204" pitchFamily="34" charset="0"/>
                </a:rPr>
                <a:t> </a:t>
              </a:r>
              <a:r>
                <a:rPr lang="es-VE" sz="700" b="1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Fallas</a:t>
              </a:r>
              <a:r>
                <a:rPr lang="es-VE" sz="700" b="1" baseline="0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 Tecnicas</a:t>
              </a:r>
              <a:endParaRPr lang="es-VE" sz="7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00000000-0008-0000-0200-000053000000}"/>
                </a:ext>
              </a:extLst>
            </xdr:cNvPr>
            <xdr:cNvSpPr txBox="1"/>
          </xdr:nvSpPr>
          <xdr:spPr>
            <a:xfrm>
              <a:off x="8265160" y="981880"/>
              <a:ext cx="468000" cy="180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VE" sz="600">
                  <a:solidFill>
                    <a:srgbClr val="1F7A8C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Top</a:t>
              </a:r>
              <a:r>
                <a:rPr lang="es-VE" sz="600" baseline="0">
                  <a:solidFill>
                    <a:srgbClr val="1F7A8C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 5</a:t>
              </a:r>
              <a:endParaRPr lang="es-VE" sz="600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  <xdr:graphicFrame macro="">
        <xdr:nvGraphicFramePr>
          <xdr:cNvPr id="207" name="Gráfico 206">
            <a:extLst>
              <a:ext uri="{FF2B5EF4-FFF2-40B4-BE49-F238E27FC236}">
                <a16:creationId xmlns:a16="http://schemas.microsoft.com/office/drawing/2014/main" id="{00000000-0008-0000-0200-0000CF000000}"/>
              </a:ext>
            </a:extLst>
          </xdr:cNvPr>
          <xdr:cNvGraphicFramePr>
            <a:graphicFrameLocks/>
          </xdr:cNvGraphicFramePr>
        </xdr:nvGraphicFramePr>
        <xdr:xfrm>
          <a:off x="8107680" y="1096840"/>
          <a:ext cx="1368000" cy="136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>
    <xdr:from>
      <xdr:col>3</xdr:col>
      <xdr:colOff>626810</xdr:colOff>
      <xdr:row>23</xdr:row>
      <xdr:rowOff>11179</xdr:rowOff>
    </xdr:from>
    <xdr:to>
      <xdr:col>6</xdr:col>
      <xdr:colOff>322920</xdr:colOff>
      <xdr:row>31</xdr:row>
      <xdr:rowOff>158680</xdr:rowOff>
    </xdr:to>
    <xdr:sp macro="" textlink="">
      <xdr:nvSpPr>
        <xdr:cNvPr id="108" name="Rectángulo: esquinas redondeadas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/>
      </xdr:nvSpPr>
      <xdr:spPr>
        <a:xfrm>
          <a:off x="2434589" y="4241593"/>
          <a:ext cx="2124000" cy="1618949"/>
        </a:xfrm>
        <a:prstGeom prst="roundRect">
          <a:avLst>
            <a:gd name="adj" fmla="val 5846"/>
          </a:avLst>
        </a:prstGeom>
        <a:solidFill>
          <a:srgbClr val="D6EE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3</xdr:col>
      <xdr:colOff>628593</xdr:colOff>
      <xdr:row>23</xdr:row>
      <xdr:rowOff>48061</xdr:rowOff>
    </xdr:from>
    <xdr:to>
      <xdr:col>5</xdr:col>
      <xdr:colOff>419154</xdr:colOff>
      <xdr:row>24</xdr:row>
      <xdr:rowOff>178109</xdr:rowOff>
    </xdr:to>
    <xdr:grpSp>
      <xdr:nvGrpSpPr>
        <xdr:cNvPr id="114" name="Grupo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GrpSpPr/>
      </xdr:nvGrpSpPr>
      <xdr:grpSpPr>
        <a:xfrm>
          <a:off x="2437073" y="4254301"/>
          <a:ext cx="1406001" cy="312928"/>
          <a:chOff x="194266" y="5979723"/>
          <a:chExt cx="1405577" cy="314182"/>
        </a:xfrm>
      </xdr:grpSpPr>
      <xdr:sp macro="" textlink="">
        <xdr:nvSpPr>
          <xdr:cNvPr id="117" name="CuadroTexto 116">
            <a:extLst>
              <a:ext uri="{FF2B5EF4-FFF2-40B4-BE49-F238E27FC236}">
                <a16:creationId xmlns:a16="http://schemas.microsoft.com/office/drawing/2014/main" id="{00000000-0008-0000-0200-000075000000}"/>
              </a:ext>
            </a:extLst>
          </xdr:cNvPr>
          <xdr:cNvSpPr txBox="1"/>
        </xdr:nvSpPr>
        <xdr:spPr>
          <a:xfrm>
            <a:off x="194266" y="5979723"/>
            <a:ext cx="1405577" cy="1810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VE" sz="7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7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7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Peores</a:t>
            </a:r>
            <a:r>
              <a:rPr lang="es-VE" sz="700" b="1" baseline="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Resultados</a:t>
            </a:r>
            <a:endParaRPr lang="es-VE" sz="700" b="1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">
        <xdr:nvSpPr>
          <xdr:cNvPr id="118" name="CuadroTexto 117">
            <a:extLst>
              <a:ext uri="{FF2B5EF4-FFF2-40B4-BE49-F238E27FC236}">
                <a16:creationId xmlns:a16="http://schemas.microsoft.com/office/drawing/2014/main" id="{00000000-0008-0000-0200-000076000000}"/>
              </a:ext>
            </a:extLst>
          </xdr:cNvPr>
          <xdr:cNvSpPr txBox="1"/>
        </xdr:nvSpPr>
        <xdr:spPr>
          <a:xfrm>
            <a:off x="265386" y="6112854"/>
            <a:ext cx="576000" cy="1810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VE" sz="7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Top</a:t>
            </a:r>
            <a:r>
              <a:rPr lang="es-VE" sz="700" b="1" baseline="0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5</a:t>
            </a:r>
            <a:endParaRPr lang="es-VE" sz="700" b="1">
              <a:solidFill>
                <a:srgbClr val="1F7A8C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</xdr:grpSp>
    <xdr:clientData/>
  </xdr:twoCellAnchor>
  <xdr:twoCellAnchor>
    <xdr:from>
      <xdr:col>3</xdr:col>
      <xdr:colOff>631721</xdr:colOff>
      <xdr:row>25</xdr:row>
      <xdr:rowOff>8596</xdr:rowOff>
    </xdr:from>
    <xdr:to>
      <xdr:col>6</xdr:col>
      <xdr:colOff>255831</xdr:colOff>
      <xdr:row>31</xdr:row>
      <xdr:rowOff>92964</xdr:rowOff>
    </xdr:to>
    <xdr:grpSp>
      <xdr:nvGrpSpPr>
        <xdr:cNvPr id="157" name="Grupo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GrpSpPr/>
      </xdr:nvGrpSpPr>
      <xdr:grpSpPr>
        <a:xfrm>
          <a:off x="2440201" y="4580596"/>
          <a:ext cx="2047270" cy="1181648"/>
          <a:chOff x="304410" y="4529692"/>
          <a:chExt cx="1862070" cy="1182419"/>
        </a:xfrm>
      </xdr:grpSpPr>
      <xdr:grpSp>
        <xdr:nvGrpSpPr>
          <xdr:cNvPr id="158" name="Grupo 157">
            <a:extLst>
              <a:ext uri="{FF2B5EF4-FFF2-40B4-BE49-F238E27FC236}">
                <a16:creationId xmlns:a16="http://schemas.microsoft.com/office/drawing/2014/main" id="{00000000-0008-0000-0200-00009E000000}"/>
              </a:ext>
            </a:extLst>
          </xdr:cNvPr>
          <xdr:cNvGrpSpPr/>
        </xdr:nvGrpSpPr>
        <xdr:grpSpPr>
          <a:xfrm>
            <a:off x="319650" y="4721640"/>
            <a:ext cx="1700070" cy="108000"/>
            <a:chOff x="207890" y="4721640"/>
            <a:chExt cx="1700070" cy="108000"/>
          </a:xfrm>
        </xdr:grpSpPr>
        <xdr:sp macro="" textlink="Dinamics!BG3">
          <xdr:nvSpPr>
            <xdr:cNvPr id="184" name="CuadroTexto 183">
              <a:extLst>
                <a:ext uri="{FF2B5EF4-FFF2-40B4-BE49-F238E27FC236}">
                  <a16:creationId xmlns:a16="http://schemas.microsoft.com/office/drawing/2014/main" id="{00000000-0008-0000-0200-0000B8000000}"/>
                </a:ext>
              </a:extLst>
            </xdr:cNvPr>
            <xdr:cNvSpPr txBox="1"/>
          </xdr:nvSpPr>
          <xdr:spPr>
            <a:xfrm>
              <a:off x="207890" y="4721640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lIns="0" tIns="0" rIns="0" bIns="0" rtlCol="0" anchor="ctr"/>
            <a:lstStyle/>
            <a:p>
              <a:pPr algn="ctr"/>
              <a:fld id="{8955969C-CE5A-43AA-BDB2-6577E631C7B1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001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H3">
          <xdr:nvSpPr>
            <xdr:cNvPr id="185" name="CuadroTexto 184">
              <a:extLst>
                <a:ext uri="{FF2B5EF4-FFF2-40B4-BE49-F238E27FC236}">
                  <a16:creationId xmlns:a16="http://schemas.microsoft.com/office/drawing/2014/main" id="{00000000-0008-0000-0200-0000B9000000}"/>
                </a:ext>
              </a:extLst>
            </xdr:cNvPr>
            <xdr:cNvSpPr txBox="1"/>
          </xdr:nvSpPr>
          <xdr:spPr>
            <a:xfrm>
              <a:off x="539546" y="4721640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2F577B87-C82D-465E-971B-6774E9299F78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EURUSD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I3">
          <xdr:nvSpPr>
            <xdr:cNvPr id="186" name="CuadroTexto 185">
              <a:extLst>
                <a:ext uri="{FF2B5EF4-FFF2-40B4-BE49-F238E27FC236}">
                  <a16:creationId xmlns:a16="http://schemas.microsoft.com/office/drawing/2014/main" id="{00000000-0008-0000-0200-0000BA000000}"/>
                </a:ext>
              </a:extLst>
            </xdr:cNvPr>
            <xdr:cNvSpPr txBox="1"/>
          </xdr:nvSpPr>
          <xdr:spPr>
            <a:xfrm>
              <a:off x="1009446" y="4721640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4ECC061C-D313-4A55-AA1D-159C750C3F25}" type="TxLink">
                <a:rPr lang="en-US" sz="600" b="1" i="0" u="none" strike="noStrike">
                  <a:solidFill>
                    <a:srgbClr val="FF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-$155</a:t>
              </a:fld>
              <a:endParaRPr lang="es-VE" sz="600" b="1">
                <a:solidFill>
                  <a:srgbClr val="FF0000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J3">
          <xdr:nvSpPr>
            <xdr:cNvPr id="187" name="CuadroTexto 186">
              <a:extLst>
                <a:ext uri="{FF2B5EF4-FFF2-40B4-BE49-F238E27FC236}">
                  <a16:creationId xmlns:a16="http://schemas.microsoft.com/office/drawing/2014/main" id="{00000000-0008-0000-0200-0000BB000000}"/>
                </a:ext>
              </a:extLst>
            </xdr:cNvPr>
            <xdr:cNvSpPr txBox="1"/>
          </xdr:nvSpPr>
          <xdr:spPr>
            <a:xfrm>
              <a:off x="1619960" y="4721640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11DA1AEC-BB17-4CF0-AAB8-D81BE3DF95D1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75%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  <xdr:grpSp>
        <xdr:nvGrpSpPr>
          <xdr:cNvPr id="159" name="Grupo 158">
            <a:extLst>
              <a:ext uri="{FF2B5EF4-FFF2-40B4-BE49-F238E27FC236}">
                <a16:creationId xmlns:a16="http://schemas.microsoft.com/office/drawing/2014/main" id="{00000000-0008-0000-0200-00009F000000}"/>
              </a:ext>
            </a:extLst>
          </xdr:cNvPr>
          <xdr:cNvGrpSpPr/>
        </xdr:nvGrpSpPr>
        <xdr:grpSpPr>
          <a:xfrm>
            <a:off x="319650" y="4942258"/>
            <a:ext cx="1700070" cy="108000"/>
            <a:chOff x="207890" y="4942258"/>
            <a:chExt cx="1700070" cy="108000"/>
          </a:xfrm>
        </xdr:grpSpPr>
        <xdr:sp macro="" textlink="Dinamics!BG4">
          <xdr:nvSpPr>
            <xdr:cNvPr id="180" name="CuadroTexto 179">
              <a:extLst>
                <a:ext uri="{FF2B5EF4-FFF2-40B4-BE49-F238E27FC236}">
                  <a16:creationId xmlns:a16="http://schemas.microsoft.com/office/drawing/2014/main" id="{00000000-0008-0000-0200-0000B4000000}"/>
                </a:ext>
              </a:extLst>
            </xdr:cNvPr>
            <xdr:cNvSpPr txBox="1"/>
          </xdr:nvSpPr>
          <xdr:spPr>
            <a:xfrm>
              <a:off x="207890" y="4942258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lIns="0" tIns="0" rIns="0" bIns="0" rtlCol="0" anchor="ctr"/>
            <a:lstStyle/>
            <a:p>
              <a:pPr algn="ctr"/>
              <a:fld id="{A4381239-B319-49E9-97E4-ECEEE20F6042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002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H4">
          <xdr:nvSpPr>
            <xdr:cNvPr id="181" name="CuadroTexto 180">
              <a:extLst>
                <a:ext uri="{FF2B5EF4-FFF2-40B4-BE49-F238E27FC236}">
                  <a16:creationId xmlns:a16="http://schemas.microsoft.com/office/drawing/2014/main" id="{00000000-0008-0000-0200-0000B5000000}"/>
                </a:ext>
              </a:extLst>
            </xdr:cNvPr>
            <xdr:cNvSpPr txBox="1"/>
          </xdr:nvSpPr>
          <xdr:spPr>
            <a:xfrm>
              <a:off x="539546" y="4942258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90302178-1A3C-4831-B5F8-225CD74729D2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GBPUSD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I4">
          <xdr:nvSpPr>
            <xdr:cNvPr id="182" name="CuadroTexto 181">
              <a:extLst>
                <a:ext uri="{FF2B5EF4-FFF2-40B4-BE49-F238E27FC236}">
                  <a16:creationId xmlns:a16="http://schemas.microsoft.com/office/drawing/2014/main" id="{00000000-0008-0000-0200-0000B6000000}"/>
                </a:ext>
              </a:extLst>
            </xdr:cNvPr>
            <xdr:cNvSpPr txBox="1"/>
          </xdr:nvSpPr>
          <xdr:spPr>
            <a:xfrm>
              <a:off x="1009446" y="4942258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EDA5A7CF-1958-4C45-98A0-B12F46D48205}" type="TxLink">
                <a:rPr lang="en-US" sz="600" b="1" i="0" u="none" strike="noStrike">
                  <a:solidFill>
                    <a:srgbClr val="FF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$2.151</a:t>
              </a:fld>
              <a:endParaRPr lang="es-VE" sz="600" b="1">
                <a:solidFill>
                  <a:srgbClr val="FF0000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J4">
          <xdr:nvSpPr>
            <xdr:cNvPr id="183" name="CuadroTexto 182">
              <a:extLst>
                <a:ext uri="{FF2B5EF4-FFF2-40B4-BE49-F238E27FC236}">
                  <a16:creationId xmlns:a16="http://schemas.microsoft.com/office/drawing/2014/main" id="{00000000-0008-0000-0200-0000B7000000}"/>
                </a:ext>
              </a:extLst>
            </xdr:cNvPr>
            <xdr:cNvSpPr txBox="1"/>
          </xdr:nvSpPr>
          <xdr:spPr>
            <a:xfrm>
              <a:off x="1619960" y="4942258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21582DD7-5A45-4EC0-8C67-BD4E9CB37630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100%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  <xdr:grpSp>
        <xdr:nvGrpSpPr>
          <xdr:cNvPr id="160" name="Grupo 159">
            <a:extLst>
              <a:ext uri="{FF2B5EF4-FFF2-40B4-BE49-F238E27FC236}">
                <a16:creationId xmlns:a16="http://schemas.microsoft.com/office/drawing/2014/main" id="{00000000-0008-0000-0200-0000A0000000}"/>
              </a:ext>
            </a:extLst>
          </xdr:cNvPr>
          <xdr:cNvGrpSpPr/>
        </xdr:nvGrpSpPr>
        <xdr:grpSpPr>
          <a:xfrm>
            <a:off x="319650" y="5162876"/>
            <a:ext cx="1700070" cy="108000"/>
            <a:chOff x="207890" y="5162876"/>
            <a:chExt cx="1700070" cy="108000"/>
          </a:xfrm>
        </xdr:grpSpPr>
        <xdr:sp macro="" textlink="Dinamics!BG5">
          <xdr:nvSpPr>
            <xdr:cNvPr id="176" name="CuadroTexto 175">
              <a:extLst>
                <a:ext uri="{FF2B5EF4-FFF2-40B4-BE49-F238E27FC236}">
                  <a16:creationId xmlns:a16="http://schemas.microsoft.com/office/drawing/2014/main" id="{00000000-0008-0000-0200-0000B0000000}"/>
                </a:ext>
              </a:extLst>
            </xdr:cNvPr>
            <xdr:cNvSpPr txBox="1"/>
          </xdr:nvSpPr>
          <xdr:spPr>
            <a:xfrm>
              <a:off x="207890" y="5162876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lIns="0" tIns="0" rIns="0" bIns="0" rtlCol="0" anchor="ctr"/>
            <a:lstStyle/>
            <a:p>
              <a:pPr algn="ctr"/>
              <a:fld id="{1890C454-C67E-41B2-81CA-BB0421C45114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H5">
          <xdr:nvSpPr>
            <xdr:cNvPr id="177" name="CuadroTexto 176">
              <a:extLst>
                <a:ext uri="{FF2B5EF4-FFF2-40B4-BE49-F238E27FC236}">
                  <a16:creationId xmlns:a16="http://schemas.microsoft.com/office/drawing/2014/main" id="{00000000-0008-0000-0200-0000B1000000}"/>
                </a:ext>
              </a:extLst>
            </xdr:cNvPr>
            <xdr:cNvSpPr txBox="1"/>
          </xdr:nvSpPr>
          <xdr:spPr>
            <a:xfrm>
              <a:off x="539546" y="5162876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CF7135F1-6FE6-4CD2-B90F-9C3BC7DA79D8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I5">
          <xdr:nvSpPr>
            <xdr:cNvPr id="178" name="CuadroTexto 177">
              <a:extLst>
                <a:ext uri="{FF2B5EF4-FFF2-40B4-BE49-F238E27FC236}">
                  <a16:creationId xmlns:a16="http://schemas.microsoft.com/office/drawing/2014/main" id="{00000000-0008-0000-0200-0000B2000000}"/>
                </a:ext>
              </a:extLst>
            </xdr:cNvPr>
            <xdr:cNvSpPr txBox="1"/>
          </xdr:nvSpPr>
          <xdr:spPr>
            <a:xfrm>
              <a:off x="1009446" y="5162876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09904F47-E01B-40DA-9E06-C20341F19447}" type="TxLink">
                <a:rPr lang="en-US" sz="600" b="1" i="0" u="none" strike="noStrike">
                  <a:solidFill>
                    <a:srgbClr val="FF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600" b="1">
                <a:solidFill>
                  <a:srgbClr val="FF0000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J5">
          <xdr:nvSpPr>
            <xdr:cNvPr id="179" name="CuadroTexto 178">
              <a:extLst>
                <a:ext uri="{FF2B5EF4-FFF2-40B4-BE49-F238E27FC236}">
                  <a16:creationId xmlns:a16="http://schemas.microsoft.com/office/drawing/2014/main" id="{00000000-0008-0000-0200-0000B3000000}"/>
                </a:ext>
              </a:extLst>
            </xdr:cNvPr>
            <xdr:cNvSpPr txBox="1"/>
          </xdr:nvSpPr>
          <xdr:spPr>
            <a:xfrm>
              <a:off x="1619960" y="5162876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19C26430-F148-46C2-9DBD-A28D15A37BAE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  <xdr:grpSp>
        <xdr:nvGrpSpPr>
          <xdr:cNvPr id="161" name="Grupo 160">
            <a:extLst>
              <a:ext uri="{FF2B5EF4-FFF2-40B4-BE49-F238E27FC236}">
                <a16:creationId xmlns:a16="http://schemas.microsoft.com/office/drawing/2014/main" id="{00000000-0008-0000-0200-0000A1000000}"/>
              </a:ext>
            </a:extLst>
          </xdr:cNvPr>
          <xdr:cNvGrpSpPr/>
        </xdr:nvGrpSpPr>
        <xdr:grpSpPr>
          <a:xfrm>
            <a:off x="319650" y="5383494"/>
            <a:ext cx="1700070" cy="108000"/>
            <a:chOff x="207890" y="5383494"/>
            <a:chExt cx="1700070" cy="108000"/>
          </a:xfrm>
        </xdr:grpSpPr>
        <xdr:sp macro="" textlink="Dinamics!BG6">
          <xdr:nvSpPr>
            <xdr:cNvPr id="172" name="CuadroTexto 171">
              <a:extLst>
                <a:ext uri="{FF2B5EF4-FFF2-40B4-BE49-F238E27FC236}">
                  <a16:creationId xmlns:a16="http://schemas.microsoft.com/office/drawing/2014/main" id="{00000000-0008-0000-0200-0000AC000000}"/>
                </a:ext>
              </a:extLst>
            </xdr:cNvPr>
            <xdr:cNvSpPr txBox="1"/>
          </xdr:nvSpPr>
          <xdr:spPr>
            <a:xfrm>
              <a:off x="207890" y="5383494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lIns="0" tIns="0" rIns="0" bIns="0" rtlCol="0" anchor="ctr"/>
            <a:lstStyle/>
            <a:p>
              <a:pPr algn="ctr"/>
              <a:fld id="{BA0BA108-CAF9-4CFC-856B-B2050043C540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H6">
          <xdr:nvSpPr>
            <xdr:cNvPr id="173" name="CuadroTexto 172">
              <a:extLst>
                <a:ext uri="{FF2B5EF4-FFF2-40B4-BE49-F238E27FC236}">
                  <a16:creationId xmlns:a16="http://schemas.microsoft.com/office/drawing/2014/main" id="{00000000-0008-0000-0200-0000AD000000}"/>
                </a:ext>
              </a:extLst>
            </xdr:cNvPr>
            <xdr:cNvSpPr txBox="1"/>
          </xdr:nvSpPr>
          <xdr:spPr>
            <a:xfrm>
              <a:off x="539546" y="5383494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314B8F96-9C19-42A2-9AB8-3BF12EDE40CD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I6">
          <xdr:nvSpPr>
            <xdr:cNvPr id="174" name="CuadroTexto 173">
              <a:extLst>
                <a:ext uri="{FF2B5EF4-FFF2-40B4-BE49-F238E27FC236}">
                  <a16:creationId xmlns:a16="http://schemas.microsoft.com/office/drawing/2014/main" id="{00000000-0008-0000-0200-0000AE000000}"/>
                </a:ext>
              </a:extLst>
            </xdr:cNvPr>
            <xdr:cNvSpPr txBox="1"/>
          </xdr:nvSpPr>
          <xdr:spPr>
            <a:xfrm>
              <a:off x="1009446" y="5383494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CF80AC41-9931-4956-A01D-69C7B64B6DA0}" type="TxLink">
                <a:rPr lang="en-US" sz="600" b="1" i="0" u="none" strike="noStrike">
                  <a:solidFill>
                    <a:srgbClr val="FF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600" b="1">
                <a:solidFill>
                  <a:srgbClr val="FF0000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J6">
          <xdr:nvSpPr>
            <xdr:cNvPr id="175" name="CuadroTexto 174">
              <a:extLst>
                <a:ext uri="{FF2B5EF4-FFF2-40B4-BE49-F238E27FC236}">
                  <a16:creationId xmlns:a16="http://schemas.microsoft.com/office/drawing/2014/main" id="{00000000-0008-0000-0200-0000AF000000}"/>
                </a:ext>
              </a:extLst>
            </xdr:cNvPr>
            <xdr:cNvSpPr txBox="1"/>
          </xdr:nvSpPr>
          <xdr:spPr>
            <a:xfrm>
              <a:off x="1619960" y="5383494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8774784D-5071-4F2B-AFF2-51E67FD9C809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  <xdr:grpSp>
        <xdr:nvGrpSpPr>
          <xdr:cNvPr id="162" name="Grupo 161">
            <a:extLst>
              <a:ext uri="{FF2B5EF4-FFF2-40B4-BE49-F238E27FC236}">
                <a16:creationId xmlns:a16="http://schemas.microsoft.com/office/drawing/2014/main" id="{00000000-0008-0000-0200-0000A2000000}"/>
              </a:ext>
            </a:extLst>
          </xdr:cNvPr>
          <xdr:cNvGrpSpPr/>
        </xdr:nvGrpSpPr>
        <xdr:grpSpPr>
          <a:xfrm>
            <a:off x="319650" y="5604111"/>
            <a:ext cx="1700070" cy="108000"/>
            <a:chOff x="207890" y="5604111"/>
            <a:chExt cx="1700070" cy="108000"/>
          </a:xfrm>
        </xdr:grpSpPr>
        <xdr:sp macro="" textlink="Dinamics!BG7">
          <xdr:nvSpPr>
            <xdr:cNvPr id="168" name="CuadroTexto 167">
              <a:extLst>
                <a:ext uri="{FF2B5EF4-FFF2-40B4-BE49-F238E27FC236}">
                  <a16:creationId xmlns:a16="http://schemas.microsoft.com/office/drawing/2014/main" id="{00000000-0008-0000-0200-0000A8000000}"/>
                </a:ext>
              </a:extLst>
            </xdr:cNvPr>
            <xdr:cNvSpPr txBox="1"/>
          </xdr:nvSpPr>
          <xdr:spPr>
            <a:xfrm>
              <a:off x="207890" y="5604111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lIns="0" tIns="0" rIns="0" bIns="0" rtlCol="0" anchor="ctr"/>
            <a:lstStyle/>
            <a:p>
              <a:pPr algn="ctr"/>
              <a:fld id="{F809FA15-8ED0-4104-90E3-D757B2E0B15A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H7">
          <xdr:nvSpPr>
            <xdr:cNvPr id="169" name="CuadroTexto 168">
              <a:extLst>
                <a:ext uri="{FF2B5EF4-FFF2-40B4-BE49-F238E27FC236}">
                  <a16:creationId xmlns:a16="http://schemas.microsoft.com/office/drawing/2014/main" id="{00000000-0008-0000-0200-0000A9000000}"/>
                </a:ext>
              </a:extLst>
            </xdr:cNvPr>
            <xdr:cNvSpPr txBox="1"/>
          </xdr:nvSpPr>
          <xdr:spPr>
            <a:xfrm>
              <a:off x="539546" y="5604111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4BBD2D1B-DF8D-4E13-909F-E5F247423935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I7">
          <xdr:nvSpPr>
            <xdr:cNvPr id="170" name="CuadroTexto 169">
              <a:extLst>
                <a:ext uri="{FF2B5EF4-FFF2-40B4-BE49-F238E27FC236}">
                  <a16:creationId xmlns:a16="http://schemas.microsoft.com/office/drawing/2014/main" id="{00000000-0008-0000-0200-0000AA000000}"/>
                </a:ext>
              </a:extLst>
            </xdr:cNvPr>
            <xdr:cNvSpPr txBox="1"/>
          </xdr:nvSpPr>
          <xdr:spPr>
            <a:xfrm>
              <a:off x="1009446" y="5604111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42F3D0D7-8DCB-4F91-8D2E-CA0EC732B108}" type="TxLink">
                <a:rPr lang="en-US" sz="600" b="1" i="0" u="none" strike="noStrike">
                  <a:solidFill>
                    <a:srgbClr val="FF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600" b="1">
                <a:solidFill>
                  <a:srgbClr val="FF0000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J7">
          <xdr:nvSpPr>
            <xdr:cNvPr id="171" name="CuadroTexto 170">
              <a:extLst>
                <a:ext uri="{FF2B5EF4-FFF2-40B4-BE49-F238E27FC236}">
                  <a16:creationId xmlns:a16="http://schemas.microsoft.com/office/drawing/2014/main" id="{00000000-0008-0000-0200-0000AB000000}"/>
                </a:ext>
              </a:extLst>
            </xdr:cNvPr>
            <xdr:cNvSpPr txBox="1"/>
          </xdr:nvSpPr>
          <xdr:spPr>
            <a:xfrm>
              <a:off x="1619960" y="5604111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EC023D28-DCC8-44ED-A29C-B2798F99C845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  <xdr:grpSp>
        <xdr:nvGrpSpPr>
          <xdr:cNvPr id="163" name="Grupo 162">
            <a:extLst>
              <a:ext uri="{FF2B5EF4-FFF2-40B4-BE49-F238E27FC236}">
                <a16:creationId xmlns:a16="http://schemas.microsoft.com/office/drawing/2014/main" id="{00000000-0008-0000-0200-0000A3000000}"/>
              </a:ext>
            </a:extLst>
          </xdr:cNvPr>
          <xdr:cNvGrpSpPr/>
        </xdr:nvGrpSpPr>
        <xdr:grpSpPr>
          <a:xfrm>
            <a:off x="304410" y="4529692"/>
            <a:ext cx="1862070" cy="108000"/>
            <a:chOff x="304410" y="4529692"/>
            <a:chExt cx="1862070" cy="108000"/>
          </a:xfrm>
        </xdr:grpSpPr>
        <xdr:sp macro="" textlink="Dinamics!BG2">
          <xdr:nvSpPr>
            <xdr:cNvPr id="164" name="CuadroTexto 163">
              <a:extLst>
                <a:ext uri="{FF2B5EF4-FFF2-40B4-BE49-F238E27FC236}">
                  <a16:creationId xmlns:a16="http://schemas.microsoft.com/office/drawing/2014/main" id="{00000000-0008-0000-0200-0000A4000000}"/>
                </a:ext>
              </a:extLst>
            </xdr:cNvPr>
            <xdr:cNvSpPr txBox="1"/>
          </xdr:nvSpPr>
          <xdr:spPr>
            <a:xfrm>
              <a:off x="304410" y="4529692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/>
            <a:lstStyle/>
            <a:p>
              <a:pPr algn="ctr"/>
              <a:fld id="{1E671EBD-D983-42D5-951F-C7B59A15FA00}" type="TxLink">
                <a:rPr lang="en-US" sz="600" b="1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#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H2">
          <xdr:nvSpPr>
            <xdr:cNvPr id="165" name="CuadroTexto 164">
              <a:extLst>
                <a:ext uri="{FF2B5EF4-FFF2-40B4-BE49-F238E27FC236}">
                  <a16:creationId xmlns:a16="http://schemas.microsoft.com/office/drawing/2014/main" id="{00000000-0008-0000-0200-0000A5000000}"/>
                </a:ext>
              </a:extLst>
            </xdr:cNvPr>
            <xdr:cNvSpPr txBox="1"/>
          </xdr:nvSpPr>
          <xdr:spPr>
            <a:xfrm>
              <a:off x="636066" y="4529692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/>
            <a:lstStyle/>
            <a:p>
              <a:pPr algn="ctr"/>
              <a:fld id="{479EA486-96F2-46A3-A4AA-8CC4E4D05C3A}" type="TxLink">
                <a:rPr lang="en-US" sz="600" b="1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Par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I2">
          <xdr:nvSpPr>
            <xdr:cNvPr id="166" name="CuadroTexto 165">
              <a:extLst>
                <a:ext uri="{FF2B5EF4-FFF2-40B4-BE49-F238E27FC236}">
                  <a16:creationId xmlns:a16="http://schemas.microsoft.com/office/drawing/2014/main" id="{00000000-0008-0000-0200-0000A6000000}"/>
                </a:ext>
              </a:extLst>
            </xdr:cNvPr>
            <xdr:cNvSpPr txBox="1"/>
          </xdr:nvSpPr>
          <xdr:spPr>
            <a:xfrm>
              <a:off x="1015966" y="4529692"/>
              <a:ext cx="46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/>
            <a:lstStyle/>
            <a:p>
              <a:pPr algn="ctr"/>
              <a:fld id="{389E9CA3-B508-4974-9AA3-FEB12F9561E1}" type="TxLink">
                <a:rPr lang="en-US" sz="600" b="1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Resultado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J2">
          <xdr:nvSpPr>
            <xdr:cNvPr id="167" name="CuadroTexto 166">
              <a:extLst>
                <a:ext uri="{FF2B5EF4-FFF2-40B4-BE49-F238E27FC236}">
                  <a16:creationId xmlns:a16="http://schemas.microsoft.com/office/drawing/2014/main" id="{00000000-0008-0000-0200-0000A7000000}"/>
                </a:ext>
              </a:extLst>
            </xdr:cNvPr>
            <xdr:cNvSpPr txBox="1"/>
          </xdr:nvSpPr>
          <xdr:spPr>
            <a:xfrm>
              <a:off x="1554480" y="4529692"/>
              <a:ext cx="612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/>
            <a:lstStyle/>
            <a:p>
              <a:pPr algn="ctr"/>
              <a:fld id="{E6021797-B2A9-4003-9203-29398F05A496}" type="TxLink">
                <a:rPr lang="en-US" sz="600" b="1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Cumplimiento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</xdr:grpSp>
    <xdr:clientData/>
  </xdr:twoCellAnchor>
  <xdr:twoCellAnchor>
    <xdr:from>
      <xdr:col>5</xdr:col>
      <xdr:colOff>629790</xdr:colOff>
      <xdr:row>23</xdr:row>
      <xdr:rowOff>59413</xdr:rowOff>
    </xdr:from>
    <xdr:to>
      <xdr:col>6</xdr:col>
      <xdr:colOff>109124</xdr:colOff>
      <xdr:row>24</xdr:row>
      <xdr:rowOff>164986</xdr:rowOff>
    </xdr:to>
    <xdr:pic>
      <xdr:nvPicPr>
        <xdr:cNvPr id="30" name="Gráfico 29" descr="Flechas de cheurón con relleno sólido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 rot="5400000">
          <a:off x="4055726" y="4290263"/>
          <a:ext cx="289504" cy="288631"/>
        </a:xfrm>
        <a:prstGeom prst="rect">
          <a:avLst/>
        </a:prstGeom>
      </xdr:spPr>
    </xdr:pic>
    <xdr:clientData/>
  </xdr:twoCellAnchor>
  <xdr:twoCellAnchor>
    <xdr:from>
      <xdr:col>0</xdr:col>
      <xdr:colOff>162560</xdr:colOff>
      <xdr:row>23</xdr:row>
      <xdr:rowOff>11179</xdr:rowOff>
    </xdr:from>
    <xdr:to>
      <xdr:col>3</xdr:col>
      <xdr:colOff>478781</xdr:colOff>
      <xdr:row>31</xdr:row>
      <xdr:rowOff>158680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/>
      </xdr:nvSpPr>
      <xdr:spPr>
        <a:xfrm>
          <a:off x="162560" y="4241593"/>
          <a:ext cx="2124000" cy="1618949"/>
        </a:xfrm>
        <a:prstGeom prst="roundRect">
          <a:avLst>
            <a:gd name="adj" fmla="val 5846"/>
          </a:avLst>
        </a:prstGeom>
        <a:solidFill>
          <a:srgbClr val="D6EE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</xdr:col>
      <xdr:colOff>12966</xdr:colOff>
      <xdr:row>23</xdr:row>
      <xdr:rowOff>48061</xdr:rowOff>
    </xdr:from>
    <xdr:to>
      <xdr:col>2</xdr:col>
      <xdr:colOff>658168</xdr:colOff>
      <xdr:row>24</xdr:row>
      <xdr:rowOff>183185</xdr:rowOff>
    </xdr:to>
    <xdr:grpSp>
      <xdr:nvGrpSpPr>
        <xdr:cNvPr id="122" name="Grupo 1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GrpSpPr/>
      </xdr:nvGrpSpPr>
      <xdr:grpSpPr>
        <a:xfrm>
          <a:off x="206006" y="4254301"/>
          <a:ext cx="1452922" cy="318004"/>
          <a:chOff x="199346" y="4273368"/>
          <a:chExt cx="1454457" cy="319262"/>
        </a:xfrm>
      </xdr:grpSpPr>
      <xdr:sp macro="" textlink="">
        <xdr:nvSpPr>
          <xdr:cNvPr id="115" name="CuadroTexto 114">
            <a:extLst>
              <a:ext uri="{FF2B5EF4-FFF2-40B4-BE49-F238E27FC236}">
                <a16:creationId xmlns:a16="http://schemas.microsoft.com/office/drawing/2014/main" id="{00000000-0008-0000-0200-000073000000}"/>
              </a:ext>
            </a:extLst>
          </xdr:cNvPr>
          <xdr:cNvSpPr txBox="1"/>
        </xdr:nvSpPr>
        <xdr:spPr>
          <a:xfrm>
            <a:off x="199346" y="4273368"/>
            <a:ext cx="1454457" cy="1810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VE" sz="7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7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7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Mejores</a:t>
            </a:r>
            <a:r>
              <a:rPr lang="es-VE" sz="700" b="1" baseline="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Resultados</a:t>
            </a:r>
            <a:endParaRPr lang="es-VE" sz="700" b="1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">
        <xdr:nvSpPr>
          <xdr:cNvPr id="116" name="CuadroTexto 115">
            <a:extLst>
              <a:ext uri="{FF2B5EF4-FFF2-40B4-BE49-F238E27FC236}">
                <a16:creationId xmlns:a16="http://schemas.microsoft.com/office/drawing/2014/main" id="{00000000-0008-0000-0200-000074000000}"/>
              </a:ext>
            </a:extLst>
          </xdr:cNvPr>
          <xdr:cNvSpPr txBox="1"/>
        </xdr:nvSpPr>
        <xdr:spPr>
          <a:xfrm>
            <a:off x="285706" y="4411579"/>
            <a:ext cx="576000" cy="1810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VE" sz="7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Top</a:t>
            </a:r>
            <a:r>
              <a:rPr lang="es-VE" sz="700" b="1" baseline="0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5</a:t>
            </a:r>
            <a:endParaRPr lang="es-VE" sz="700" b="1">
              <a:solidFill>
                <a:srgbClr val="1F7A8C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</xdr:grpSp>
    <xdr:clientData/>
  </xdr:twoCellAnchor>
  <xdr:twoCellAnchor>
    <xdr:from>
      <xdr:col>1</xdr:col>
      <xdr:colOff>9362</xdr:colOff>
      <xdr:row>25</xdr:row>
      <xdr:rowOff>2968</xdr:rowOff>
    </xdr:from>
    <xdr:to>
      <xdr:col>3</xdr:col>
      <xdr:colOff>442769</xdr:colOff>
      <xdr:row>31</xdr:row>
      <xdr:rowOff>88386</xdr:rowOff>
    </xdr:to>
    <xdr:grpSp>
      <xdr:nvGrpSpPr>
        <xdr:cNvPr id="156" name="Grupo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GrpSpPr/>
      </xdr:nvGrpSpPr>
      <xdr:grpSpPr>
        <a:xfrm>
          <a:off x="202402" y="4574968"/>
          <a:ext cx="2048847" cy="1182698"/>
          <a:chOff x="304410" y="4529692"/>
          <a:chExt cx="1862070" cy="1182419"/>
        </a:xfrm>
      </xdr:grpSpPr>
      <xdr:grpSp>
        <xdr:nvGrpSpPr>
          <xdr:cNvPr id="150" name="Grupo 149">
            <a:extLst>
              <a:ext uri="{FF2B5EF4-FFF2-40B4-BE49-F238E27FC236}">
                <a16:creationId xmlns:a16="http://schemas.microsoft.com/office/drawing/2014/main" id="{00000000-0008-0000-0200-000096000000}"/>
              </a:ext>
            </a:extLst>
          </xdr:cNvPr>
          <xdr:cNvGrpSpPr/>
        </xdr:nvGrpSpPr>
        <xdr:grpSpPr>
          <a:xfrm>
            <a:off x="319650" y="4721640"/>
            <a:ext cx="1700070" cy="108000"/>
            <a:chOff x="207890" y="4721640"/>
            <a:chExt cx="1700070" cy="108000"/>
          </a:xfrm>
        </xdr:grpSpPr>
        <xdr:sp macro="" textlink="Dinamics!AX3">
          <xdr:nvSpPr>
            <xdr:cNvPr id="119" name="CuadroTexto 118">
              <a:extLst>
                <a:ext uri="{FF2B5EF4-FFF2-40B4-BE49-F238E27FC236}">
                  <a16:creationId xmlns:a16="http://schemas.microsoft.com/office/drawing/2014/main" id="{00000000-0008-0000-0200-000077000000}"/>
                </a:ext>
              </a:extLst>
            </xdr:cNvPr>
            <xdr:cNvSpPr txBox="1"/>
          </xdr:nvSpPr>
          <xdr:spPr>
            <a:xfrm>
              <a:off x="207890" y="4721640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lIns="0" tIns="0" rIns="0" bIns="0" rtlCol="0" anchor="ctr"/>
            <a:lstStyle/>
            <a:p>
              <a:pPr algn="ctr"/>
              <a:fld id="{1AA1AD03-B0A2-4903-AA53-22F6DC9C66B8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002</a:t>
              </a:fld>
              <a:endParaRPr lang="es-VE" sz="2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AY3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00000000-0008-0000-0200-00007E000000}"/>
                </a:ext>
              </a:extLst>
            </xdr:cNvPr>
            <xdr:cNvSpPr txBox="1"/>
          </xdr:nvSpPr>
          <xdr:spPr>
            <a:xfrm>
              <a:off x="539546" y="4721640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F9EB456C-C393-4E64-A950-C8CD4794B6FB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GBPUSD</a:t>
              </a:fld>
              <a:endParaRPr lang="es-VE" sz="2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AZ3">
          <xdr:nvSpPr>
            <xdr:cNvPr id="131" name="CuadroTexto 130">
              <a:extLst>
                <a:ext uri="{FF2B5EF4-FFF2-40B4-BE49-F238E27FC236}">
                  <a16:creationId xmlns:a16="http://schemas.microsoft.com/office/drawing/2014/main" id="{00000000-0008-0000-0200-000083000000}"/>
                </a:ext>
              </a:extLst>
            </xdr:cNvPr>
            <xdr:cNvSpPr txBox="1"/>
          </xdr:nvSpPr>
          <xdr:spPr>
            <a:xfrm>
              <a:off x="1009446" y="4721640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764FE5F8-5223-4D36-B30C-A7BC5F839A83}" type="TxLink">
                <a:rPr lang="en-US" sz="600" b="1" i="0" u="none" strike="noStrike">
                  <a:solidFill>
                    <a:srgbClr val="00B05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$2.151</a:t>
              </a:fld>
              <a:endParaRPr lang="es-VE" sz="600" b="1">
                <a:solidFill>
                  <a:srgbClr val="00B050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A3">
          <xdr:nvSpPr>
            <xdr:cNvPr id="136" name="CuadroTexto 135">
              <a:extLst>
                <a:ext uri="{FF2B5EF4-FFF2-40B4-BE49-F238E27FC236}">
                  <a16:creationId xmlns:a16="http://schemas.microsoft.com/office/drawing/2014/main" id="{00000000-0008-0000-0200-000088000000}"/>
                </a:ext>
              </a:extLst>
            </xdr:cNvPr>
            <xdr:cNvSpPr txBox="1"/>
          </xdr:nvSpPr>
          <xdr:spPr>
            <a:xfrm>
              <a:off x="1619960" y="4721640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3C9A3704-EC9B-4246-9C68-02A67C6D2D93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100%</a:t>
              </a:fld>
              <a:endParaRPr lang="es-VE" sz="2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  <xdr:grpSp>
        <xdr:nvGrpSpPr>
          <xdr:cNvPr id="151" name="Grupo 150">
            <a:extLst>
              <a:ext uri="{FF2B5EF4-FFF2-40B4-BE49-F238E27FC236}">
                <a16:creationId xmlns:a16="http://schemas.microsoft.com/office/drawing/2014/main" id="{00000000-0008-0000-0200-000097000000}"/>
              </a:ext>
            </a:extLst>
          </xdr:cNvPr>
          <xdr:cNvGrpSpPr/>
        </xdr:nvGrpSpPr>
        <xdr:grpSpPr>
          <a:xfrm>
            <a:off x="319650" y="4942258"/>
            <a:ext cx="1700070" cy="108000"/>
            <a:chOff x="207890" y="4942258"/>
            <a:chExt cx="1700070" cy="108000"/>
          </a:xfrm>
        </xdr:grpSpPr>
        <xdr:sp macro="" textlink="Dinamics!AX4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00000000-0008-0000-0200-000078000000}"/>
                </a:ext>
              </a:extLst>
            </xdr:cNvPr>
            <xdr:cNvSpPr txBox="1"/>
          </xdr:nvSpPr>
          <xdr:spPr>
            <a:xfrm>
              <a:off x="207890" y="4942258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lIns="0" tIns="0" rIns="0" bIns="0" rtlCol="0" anchor="ctr"/>
            <a:lstStyle/>
            <a:p>
              <a:pPr algn="ctr"/>
              <a:fld id="{05600467-1571-4574-BD4F-9C95DBD53EF7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001</a:t>
              </a:fld>
              <a:endParaRPr lang="es-VE" sz="2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AY4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00000000-0008-0000-0200-00007F000000}"/>
                </a:ext>
              </a:extLst>
            </xdr:cNvPr>
            <xdr:cNvSpPr txBox="1"/>
          </xdr:nvSpPr>
          <xdr:spPr>
            <a:xfrm>
              <a:off x="539546" y="4942258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BB84E74F-7B51-456B-BB8D-6E4A58A71B88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EURUSD</a:t>
              </a:fld>
              <a:endParaRPr lang="es-VE" sz="2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AZ4">
          <xdr:nvSpPr>
            <xdr:cNvPr id="132" name="CuadroTexto 131">
              <a:extLst>
                <a:ext uri="{FF2B5EF4-FFF2-40B4-BE49-F238E27FC236}">
                  <a16:creationId xmlns:a16="http://schemas.microsoft.com/office/drawing/2014/main" id="{00000000-0008-0000-0200-000084000000}"/>
                </a:ext>
              </a:extLst>
            </xdr:cNvPr>
            <xdr:cNvSpPr txBox="1"/>
          </xdr:nvSpPr>
          <xdr:spPr>
            <a:xfrm>
              <a:off x="1009446" y="4942258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33EB8BD0-43C3-4C4E-A437-14D02DBD9872}" type="TxLink">
                <a:rPr lang="en-US" sz="600" b="1" i="0" u="none" strike="noStrike">
                  <a:solidFill>
                    <a:srgbClr val="00B05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-$155</a:t>
              </a:fld>
              <a:endParaRPr lang="es-VE" sz="600" b="1">
                <a:solidFill>
                  <a:srgbClr val="00B050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A4">
          <xdr:nvSpPr>
            <xdr:cNvPr id="137" name="CuadroTexto 136">
              <a:extLst>
                <a:ext uri="{FF2B5EF4-FFF2-40B4-BE49-F238E27FC236}">
                  <a16:creationId xmlns:a16="http://schemas.microsoft.com/office/drawing/2014/main" id="{00000000-0008-0000-0200-000089000000}"/>
                </a:ext>
              </a:extLst>
            </xdr:cNvPr>
            <xdr:cNvSpPr txBox="1"/>
          </xdr:nvSpPr>
          <xdr:spPr>
            <a:xfrm>
              <a:off x="1619960" y="4942258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23E04D11-7943-492E-BAB5-8796A9BFE1CF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75%</a:t>
              </a:fld>
              <a:endParaRPr lang="es-VE" sz="2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  <xdr:grpSp>
        <xdr:nvGrpSpPr>
          <xdr:cNvPr id="152" name="Grupo 151">
            <a:extLst>
              <a:ext uri="{FF2B5EF4-FFF2-40B4-BE49-F238E27FC236}">
                <a16:creationId xmlns:a16="http://schemas.microsoft.com/office/drawing/2014/main" id="{00000000-0008-0000-0200-000098000000}"/>
              </a:ext>
            </a:extLst>
          </xdr:cNvPr>
          <xdr:cNvGrpSpPr/>
        </xdr:nvGrpSpPr>
        <xdr:grpSpPr>
          <a:xfrm>
            <a:off x="319650" y="5162876"/>
            <a:ext cx="1700070" cy="108000"/>
            <a:chOff x="207890" y="5162876"/>
            <a:chExt cx="1700070" cy="108000"/>
          </a:xfrm>
        </xdr:grpSpPr>
        <xdr:sp macro="" textlink="Dinamics!AX5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00000000-0008-0000-0200-00007B000000}"/>
                </a:ext>
              </a:extLst>
            </xdr:cNvPr>
            <xdr:cNvSpPr txBox="1"/>
          </xdr:nvSpPr>
          <xdr:spPr>
            <a:xfrm>
              <a:off x="207890" y="5162876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lIns="0" tIns="0" rIns="0" bIns="0" rtlCol="0" anchor="ctr"/>
            <a:lstStyle/>
            <a:p>
              <a:pPr algn="ctr"/>
              <a:fld id="{4876D902-462A-490B-A0DF-8972F0F63AA1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2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AY5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00000000-0008-0000-0200-000080000000}"/>
                </a:ext>
              </a:extLst>
            </xdr:cNvPr>
            <xdr:cNvSpPr txBox="1"/>
          </xdr:nvSpPr>
          <xdr:spPr>
            <a:xfrm>
              <a:off x="539546" y="5162876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CEBF101B-0B9E-4A51-BA86-EEDCEDDA5DB1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2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AZ5">
          <xdr:nvSpPr>
            <xdr:cNvPr id="133" name="CuadroTexto 132">
              <a:extLst>
                <a:ext uri="{FF2B5EF4-FFF2-40B4-BE49-F238E27FC236}">
                  <a16:creationId xmlns:a16="http://schemas.microsoft.com/office/drawing/2014/main" id="{00000000-0008-0000-0200-000085000000}"/>
                </a:ext>
              </a:extLst>
            </xdr:cNvPr>
            <xdr:cNvSpPr txBox="1"/>
          </xdr:nvSpPr>
          <xdr:spPr>
            <a:xfrm>
              <a:off x="1009446" y="5162876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DA385123-E103-4A58-9101-977A10BBEA1A}" type="TxLink">
                <a:rPr lang="en-US" sz="600" b="1" i="0" u="none" strike="noStrike">
                  <a:solidFill>
                    <a:srgbClr val="00B05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600" b="1">
                <a:solidFill>
                  <a:srgbClr val="00B050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A5">
          <xdr:nvSpPr>
            <xdr:cNvPr id="138" name="CuadroTexto 137">
              <a:extLst>
                <a:ext uri="{FF2B5EF4-FFF2-40B4-BE49-F238E27FC236}">
                  <a16:creationId xmlns:a16="http://schemas.microsoft.com/office/drawing/2014/main" id="{00000000-0008-0000-0200-00008A000000}"/>
                </a:ext>
              </a:extLst>
            </xdr:cNvPr>
            <xdr:cNvSpPr txBox="1"/>
          </xdr:nvSpPr>
          <xdr:spPr>
            <a:xfrm>
              <a:off x="1619960" y="5162876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EFE13002-5F40-47FB-9876-35DDA45BFED1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2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  <xdr:grpSp>
        <xdr:nvGrpSpPr>
          <xdr:cNvPr id="153" name="Grupo 152">
            <a:extLst>
              <a:ext uri="{FF2B5EF4-FFF2-40B4-BE49-F238E27FC236}">
                <a16:creationId xmlns:a16="http://schemas.microsoft.com/office/drawing/2014/main" id="{00000000-0008-0000-0200-000099000000}"/>
              </a:ext>
            </a:extLst>
          </xdr:cNvPr>
          <xdr:cNvGrpSpPr/>
        </xdr:nvGrpSpPr>
        <xdr:grpSpPr>
          <a:xfrm>
            <a:off x="319650" y="5383494"/>
            <a:ext cx="1700070" cy="108000"/>
            <a:chOff x="207890" y="5383494"/>
            <a:chExt cx="1700070" cy="108000"/>
          </a:xfrm>
        </xdr:grpSpPr>
        <xdr:sp macro="" textlink="Dinamics!AX6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00000000-0008-0000-0200-00007C000000}"/>
                </a:ext>
              </a:extLst>
            </xdr:cNvPr>
            <xdr:cNvSpPr txBox="1"/>
          </xdr:nvSpPr>
          <xdr:spPr>
            <a:xfrm>
              <a:off x="207890" y="5383494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lIns="0" tIns="0" rIns="0" bIns="0" rtlCol="0" anchor="ctr"/>
            <a:lstStyle/>
            <a:p>
              <a:pPr algn="ctr"/>
              <a:fld id="{4E8282CC-2D3F-47DC-B76B-13CB099217AF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2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AY6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00000000-0008-0000-0200-000081000000}"/>
                </a:ext>
              </a:extLst>
            </xdr:cNvPr>
            <xdr:cNvSpPr txBox="1"/>
          </xdr:nvSpPr>
          <xdr:spPr>
            <a:xfrm>
              <a:off x="539546" y="5383494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DF156459-B471-44B5-8B2A-C00B97314A45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2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AZ6">
          <xdr:nvSpPr>
            <xdr:cNvPr id="134" name="CuadroTexto 133">
              <a:extLst>
                <a:ext uri="{FF2B5EF4-FFF2-40B4-BE49-F238E27FC236}">
                  <a16:creationId xmlns:a16="http://schemas.microsoft.com/office/drawing/2014/main" id="{00000000-0008-0000-0200-000086000000}"/>
                </a:ext>
              </a:extLst>
            </xdr:cNvPr>
            <xdr:cNvSpPr txBox="1"/>
          </xdr:nvSpPr>
          <xdr:spPr>
            <a:xfrm>
              <a:off x="1009446" y="5383494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C860E6B5-45CA-48C8-A477-0D62553999A1}" type="TxLink">
                <a:rPr lang="en-US" sz="600" b="1" i="0" u="none" strike="noStrike">
                  <a:solidFill>
                    <a:srgbClr val="00B05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600" b="1">
                <a:solidFill>
                  <a:srgbClr val="00B050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A6">
          <xdr:nvSpPr>
            <xdr:cNvPr id="139" name="CuadroTexto 138">
              <a:extLst>
                <a:ext uri="{FF2B5EF4-FFF2-40B4-BE49-F238E27FC236}">
                  <a16:creationId xmlns:a16="http://schemas.microsoft.com/office/drawing/2014/main" id="{00000000-0008-0000-0200-00008B000000}"/>
                </a:ext>
              </a:extLst>
            </xdr:cNvPr>
            <xdr:cNvSpPr txBox="1"/>
          </xdr:nvSpPr>
          <xdr:spPr>
            <a:xfrm>
              <a:off x="1619960" y="5383494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71F4E4A1-35D2-4DA8-BDD9-1F42848178FF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2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  <xdr:grpSp>
        <xdr:nvGrpSpPr>
          <xdr:cNvPr id="154" name="Grupo 153">
            <a:extLst>
              <a:ext uri="{FF2B5EF4-FFF2-40B4-BE49-F238E27FC236}">
                <a16:creationId xmlns:a16="http://schemas.microsoft.com/office/drawing/2014/main" id="{00000000-0008-0000-0200-00009A000000}"/>
              </a:ext>
            </a:extLst>
          </xdr:cNvPr>
          <xdr:cNvGrpSpPr/>
        </xdr:nvGrpSpPr>
        <xdr:grpSpPr>
          <a:xfrm>
            <a:off x="319650" y="5604111"/>
            <a:ext cx="1700070" cy="108000"/>
            <a:chOff x="207890" y="5604111"/>
            <a:chExt cx="1700070" cy="108000"/>
          </a:xfrm>
        </xdr:grpSpPr>
        <xdr:sp macro="" textlink="Dinamics!AX7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00000000-0008-0000-0200-00007D000000}"/>
                </a:ext>
              </a:extLst>
            </xdr:cNvPr>
            <xdr:cNvSpPr txBox="1"/>
          </xdr:nvSpPr>
          <xdr:spPr>
            <a:xfrm>
              <a:off x="207890" y="5604111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lIns="0" tIns="0" rIns="0" bIns="0" rtlCol="0" anchor="ctr"/>
            <a:lstStyle/>
            <a:p>
              <a:pPr algn="ctr"/>
              <a:fld id="{806DD86F-60BD-436E-85D6-3E53A2444005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2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AY7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00000000-0008-0000-0200-000082000000}"/>
                </a:ext>
              </a:extLst>
            </xdr:cNvPr>
            <xdr:cNvSpPr txBox="1"/>
          </xdr:nvSpPr>
          <xdr:spPr>
            <a:xfrm>
              <a:off x="539546" y="5604111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F443D8BD-C74D-40D2-B600-F3582DED13BC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2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AZ7">
          <xdr:nvSpPr>
            <xdr:cNvPr id="135" name="CuadroTexto 134">
              <a:extLst>
                <a:ext uri="{FF2B5EF4-FFF2-40B4-BE49-F238E27FC236}">
                  <a16:creationId xmlns:a16="http://schemas.microsoft.com/office/drawing/2014/main" id="{00000000-0008-0000-0200-000087000000}"/>
                </a:ext>
              </a:extLst>
            </xdr:cNvPr>
            <xdr:cNvSpPr txBox="1"/>
          </xdr:nvSpPr>
          <xdr:spPr>
            <a:xfrm>
              <a:off x="1009446" y="5604111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22DDC98E-2766-4E32-BED1-AF8E23BE3711}" type="TxLink">
                <a:rPr lang="en-US" sz="600" b="1" i="0" u="none" strike="noStrike">
                  <a:solidFill>
                    <a:srgbClr val="00B05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600" b="1">
                <a:solidFill>
                  <a:srgbClr val="00B050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A7">
          <xdr:nvSpPr>
            <xdr:cNvPr id="140" name="CuadroTexto 139">
              <a:extLst>
                <a:ext uri="{FF2B5EF4-FFF2-40B4-BE49-F238E27FC236}">
                  <a16:creationId xmlns:a16="http://schemas.microsoft.com/office/drawing/2014/main" id="{00000000-0008-0000-0200-00008C000000}"/>
                </a:ext>
              </a:extLst>
            </xdr:cNvPr>
            <xdr:cNvSpPr txBox="1"/>
          </xdr:nvSpPr>
          <xdr:spPr>
            <a:xfrm>
              <a:off x="1619960" y="5604111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>
              <a:noAutofit/>
            </a:bodyPr>
            <a:lstStyle/>
            <a:p>
              <a:pPr algn="ctr"/>
              <a:fld id="{15C11DAD-0049-4958-8549-98A980BDDEF1}" type="TxLink">
                <a:rPr lang="en-US" sz="600" b="0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 </a:t>
              </a:fld>
              <a:endParaRPr lang="es-VE" sz="2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  <xdr:grpSp>
        <xdr:nvGrpSpPr>
          <xdr:cNvPr id="155" name="Grupo 154">
            <a:extLst>
              <a:ext uri="{FF2B5EF4-FFF2-40B4-BE49-F238E27FC236}">
                <a16:creationId xmlns:a16="http://schemas.microsoft.com/office/drawing/2014/main" id="{00000000-0008-0000-0200-00009B000000}"/>
              </a:ext>
            </a:extLst>
          </xdr:cNvPr>
          <xdr:cNvGrpSpPr/>
        </xdr:nvGrpSpPr>
        <xdr:grpSpPr>
          <a:xfrm>
            <a:off x="304410" y="4529692"/>
            <a:ext cx="1862070" cy="108000"/>
            <a:chOff x="304410" y="4529692"/>
            <a:chExt cx="1862070" cy="108000"/>
          </a:xfrm>
        </xdr:grpSpPr>
        <xdr:sp macro="" textlink="Dinamics!AX2">
          <xdr:nvSpPr>
            <xdr:cNvPr id="141" name="CuadroTexto 140">
              <a:extLst>
                <a:ext uri="{FF2B5EF4-FFF2-40B4-BE49-F238E27FC236}">
                  <a16:creationId xmlns:a16="http://schemas.microsoft.com/office/drawing/2014/main" id="{00000000-0008-0000-0200-00008D000000}"/>
                </a:ext>
              </a:extLst>
            </xdr:cNvPr>
            <xdr:cNvSpPr txBox="1"/>
          </xdr:nvSpPr>
          <xdr:spPr>
            <a:xfrm>
              <a:off x="304410" y="4529692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/>
            <a:lstStyle/>
            <a:p>
              <a:pPr algn="ctr"/>
              <a:fld id="{334580A4-C7D2-4EF3-BC1B-42B264EFCDD2}" type="TxLink">
                <a:rPr lang="en-US" sz="600" b="1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#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AY2">
          <xdr:nvSpPr>
            <xdr:cNvPr id="142" name="CuadroTexto 141">
              <a:extLst>
                <a:ext uri="{FF2B5EF4-FFF2-40B4-BE49-F238E27FC236}">
                  <a16:creationId xmlns:a16="http://schemas.microsoft.com/office/drawing/2014/main" id="{00000000-0008-0000-0200-00008E000000}"/>
                </a:ext>
              </a:extLst>
            </xdr:cNvPr>
            <xdr:cNvSpPr txBox="1"/>
          </xdr:nvSpPr>
          <xdr:spPr>
            <a:xfrm>
              <a:off x="636066" y="4529692"/>
              <a:ext cx="28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/>
            <a:lstStyle/>
            <a:p>
              <a:pPr algn="ctr"/>
              <a:fld id="{B589B06A-BEE5-47EF-B761-A189479D7859}" type="TxLink">
                <a:rPr lang="en-US" sz="600" b="1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Par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AZ2">
          <xdr:nvSpPr>
            <xdr:cNvPr id="143" name="CuadroTexto 142">
              <a:extLst>
                <a:ext uri="{FF2B5EF4-FFF2-40B4-BE49-F238E27FC236}">
                  <a16:creationId xmlns:a16="http://schemas.microsoft.com/office/drawing/2014/main" id="{00000000-0008-0000-0200-00008F000000}"/>
                </a:ext>
              </a:extLst>
            </xdr:cNvPr>
            <xdr:cNvSpPr txBox="1"/>
          </xdr:nvSpPr>
          <xdr:spPr>
            <a:xfrm>
              <a:off x="1015966" y="4529692"/>
              <a:ext cx="468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/>
            <a:lstStyle/>
            <a:p>
              <a:pPr algn="ctr"/>
              <a:fld id="{E052D00B-65F5-4EB6-A4AE-EA457DC8A7DA}" type="TxLink">
                <a:rPr lang="en-US" sz="600" b="1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Resultado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Dinamics!BA2">
          <xdr:nvSpPr>
            <xdr:cNvPr id="144" name="CuadroTexto 143">
              <a:extLst>
                <a:ext uri="{FF2B5EF4-FFF2-40B4-BE49-F238E27FC236}">
                  <a16:creationId xmlns:a16="http://schemas.microsoft.com/office/drawing/2014/main" id="{00000000-0008-0000-0200-000090000000}"/>
                </a:ext>
              </a:extLst>
            </xdr:cNvPr>
            <xdr:cNvSpPr txBox="1"/>
          </xdr:nvSpPr>
          <xdr:spPr>
            <a:xfrm>
              <a:off x="1554480" y="4529692"/>
              <a:ext cx="612000" cy="10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lIns="0" tIns="0" rIns="0" bIns="0" rtlCol="0" anchor="ctr"/>
            <a:lstStyle/>
            <a:p>
              <a:pPr algn="ctr"/>
              <a:fld id="{CF4114DC-D727-41EC-B3BB-7B74C8226856}" type="TxLink">
                <a:rPr lang="en-US" sz="600" b="1" i="0" u="none" strike="noStrike">
                  <a:solidFill>
                    <a:srgbClr val="000000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Cumplimiento</a:t>
              </a:fld>
              <a:endParaRPr lang="es-VE" sz="60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</xdr:grpSp>
    <xdr:clientData/>
  </xdr:twoCellAnchor>
  <xdr:twoCellAnchor>
    <xdr:from>
      <xdr:col>3</xdr:col>
      <xdr:colOff>2044</xdr:colOff>
      <xdr:row>23</xdr:row>
      <xdr:rowOff>53435</xdr:rowOff>
    </xdr:from>
    <xdr:to>
      <xdr:col>3</xdr:col>
      <xdr:colOff>289950</xdr:colOff>
      <xdr:row>24</xdr:row>
      <xdr:rowOff>159008</xdr:rowOff>
    </xdr:to>
    <xdr:pic>
      <xdr:nvPicPr>
        <xdr:cNvPr id="226" name="Gráfico 225" descr="Flechas de cheurón con relleno sólido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 rot="16200000">
          <a:off x="1809024" y="4284648"/>
          <a:ext cx="289504" cy="287906"/>
        </a:xfrm>
        <a:prstGeom prst="rect">
          <a:avLst/>
        </a:prstGeom>
      </xdr:spPr>
    </xdr:pic>
    <xdr:clientData/>
  </xdr:twoCellAnchor>
  <xdr:twoCellAnchor>
    <xdr:from>
      <xdr:col>9</xdr:col>
      <xdr:colOff>17518</xdr:colOff>
      <xdr:row>37</xdr:row>
      <xdr:rowOff>61355</xdr:rowOff>
    </xdr:from>
    <xdr:to>
      <xdr:col>13</xdr:col>
      <xdr:colOff>209318</xdr:colOff>
      <xdr:row>56</xdr:row>
      <xdr:rowOff>166665</xdr:rowOff>
    </xdr:to>
    <xdr:grpSp>
      <xdr:nvGrpSpPr>
        <xdr:cNvPr id="45" name="Grupo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GrpSpPr/>
      </xdr:nvGrpSpPr>
      <xdr:grpSpPr>
        <a:xfrm>
          <a:off x="6672318" y="6827915"/>
          <a:ext cx="2808000" cy="3580030"/>
          <a:chOff x="6681077" y="6866803"/>
          <a:chExt cx="2808875" cy="3600000"/>
        </a:xfrm>
      </xdr:grpSpPr>
      <xdr:sp macro="" textlink="">
        <xdr:nvSpPr>
          <xdr:cNvPr id="107" name="Rectángulo: esquinas redondeadas 106">
            <a:extLst>
              <a:ext uri="{FF2B5EF4-FFF2-40B4-BE49-F238E27FC236}">
                <a16:creationId xmlns:a16="http://schemas.microsoft.com/office/drawing/2014/main" id="{00000000-0008-0000-0200-00006B000000}"/>
              </a:ext>
            </a:extLst>
          </xdr:cNvPr>
          <xdr:cNvSpPr/>
        </xdr:nvSpPr>
        <xdr:spPr>
          <a:xfrm>
            <a:off x="6681372" y="6866803"/>
            <a:ext cx="2807999" cy="3600000"/>
          </a:xfrm>
          <a:prstGeom prst="roundRect">
            <a:avLst>
              <a:gd name="adj" fmla="val 3494"/>
            </a:avLst>
          </a:prstGeom>
          <a:solidFill>
            <a:srgbClr val="D6EE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sp macro="" textlink="">
        <xdr:nvSpPr>
          <xdr:cNvPr id="188" name="CuadroTexto 187">
            <a:extLst>
              <a:ext uri="{FF2B5EF4-FFF2-40B4-BE49-F238E27FC236}">
                <a16:creationId xmlns:a16="http://schemas.microsoft.com/office/drawing/2014/main" id="{00000000-0008-0000-0200-0000BC000000}"/>
              </a:ext>
            </a:extLst>
          </xdr:cNvPr>
          <xdr:cNvSpPr txBox="1"/>
        </xdr:nvSpPr>
        <xdr:spPr>
          <a:xfrm>
            <a:off x="6681373" y="6866804"/>
            <a:ext cx="2077060" cy="4337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VE" sz="10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10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10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Analisis</a:t>
            </a:r>
            <a:r>
              <a:rPr lang="es-VE" sz="10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10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Avanzado</a:t>
            </a:r>
            <a:r>
              <a:rPr lang="es-VE" sz="10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</a:p>
          <a:p>
            <a:pPr algn="l"/>
            <a:r>
              <a:rPr lang="es-VE" sz="1000" b="1" baseline="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de Factores Clave</a:t>
            </a:r>
          </a:p>
        </xdr:txBody>
      </xdr:sp>
      <xdr:sp macro="" textlink="Dinamics!BL2">
        <xdr:nvSpPr>
          <xdr:cNvPr id="190" name="CuadroTexto 189">
            <a:extLst>
              <a:ext uri="{FF2B5EF4-FFF2-40B4-BE49-F238E27FC236}">
                <a16:creationId xmlns:a16="http://schemas.microsoft.com/office/drawing/2014/main" id="{00000000-0008-0000-0200-0000BE000000}"/>
              </a:ext>
            </a:extLst>
          </xdr:cNvPr>
          <xdr:cNvSpPr txBox="1"/>
        </xdr:nvSpPr>
        <xdr:spPr>
          <a:xfrm>
            <a:off x="6681077" y="7320215"/>
            <a:ext cx="2808875" cy="2547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108000" tIns="0" rIns="0" bIns="0" rtlCol="0" anchor="ctr"/>
          <a:lstStyle/>
          <a:p>
            <a:pPr algn="l"/>
            <a:fld id="{6471FF8E-3D96-4EFC-AE8C-FEB43A4250AC}" type="TxLink">
              <a:rPr lang="en-US" sz="600" b="0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pPr algn="l"/>
              <a:t>- El par con el MEJOR rendimiento ha sido GBPUSD con $2.151 de ganancia.</a:t>
            </a:fld>
            <a:endParaRPr lang="es-VE" sz="600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Dinamics!BL3">
        <xdr:nvSpPr>
          <xdr:cNvPr id="189" name="CuadroTexto 188">
            <a:extLst>
              <a:ext uri="{FF2B5EF4-FFF2-40B4-BE49-F238E27FC236}">
                <a16:creationId xmlns:a16="http://schemas.microsoft.com/office/drawing/2014/main" id="{00000000-0008-0000-0200-0000BD000000}"/>
              </a:ext>
            </a:extLst>
          </xdr:cNvPr>
          <xdr:cNvSpPr txBox="1"/>
        </xdr:nvSpPr>
        <xdr:spPr>
          <a:xfrm>
            <a:off x="6681077" y="7579636"/>
            <a:ext cx="2808875" cy="2526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108000" tIns="0" rIns="0" bIns="0" rtlCol="0" anchor="t"/>
          <a:lstStyle/>
          <a:p>
            <a:fld id="{F91BB867-2163-406A-8FD4-F79E2D70A43B}" type="TxLink">
              <a:rPr lang="en-US" sz="600" b="0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pPr/>
              <a:t>- El par con el PEOR rendimiento ha sido EURUSD con -$155 de perdida.</a:t>
            </a:fld>
            <a:endParaRPr lang="es-VE" sz="600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Dinamics!BL4">
        <xdr:nvSpPr>
          <xdr:cNvPr id="191" name="CuadroTexto 190">
            <a:extLst>
              <a:ext uri="{FF2B5EF4-FFF2-40B4-BE49-F238E27FC236}">
                <a16:creationId xmlns:a16="http://schemas.microsoft.com/office/drawing/2014/main" id="{00000000-0008-0000-0200-0000BF000000}"/>
              </a:ext>
            </a:extLst>
          </xdr:cNvPr>
          <xdr:cNvSpPr txBox="1"/>
        </xdr:nvSpPr>
        <xdr:spPr>
          <a:xfrm>
            <a:off x="6681077" y="7836962"/>
            <a:ext cx="2762102" cy="4337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108000" tIns="0" rIns="0" bIns="0" rtlCol="0" anchor="t"/>
          <a:lstStyle/>
          <a:p>
            <a:fld id="{0B22AE84-2256-42A0-AEA1-738CFF29B91C}" type="TxLink">
              <a:rPr lang="en-US" sz="600" b="0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pPr/>
              <a:t>- La semana con el MEJOR rendimiento ha sido la semana #8 con $2.151 de ganancia. En la que realizaste 1 operaciones, no cometiste fallas, y tuviste un 100% de cumplimiento con la estrategia.</a:t>
            </a:fld>
            <a:endParaRPr lang="es-VE" sz="600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Dinamics!BL5">
        <xdr:nvSpPr>
          <xdr:cNvPr id="192" name="CuadroTexto 191">
            <a:extLst>
              <a:ext uri="{FF2B5EF4-FFF2-40B4-BE49-F238E27FC236}">
                <a16:creationId xmlns:a16="http://schemas.microsoft.com/office/drawing/2014/main" id="{00000000-0008-0000-0200-0000C0000000}"/>
              </a:ext>
            </a:extLst>
          </xdr:cNvPr>
          <xdr:cNvSpPr txBox="1"/>
        </xdr:nvSpPr>
        <xdr:spPr>
          <a:xfrm>
            <a:off x="6681077" y="8277484"/>
            <a:ext cx="2701123" cy="4337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108000" tIns="0" rIns="0" bIns="0" rtlCol="0" anchor="t"/>
          <a:lstStyle/>
          <a:p>
            <a:fld id="{6B6D2807-5D1D-4C97-BA6C-34708A653779}" type="TxLink">
              <a:rPr lang="en-US" sz="600" b="0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pPr/>
              <a:t>- La semana con el PEOR rendimiento ha sido la semana #6 con -$155 de perdida. En la que realizaste 1 operaciones,  cometiste 1 fallas tecnica(s) y/o emocional(es) y tuviste un 75% de cumplimiento con la estrategia.</a:t>
            </a:fld>
            <a:endParaRPr lang="es-VE" sz="600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graphicFrame macro="">
        <xdr:nvGraphicFramePr>
          <xdr:cNvPr id="200" name="Gráfico 199">
            <a:extLst>
              <a:ext uri="{FF2B5EF4-FFF2-40B4-BE49-F238E27FC236}">
                <a16:creationId xmlns:a16="http://schemas.microsoft.com/office/drawing/2014/main" id="{00000000-0008-0000-0200-0000C8000000}"/>
              </a:ext>
            </a:extLst>
          </xdr:cNvPr>
          <xdr:cNvGraphicFramePr>
            <a:graphicFrameLocks/>
          </xdr:cNvGraphicFramePr>
        </xdr:nvGraphicFramePr>
        <xdr:xfrm>
          <a:off x="6681077" y="8879887"/>
          <a:ext cx="2808875" cy="157368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sp macro="" textlink="">
        <xdr:nvSpPr>
          <xdr:cNvPr id="214" name="CuadroTexto 213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SpPr txBox="1"/>
        </xdr:nvSpPr>
        <xdr:spPr>
          <a:xfrm>
            <a:off x="7880579" y="8680770"/>
            <a:ext cx="1608794" cy="1890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es-VE" sz="8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800" b="1" baseline="0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800" b="1" baseline="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Rendimiento por </a:t>
            </a:r>
            <a:r>
              <a:rPr lang="es-VE" sz="800" b="1" baseline="0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Par</a:t>
            </a:r>
            <a:endParaRPr lang="es-VE" sz="800" b="1">
              <a:solidFill>
                <a:srgbClr val="1F7A8C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pic>
        <xdr:nvPicPr>
          <xdr:cNvPr id="42" name="Gráfico 41" descr="Objetivo con relleno sólido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8956996" y="6892933"/>
            <a:ext cx="427310" cy="43379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782320</xdr:colOff>
      <xdr:row>6</xdr:row>
      <xdr:rowOff>179360</xdr:rowOff>
    </xdr:from>
    <xdr:to>
      <xdr:col>10</xdr:col>
      <xdr:colOff>570644</xdr:colOff>
      <xdr:row>22</xdr:row>
      <xdr:rowOff>133280</xdr:rowOff>
    </xdr:to>
    <xdr:grpSp>
      <xdr:nvGrpSpPr>
        <xdr:cNvPr id="265" name="Grupo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GrpSpPr/>
      </xdr:nvGrpSpPr>
      <xdr:grpSpPr>
        <a:xfrm>
          <a:off x="6629400" y="1276640"/>
          <a:ext cx="1403764" cy="2880000"/>
          <a:chOff x="6629400" y="1286640"/>
          <a:chExt cx="1403764" cy="2880000"/>
        </a:xfrm>
      </xdr:grpSpPr>
      <xdr:sp macro="" textlink="">
        <xdr:nvSpPr>
          <xdr:cNvPr id="18" name="Rectángulo: esquinas redondeadas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6665164" y="1286640"/>
            <a:ext cx="1368000" cy="2880000"/>
          </a:xfrm>
          <a:prstGeom prst="roundRect">
            <a:avLst>
              <a:gd name="adj" fmla="val 5846"/>
            </a:avLst>
          </a:prstGeom>
          <a:solidFill>
            <a:srgbClr val="D6EE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grpSp>
        <xdr:nvGrpSpPr>
          <xdr:cNvPr id="262" name="Grupo 261">
            <a:extLst>
              <a:ext uri="{FF2B5EF4-FFF2-40B4-BE49-F238E27FC236}">
                <a16:creationId xmlns:a16="http://schemas.microsoft.com/office/drawing/2014/main" id="{00000000-0008-0000-0200-000006010000}"/>
              </a:ext>
            </a:extLst>
          </xdr:cNvPr>
          <xdr:cNvGrpSpPr/>
        </xdr:nvGrpSpPr>
        <xdr:grpSpPr>
          <a:xfrm>
            <a:off x="6708547" y="3734840"/>
            <a:ext cx="1324617" cy="421640"/>
            <a:chOff x="6708547" y="3734840"/>
            <a:chExt cx="1324617" cy="421640"/>
          </a:xfrm>
        </xdr:grpSpPr>
        <xdr:sp macro="" textlink="Dinamics!AO9">
          <xdr:nvSpPr>
            <xdr:cNvPr id="94" name="CuadroTexto 93">
              <a:extLst>
                <a:ext uri="{FF2B5EF4-FFF2-40B4-BE49-F238E27FC236}">
                  <a16:creationId xmlns:a16="http://schemas.microsoft.com/office/drawing/2014/main" id="{00000000-0008-0000-0200-00005E000000}"/>
                </a:ext>
              </a:extLst>
            </xdr:cNvPr>
            <xdr:cNvSpPr txBox="1"/>
          </xdr:nvSpPr>
          <xdr:spPr>
            <a:xfrm>
              <a:off x="7493164" y="3904480"/>
              <a:ext cx="540000" cy="252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72000" tIns="72000" rIns="72000" bIns="72000" rtlCol="0" anchor="ctr"/>
            <a:lstStyle/>
            <a:p>
              <a:pPr marL="0" indent="0" algn="ctr"/>
              <a:fld id="{6A1D56B3-EC56-4752-97AD-EBAB2FBB8A31}" type="TxLink">
                <a:rPr lang="en-US" sz="1050" b="1" i="0" u="none" strike="noStrike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marL="0" indent="0" algn="ctr"/>
                <a:t> </a:t>
              </a:fld>
              <a:endParaRPr lang="es-VE" sz="1050" b="1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  <a:cs typeface="Calibri"/>
              </a:endParaRPr>
            </a:p>
          </xdr:txBody>
        </xdr:sp>
        <xdr:grpSp>
          <xdr:nvGrpSpPr>
            <xdr:cNvPr id="259" name="Grupo 258">
              <a:extLst>
                <a:ext uri="{FF2B5EF4-FFF2-40B4-BE49-F238E27FC236}">
                  <a16:creationId xmlns:a16="http://schemas.microsoft.com/office/drawing/2014/main" id="{00000000-0008-0000-0200-000003010000}"/>
                </a:ext>
              </a:extLst>
            </xdr:cNvPr>
            <xdr:cNvGrpSpPr/>
          </xdr:nvGrpSpPr>
          <xdr:grpSpPr>
            <a:xfrm>
              <a:off x="6708547" y="3734840"/>
              <a:ext cx="1008000" cy="312640"/>
              <a:chOff x="6693307" y="3658640"/>
              <a:chExt cx="1008000" cy="312640"/>
            </a:xfrm>
          </xdr:grpSpPr>
          <xdr:sp macro="" textlink="">
            <xdr:nvSpPr>
              <xdr:cNvPr id="88" name="CuadroTexto 87">
                <a:extLst>
                  <a:ext uri="{FF2B5EF4-FFF2-40B4-BE49-F238E27FC236}">
                    <a16:creationId xmlns:a16="http://schemas.microsoft.com/office/drawing/2014/main" id="{00000000-0008-0000-0200-000058000000}"/>
                  </a:ext>
                </a:extLst>
              </xdr:cNvPr>
              <xdr:cNvSpPr txBox="1"/>
            </xdr:nvSpPr>
            <xdr:spPr>
              <a:xfrm>
                <a:off x="6693307" y="3658640"/>
                <a:ext cx="1008000" cy="1800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72000" tIns="0" rIns="0" bIns="0" rtlCol="0" anchor="ctr"/>
              <a:lstStyle/>
              <a:p>
                <a:pPr algn="l"/>
                <a:r>
                  <a:rPr lang="es-VE" sz="700" b="1">
                    <a:solidFill>
                      <a:srgbClr val="1F7A8C"/>
                    </a:solidFill>
                    <a:latin typeface="Verdana" panose="020B0604030504040204" pitchFamily="34" charset="0"/>
                    <a:ea typeface="Verdana" panose="020B0604030504040204" pitchFamily="34" charset="0"/>
                  </a:rPr>
                  <a:t>●</a:t>
                </a:r>
                <a:r>
                  <a:rPr lang="es-VE" sz="700" b="1">
                    <a:latin typeface="Verdana" panose="020B0604030504040204" pitchFamily="34" charset="0"/>
                    <a:ea typeface="Verdana" panose="020B0604030504040204" pitchFamily="34" charset="0"/>
                  </a:rPr>
                  <a:t> </a:t>
                </a:r>
                <a:r>
                  <a:rPr lang="es-VE" sz="700" b="1">
                    <a:solidFill>
                      <a:srgbClr val="444054"/>
                    </a:solidFill>
                    <a:latin typeface="Verdana" panose="020B0604030504040204" pitchFamily="34" charset="0"/>
                    <a:ea typeface="Verdana" panose="020B0604030504040204" pitchFamily="34" charset="0"/>
                  </a:rPr>
                  <a:t>Breakeven (BE)</a:t>
                </a:r>
              </a:p>
            </xdr:txBody>
          </xdr:sp>
          <xdr:sp macro="" textlink="Dinamics!AN9">
            <xdr:nvSpPr>
              <xdr:cNvPr id="95" name="CuadroTexto 94">
                <a:extLst>
                  <a:ext uri="{FF2B5EF4-FFF2-40B4-BE49-F238E27FC236}">
                    <a16:creationId xmlns:a16="http://schemas.microsoft.com/office/drawing/2014/main" id="{00000000-0008-0000-0200-00005F000000}"/>
                  </a:ext>
                </a:extLst>
              </xdr:cNvPr>
              <xdr:cNvSpPr txBox="1"/>
            </xdr:nvSpPr>
            <xdr:spPr>
              <a:xfrm>
                <a:off x="6693307" y="3791280"/>
                <a:ext cx="468000" cy="1800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indent="0" algn="l"/>
                <a:fld id="{A8CCF4D7-3FB2-41A6-945B-A6EBF8BAEE95}" type="TxLink">
                  <a:rPr lang="en-US" sz="700" b="1">
                    <a:solidFill>
                      <a:srgbClr val="1F7A8C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rPr>
                  <a:pPr marL="0" indent="0" algn="l"/>
                  <a:t> </a:t>
                </a:fld>
                <a:endParaRPr lang="es-VE" sz="700" b="1">
                  <a:solidFill>
                    <a:srgbClr val="1F7A8C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endParaRPr>
              </a:p>
            </xdr:txBody>
          </xdr:sp>
        </xdr:grpSp>
      </xdr:grpSp>
      <xdr:grpSp>
        <xdr:nvGrpSpPr>
          <xdr:cNvPr id="264" name="Grupo 263">
            <a:extLst>
              <a:ext uri="{FF2B5EF4-FFF2-40B4-BE49-F238E27FC236}">
                <a16:creationId xmlns:a16="http://schemas.microsoft.com/office/drawing/2014/main" id="{00000000-0008-0000-0200-000008010000}"/>
              </a:ext>
            </a:extLst>
          </xdr:cNvPr>
          <xdr:cNvGrpSpPr/>
        </xdr:nvGrpSpPr>
        <xdr:grpSpPr>
          <a:xfrm>
            <a:off x="6654800" y="1315720"/>
            <a:ext cx="1368000" cy="1217160"/>
            <a:chOff x="6654800" y="1315720"/>
            <a:chExt cx="1368000" cy="1217160"/>
          </a:xfrm>
        </xdr:grpSpPr>
        <xdr:grpSp>
          <xdr:nvGrpSpPr>
            <xdr:cNvPr id="24" name="Grupo 23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GrpSpPr/>
          </xdr:nvGrpSpPr>
          <xdr:grpSpPr>
            <a:xfrm>
              <a:off x="6654800" y="1452880"/>
              <a:ext cx="1368000" cy="1080000"/>
              <a:chOff x="6654800" y="1097280"/>
              <a:chExt cx="1368000" cy="1260000"/>
            </a:xfrm>
          </xdr:grpSpPr>
          <xdr:graphicFrame macro="">
            <xdr:nvGraphicFramePr>
              <xdr:cNvPr id="86" name="Gráfico 85">
                <a:extLst>
                  <a:ext uri="{FF2B5EF4-FFF2-40B4-BE49-F238E27FC236}">
                    <a16:creationId xmlns:a16="http://schemas.microsoft.com/office/drawing/2014/main" id="{00000000-0008-0000-0200-0000560000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654800" y="1097280"/>
              <a:ext cx="1368000" cy="126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3"/>
              </a:graphicData>
            </a:graphic>
          </xdr:graphicFrame>
          <xdr:sp macro="" textlink="Dinamics!AO11">
            <xdr:nvSpPr>
              <xdr:cNvPr id="22" name="CuadroTexto 21">
                <a:extLst>
                  <a:ext uri="{FF2B5EF4-FFF2-40B4-BE49-F238E27FC236}">
                    <a16:creationId xmlns:a16="http://schemas.microsoft.com/office/drawing/2014/main" id="{00000000-0008-0000-0200-000016000000}"/>
                  </a:ext>
                </a:extLst>
              </xdr:cNvPr>
              <xdr:cNvSpPr txBox="1"/>
            </xdr:nvSpPr>
            <xdr:spPr>
              <a:xfrm>
                <a:off x="6978800" y="1565280"/>
                <a:ext cx="720000" cy="3240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6D4A2ABF-00DA-4E45-A6E2-53E4D7ACC190}" type="TxLink">
                  <a:rPr lang="en-US" sz="1400" b="1" i="0" u="none" strike="noStrike">
                    <a:solidFill>
                      <a:srgbClr val="444054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Calibri"/>
                  </a:rPr>
                  <a:pPr algn="ctr"/>
                  <a:t>50%</a:t>
                </a:fld>
                <a:endParaRPr lang="es-VE" sz="1400" b="1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</a:endParaRPr>
              </a:p>
            </xdr:txBody>
          </xdr:sp>
        </xdr:grpSp>
        <xdr:grpSp>
          <xdr:nvGrpSpPr>
            <xdr:cNvPr id="261" name="Grupo 260">
              <a:extLst>
                <a:ext uri="{FF2B5EF4-FFF2-40B4-BE49-F238E27FC236}">
                  <a16:creationId xmlns:a16="http://schemas.microsoft.com/office/drawing/2014/main" id="{00000000-0008-0000-0200-000005010000}"/>
                </a:ext>
              </a:extLst>
            </xdr:cNvPr>
            <xdr:cNvGrpSpPr/>
          </xdr:nvGrpSpPr>
          <xdr:grpSpPr>
            <a:xfrm>
              <a:off x="6708547" y="1338960"/>
              <a:ext cx="900000" cy="313520"/>
              <a:chOff x="6652667" y="1315720"/>
              <a:chExt cx="900000" cy="313520"/>
            </a:xfrm>
          </xdr:grpSpPr>
          <xdr:sp macro="" textlink="">
            <xdr:nvSpPr>
              <xdr:cNvPr id="87" name="CuadroTexto 86">
                <a:extLst>
                  <a:ext uri="{FF2B5EF4-FFF2-40B4-BE49-F238E27FC236}">
                    <a16:creationId xmlns:a16="http://schemas.microsoft.com/office/drawing/2014/main" id="{00000000-0008-0000-0200-000057000000}"/>
                  </a:ext>
                </a:extLst>
              </xdr:cNvPr>
              <xdr:cNvSpPr txBox="1"/>
            </xdr:nvSpPr>
            <xdr:spPr>
              <a:xfrm>
                <a:off x="6652667" y="1315720"/>
                <a:ext cx="900000" cy="1800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72000" tIns="0" rIns="0" bIns="0" rtlCol="0" anchor="ctr"/>
              <a:lstStyle/>
              <a:p>
                <a:pPr algn="l"/>
                <a:r>
                  <a:rPr lang="es-VE" sz="700" b="1">
                    <a:solidFill>
                      <a:srgbClr val="1F7A8C"/>
                    </a:solidFill>
                    <a:latin typeface="Verdana" panose="020B0604030504040204" pitchFamily="34" charset="0"/>
                    <a:ea typeface="Verdana" panose="020B0604030504040204" pitchFamily="34" charset="0"/>
                  </a:rPr>
                  <a:t>●</a:t>
                </a:r>
                <a:r>
                  <a:rPr lang="es-VE" sz="700" b="1">
                    <a:latin typeface="Verdana" panose="020B0604030504040204" pitchFamily="34" charset="0"/>
                    <a:ea typeface="Verdana" panose="020B0604030504040204" pitchFamily="34" charset="0"/>
                  </a:rPr>
                  <a:t> </a:t>
                </a:r>
                <a:r>
                  <a:rPr lang="es-VE" sz="700" b="1">
                    <a:solidFill>
                      <a:srgbClr val="444054"/>
                    </a:solidFill>
                    <a:latin typeface="Verdana" panose="020B0604030504040204" pitchFamily="34" charset="0"/>
                    <a:ea typeface="Verdana" panose="020B0604030504040204" pitchFamily="34" charset="0"/>
                  </a:rPr>
                  <a:t>Win Rate</a:t>
                </a:r>
                <a:r>
                  <a:rPr lang="es-VE" sz="700" b="1" baseline="0">
                    <a:solidFill>
                      <a:srgbClr val="444054"/>
                    </a:solidFill>
                    <a:latin typeface="Verdana" panose="020B0604030504040204" pitchFamily="34" charset="0"/>
                    <a:ea typeface="Verdana" panose="020B0604030504040204" pitchFamily="34" charset="0"/>
                  </a:rPr>
                  <a:t> (TP)</a:t>
                </a:r>
                <a:endParaRPr lang="es-VE" sz="700" b="1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</a:endParaRPr>
              </a:p>
            </xdr:txBody>
          </xdr:sp>
          <xdr:sp macro="" textlink="Dinamics!AN11">
            <xdr:nvSpPr>
              <xdr:cNvPr id="92" name="CuadroTexto 91">
                <a:extLst>
                  <a:ext uri="{FF2B5EF4-FFF2-40B4-BE49-F238E27FC236}">
                    <a16:creationId xmlns:a16="http://schemas.microsoft.com/office/drawing/2014/main" id="{00000000-0008-0000-0200-00005C000000}"/>
                  </a:ext>
                </a:extLst>
              </xdr:cNvPr>
              <xdr:cNvSpPr txBox="1"/>
            </xdr:nvSpPr>
            <xdr:spPr>
              <a:xfrm>
                <a:off x="6652667" y="1449240"/>
                <a:ext cx="468000" cy="1800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indent="0" algn="l"/>
                <a:fld id="{46FDE4B6-9290-495E-86BE-37E54416365F}" type="TxLink">
                  <a:rPr lang="en-US" sz="700" b="1">
                    <a:solidFill>
                      <a:srgbClr val="1F7A8C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rPr>
                  <a:pPr marL="0" indent="0" algn="l"/>
                  <a:t>1</a:t>
                </a:fld>
                <a:endParaRPr lang="es-VE" sz="700" b="1">
                  <a:solidFill>
                    <a:srgbClr val="1F7A8C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endParaRPr>
              </a:p>
            </xdr:txBody>
          </xdr:sp>
        </xdr:grpSp>
        <xdr:pic>
          <xdr:nvPicPr>
            <xdr:cNvPr id="229" name="Gráfico 228" descr="Estadísticas con relleno sólido">
              <a:extLst>
                <a:ext uri="{FF2B5EF4-FFF2-40B4-BE49-F238E27FC236}">
                  <a16:creationId xmlns:a16="http://schemas.microsoft.com/office/drawing/2014/main" id="{00000000-0008-0000-0200-0000E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5"/>
                </a:ext>
              </a:extLst>
            </a:blip>
            <a:stretch>
              <a:fillRect/>
            </a:stretch>
          </xdr:blipFill>
          <xdr:spPr>
            <a:xfrm>
              <a:off x="7635267" y="1315720"/>
              <a:ext cx="360000" cy="360000"/>
            </a:xfrm>
            <a:prstGeom prst="rect">
              <a:avLst/>
            </a:prstGeom>
          </xdr:spPr>
        </xdr:pic>
      </xdr:grpSp>
      <xdr:grpSp>
        <xdr:nvGrpSpPr>
          <xdr:cNvPr id="263" name="Grupo 262">
            <a:extLst>
              <a:ext uri="{FF2B5EF4-FFF2-40B4-BE49-F238E27FC236}">
                <a16:creationId xmlns:a16="http://schemas.microsoft.com/office/drawing/2014/main" id="{00000000-0008-0000-0200-000007010000}"/>
              </a:ext>
            </a:extLst>
          </xdr:cNvPr>
          <xdr:cNvGrpSpPr/>
        </xdr:nvGrpSpPr>
        <xdr:grpSpPr>
          <a:xfrm>
            <a:off x="6629400" y="2516040"/>
            <a:ext cx="1368000" cy="1246200"/>
            <a:chOff x="6629400" y="2516040"/>
            <a:chExt cx="1368000" cy="1246200"/>
          </a:xfrm>
        </xdr:grpSpPr>
        <xdr:grpSp>
          <xdr:nvGrpSpPr>
            <xdr:cNvPr id="89" name="Grupo 88">
              <a:extLst>
                <a:ext uri="{FF2B5EF4-FFF2-40B4-BE49-F238E27FC236}">
                  <a16:creationId xmlns:a16="http://schemas.microsoft.com/office/drawing/2014/main" id="{00000000-0008-0000-0200-000059000000}"/>
                </a:ext>
              </a:extLst>
            </xdr:cNvPr>
            <xdr:cNvGrpSpPr/>
          </xdr:nvGrpSpPr>
          <xdr:grpSpPr>
            <a:xfrm>
              <a:off x="6629400" y="2682240"/>
              <a:ext cx="1368000" cy="1080000"/>
              <a:chOff x="6654800" y="1097280"/>
              <a:chExt cx="1368000" cy="1260000"/>
            </a:xfrm>
          </xdr:grpSpPr>
          <xdr:graphicFrame macro="">
            <xdr:nvGraphicFramePr>
              <xdr:cNvPr id="90" name="Gráfico 89">
                <a:extLst>
                  <a:ext uri="{FF2B5EF4-FFF2-40B4-BE49-F238E27FC236}">
                    <a16:creationId xmlns:a16="http://schemas.microsoft.com/office/drawing/2014/main" id="{00000000-0008-0000-0200-00005A0000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654800" y="1097280"/>
              <a:ext cx="1368000" cy="126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6"/>
              </a:graphicData>
            </a:graphic>
          </xdr:graphicFrame>
          <xdr:sp macro="" textlink="Dinamics!AO10">
            <xdr:nvSpPr>
              <xdr:cNvPr id="91" name="CuadroTexto 90">
                <a:extLst>
                  <a:ext uri="{FF2B5EF4-FFF2-40B4-BE49-F238E27FC236}">
                    <a16:creationId xmlns:a16="http://schemas.microsoft.com/office/drawing/2014/main" id="{00000000-0008-0000-0200-00005B000000}"/>
                  </a:ext>
                </a:extLst>
              </xdr:cNvPr>
              <xdr:cNvSpPr txBox="1"/>
            </xdr:nvSpPr>
            <xdr:spPr>
              <a:xfrm>
                <a:off x="6978800" y="1565280"/>
                <a:ext cx="720000" cy="3240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indent="0" algn="ctr"/>
                <a:fld id="{F3DB68DB-47A2-47EA-808F-9A13168BCC57}" type="TxLink">
                  <a:rPr lang="en-US" sz="1400" b="1" i="0" u="none" strike="noStrike">
                    <a:solidFill>
                      <a:srgbClr val="444054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Calibri"/>
                  </a:rPr>
                  <a:pPr marL="0" indent="0" algn="ctr"/>
                  <a:t>50%</a:t>
                </a:fld>
                <a:endParaRPr lang="es-VE" sz="1400" b="1" i="0" u="none" strike="noStrike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endParaRPr>
              </a:p>
            </xdr:txBody>
          </xdr:sp>
        </xdr:grpSp>
        <xdr:grpSp>
          <xdr:nvGrpSpPr>
            <xdr:cNvPr id="260" name="Grupo 259">
              <a:extLst>
                <a:ext uri="{FF2B5EF4-FFF2-40B4-BE49-F238E27FC236}">
                  <a16:creationId xmlns:a16="http://schemas.microsoft.com/office/drawing/2014/main" id="{00000000-0008-0000-0200-000004010000}"/>
                </a:ext>
              </a:extLst>
            </xdr:cNvPr>
            <xdr:cNvGrpSpPr/>
          </xdr:nvGrpSpPr>
          <xdr:grpSpPr>
            <a:xfrm>
              <a:off x="6703467" y="2540000"/>
              <a:ext cx="1260000" cy="312080"/>
              <a:chOff x="6652667" y="2495720"/>
              <a:chExt cx="1260000" cy="312080"/>
            </a:xfrm>
          </xdr:grpSpPr>
          <xdr:sp macro="" textlink="">
            <xdr:nvSpPr>
              <xdr:cNvPr id="72" name="CuadroTexto 71">
                <a:extLst>
                  <a:ext uri="{FF2B5EF4-FFF2-40B4-BE49-F238E27FC236}">
                    <a16:creationId xmlns:a16="http://schemas.microsoft.com/office/drawing/2014/main" id="{00000000-0008-0000-0200-000048000000}"/>
                  </a:ext>
                </a:extLst>
              </xdr:cNvPr>
              <xdr:cNvSpPr txBox="1"/>
            </xdr:nvSpPr>
            <xdr:spPr>
              <a:xfrm>
                <a:off x="6652667" y="2495720"/>
                <a:ext cx="1260000" cy="1800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72000" tIns="0" rIns="0" bIns="0" rtlCol="0" anchor="ctr"/>
              <a:lstStyle/>
              <a:p>
                <a:pPr algn="l"/>
                <a:r>
                  <a:rPr lang="es-VE" sz="700" b="1">
                    <a:solidFill>
                      <a:srgbClr val="1F7A8C"/>
                    </a:solidFill>
                    <a:latin typeface="Verdana" panose="020B0604030504040204" pitchFamily="34" charset="0"/>
                    <a:ea typeface="Verdana" panose="020B0604030504040204" pitchFamily="34" charset="0"/>
                  </a:rPr>
                  <a:t>●</a:t>
                </a:r>
                <a:r>
                  <a:rPr lang="es-VE" sz="700" b="1">
                    <a:latin typeface="Verdana" panose="020B0604030504040204" pitchFamily="34" charset="0"/>
                    <a:ea typeface="Verdana" panose="020B0604030504040204" pitchFamily="34" charset="0"/>
                  </a:rPr>
                  <a:t> </a:t>
                </a:r>
                <a:r>
                  <a:rPr lang="es-VE" sz="700" b="1">
                    <a:solidFill>
                      <a:srgbClr val="444054"/>
                    </a:solidFill>
                    <a:latin typeface="Verdana" panose="020B0604030504040204" pitchFamily="34" charset="0"/>
                    <a:ea typeface="Verdana" panose="020B0604030504040204" pitchFamily="34" charset="0"/>
                  </a:rPr>
                  <a:t>Loss Rate (SL)</a:t>
                </a:r>
              </a:p>
            </xdr:txBody>
          </xdr:sp>
          <xdr:sp macro="" textlink="Dinamics!AN10">
            <xdr:nvSpPr>
              <xdr:cNvPr id="93" name="CuadroTexto 92">
                <a:extLst>
                  <a:ext uri="{FF2B5EF4-FFF2-40B4-BE49-F238E27FC236}">
                    <a16:creationId xmlns:a16="http://schemas.microsoft.com/office/drawing/2014/main" id="{00000000-0008-0000-0200-00005D000000}"/>
                  </a:ext>
                </a:extLst>
              </xdr:cNvPr>
              <xdr:cNvSpPr txBox="1"/>
            </xdr:nvSpPr>
            <xdr:spPr>
              <a:xfrm>
                <a:off x="6652667" y="2627800"/>
                <a:ext cx="468000" cy="1800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indent="0" algn="l"/>
                <a:fld id="{5835DCC9-8B2E-41C6-B65B-93FB63DA44BA}" type="TxLink">
                  <a:rPr lang="en-US" sz="700" b="1">
                    <a:solidFill>
                      <a:srgbClr val="1F7A8C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rPr>
                  <a:pPr marL="0" indent="0" algn="l"/>
                  <a:t>1</a:t>
                </a:fld>
                <a:endParaRPr lang="es-VE" sz="700" b="1">
                  <a:solidFill>
                    <a:srgbClr val="1F7A8C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endParaRPr>
              </a:p>
            </xdr:txBody>
          </xdr:sp>
        </xdr:grpSp>
        <xdr:pic>
          <xdr:nvPicPr>
            <xdr:cNvPr id="230" name="Gráfico 229" descr="Estadísticas con relleno sólido">
              <a:extLst>
                <a:ext uri="{FF2B5EF4-FFF2-40B4-BE49-F238E27FC236}">
                  <a16:creationId xmlns:a16="http://schemas.microsoft.com/office/drawing/2014/main" id="{00000000-0008-0000-0200-0000E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8"/>
                </a:ext>
              </a:extLst>
            </a:blip>
            <a:stretch>
              <a:fillRect/>
            </a:stretch>
          </xdr:blipFill>
          <xdr:spPr>
            <a:xfrm>
              <a:off x="7635267" y="2516040"/>
              <a:ext cx="360000" cy="3600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10</xdr:col>
      <xdr:colOff>646762</xdr:colOff>
      <xdr:row>6</xdr:row>
      <xdr:rowOff>179360</xdr:rowOff>
    </xdr:from>
    <xdr:to>
      <xdr:col>13</xdr:col>
      <xdr:colOff>211360</xdr:colOff>
      <xdr:row>22</xdr:row>
      <xdr:rowOff>133280</xdr:rowOff>
    </xdr:to>
    <xdr:grpSp>
      <xdr:nvGrpSpPr>
        <xdr:cNvPr id="13" name="Grup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8109282" y="1276640"/>
          <a:ext cx="1373078" cy="2880000"/>
          <a:chOff x="8109282" y="1285280"/>
          <a:chExt cx="1373078" cy="2880000"/>
        </a:xfrm>
      </xdr:grpSpPr>
      <xdr:sp macro="" textlink="">
        <xdr:nvSpPr>
          <xdr:cNvPr id="19" name="Rectángulo: esquinas redondeadas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>
            <a:spLocks/>
          </xdr:cNvSpPr>
        </xdr:nvSpPr>
        <xdr:spPr>
          <a:xfrm>
            <a:off x="8114360" y="1285280"/>
            <a:ext cx="1368000" cy="2880000"/>
          </a:xfrm>
          <a:prstGeom prst="roundRect">
            <a:avLst>
              <a:gd name="adj" fmla="val 5846"/>
            </a:avLst>
          </a:prstGeom>
          <a:solidFill>
            <a:srgbClr val="D6EE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graphicFrame macro="">
        <xdr:nvGraphicFramePr>
          <xdr:cNvPr id="78" name="Gráfico 77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GraphicFramePr>
            <a:graphicFrameLocks/>
          </xdr:cNvGraphicFramePr>
        </xdr:nvGraphicFramePr>
        <xdr:xfrm>
          <a:off x="8109282" y="1706880"/>
          <a:ext cx="1368000" cy="24488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9"/>
          </a:graphicData>
        </a:graphic>
      </xdr:graphicFrame>
      <xdr:grpSp>
        <xdr:nvGrpSpPr>
          <xdr:cNvPr id="252" name="Grupo 251">
            <a:extLst>
              <a:ext uri="{FF2B5EF4-FFF2-40B4-BE49-F238E27FC236}">
                <a16:creationId xmlns:a16="http://schemas.microsoft.com/office/drawing/2014/main" id="{00000000-0008-0000-0200-0000FC000000}"/>
              </a:ext>
            </a:extLst>
          </xdr:cNvPr>
          <xdr:cNvGrpSpPr/>
        </xdr:nvGrpSpPr>
        <xdr:grpSpPr>
          <a:xfrm>
            <a:off x="8160416" y="1332880"/>
            <a:ext cx="990266" cy="315600"/>
            <a:chOff x="4643454" y="1958800"/>
            <a:chExt cx="1260000" cy="315600"/>
          </a:xfrm>
        </xdr:grpSpPr>
        <xdr:sp macro="" textlink="">
          <xdr:nvSpPr>
            <xdr:cNvPr id="96" name="CuadroTexto 95">
              <a:extLst>
                <a:ext uri="{FF2B5EF4-FFF2-40B4-BE49-F238E27FC236}">
                  <a16:creationId xmlns:a16="http://schemas.microsoft.com/office/drawing/2014/main" id="{00000000-0008-0000-0200-000060000000}"/>
                </a:ext>
              </a:extLst>
            </xdr:cNvPr>
            <xdr:cNvSpPr txBox="1"/>
          </xdr:nvSpPr>
          <xdr:spPr>
            <a:xfrm>
              <a:off x="4643454" y="1958800"/>
              <a:ext cx="1260000" cy="180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/>
            <a:lstStyle/>
            <a:p>
              <a:pPr algn="l"/>
              <a:r>
                <a:rPr lang="es-VE" sz="700" b="1">
                  <a:solidFill>
                    <a:srgbClr val="1F7A8C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●</a:t>
              </a:r>
              <a:r>
                <a:rPr lang="es-VE" sz="700" b="1">
                  <a:latin typeface="Verdana" panose="020B0604030504040204" pitchFamily="34" charset="0"/>
                  <a:ea typeface="Verdana" panose="020B0604030504040204" pitchFamily="34" charset="0"/>
                </a:rPr>
                <a:t> </a:t>
              </a:r>
              <a:r>
                <a:rPr lang="es-VE" sz="700" b="1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Pares</a:t>
              </a:r>
              <a:r>
                <a:rPr lang="es-VE" sz="700" b="1" baseline="0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 Utilizados</a:t>
              </a:r>
              <a:endParaRPr lang="es-VE" sz="7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  <xdr:sp macro="" textlink="">
          <xdr:nvSpPr>
            <xdr:cNvPr id="97" name="CuadroTexto 96">
              <a:extLst>
                <a:ext uri="{FF2B5EF4-FFF2-40B4-BE49-F238E27FC236}">
                  <a16:creationId xmlns:a16="http://schemas.microsoft.com/office/drawing/2014/main" id="{00000000-0008-0000-0200-000061000000}"/>
                </a:ext>
              </a:extLst>
            </xdr:cNvPr>
            <xdr:cNvSpPr txBox="1"/>
          </xdr:nvSpPr>
          <xdr:spPr>
            <a:xfrm>
              <a:off x="4643454" y="2094400"/>
              <a:ext cx="1143000" cy="180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/>
            <a:lstStyle/>
            <a:p>
              <a:pPr algn="l"/>
              <a:r>
                <a:rPr lang="es-VE" sz="700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#</a:t>
              </a:r>
              <a:r>
                <a:rPr lang="es-VE" sz="700" baseline="0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 de </a:t>
              </a:r>
              <a:r>
                <a:rPr lang="es-VE" sz="700" baseline="0">
                  <a:solidFill>
                    <a:srgbClr val="1F7A8C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Operaciones</a:t>
              </a:r>
              <a:endParaRPr lang="es-VE" sz="700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  <xdr:pic>
        <xdr:nvPicPr>
          <xdr:cNvPr id="74" name="Gráfico 73" descr="Transferencia con relleno sólido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1"/>
              </a:ext>
            </a:extLst>
          </a:blip>
          <a:stretch>
            <a:fillRect/>
          </a:stretch>
        </xdr:blipFill>
        <xdr:spPr>
          <a:xfrm>
            <a:off x="9138157" y="1351320"/>
            <a:ext cx="288000" cy="2880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162560</xdr:colOff>
      <xdr:row>32</xdr:row>
      <xdr:rowOff>88672</xdr:rowOff>
    </xdr:from>
    <xdr:to>
      <xdr:col>3</xdr:col>
      <xdr:colOff>478080</xdr:colOff>
      <xdr:row>36</xdr:row>
      <xdr:rowOff>144948</xdr:rowOff>
    </xdr:to>
    <xdr:grpSp>
      <xdr:nvGrpSpPr>
        <xdr:cNvPr id="149" name="Grupo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GrpSpPr/>
      </xdr:nvGrpSpPr>
      <xdr:grpSpPr>
        <a:xfrm>
          <a:off x="162560" y="5940832"/>
          <a:ext cx="2124000" cy="787796"/>
          <a:chOff x="2255820" y="5974465"/>
          <a:chExt cx="2128730" cy="792000"/>
        </a:xfrm>
      </xdr:grpSpPr>
      <xdr:sp macro="" textlink="">
        <xdr:nvSpPr>
          <xdr:cNvPr id="231" name="Rectángulo: esquinas redondeadas 230">
            <a:extLst>
              <a:ext uri="{FF2B5EF4-FFF2-40B4-BE49-F238E27FC236}">
                <a16:creationId xmlns:a16="http://schemas.microsoft.com/office/drawing/2014/main" id="{00000000-0008-0000-0200-0000E7000000}"/>
              </a:ext>
            </a:extLst>
          </xdr:cNvPr>
          <xdr:cNvSpPr/>
        </xdr:nvSpPr>
        <xdr:spPr>
          <a:xfrm>
            <a:off x="2255820" y="5974465"/>
            <a:ext cx="2128730" cy="792000"/>
          </a:xfrm>
          <a:prstGeom prst="roundRect">
            <a:avLst>
              <a:gd name="adj" fmla="val 5846"/>
            </a:avLst>
          </a:prstGeom>
          <a:solidFill>
            <a:srgbClr val="D6EE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sp macro="" textlink="Dinamics!BL14">
        <xdr:nvSpPr>
          <xdr:cNvPr id="232" name="CuadroTexto 231">
            <a:extLst>
              <a:ext uri="{FF2B5EF4-FFF2-40B4-BE49-F238E27FC236}">
                <a16:creationId xmlns:a16="http://schemas.microsoft.com/office/drawing/2014/main" id="{00000000-0008-0000-0200-0000E8000000}"/>
              </a:ext>
            </a:extLst>
          </xdr:cNvPr>
          <xdr:cNvSpPr txBox="1"/>
        </xdr:nvSpPr>
        <xdr:spPr>
          <a:xfrm>
            <a:off x="2259199" y="6295170"/>
            <a:ext cx="2124000" cy="4701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72000" tIns="72000" rIns="72000" bIns="72000" rtlCol="0" anchor="t"/>
          <a:lstStyle/>
          <a:p>
            <a:pPr algn="l"/>
            <a:fld id="{ECC97D71-5569-49B1-9E8F-889DB008C9A1}" type="TxLink">
              <a:rPr lang="en-US" sz="600" b="0" i="0" u="none" strike="noStrike">
                <a:solidFill>
                  <a:srgbClr val="444054"/>
                </a:solidFill>
                <a:latin typeface="Verdana"/>
                <a:ea typeface="Verdana"/>
              </a:rPr>
              <a:pPr algn="l"/>
              <a:t>- Usted arriesga en promedio -$155 para cada operación, lo que equivale a un 0,16% de su cuenta.</a:t>
            </a:fld>
            <a:endParaRPr lang="es-VE" sz="800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">
        <xdr:nvSpPr>
          <xdr:cNvPr id="233" name="CuadroTexto 232">
            <a:extLst>
              <a:ext uri="{FF2B5EF4-FFF2-40B4-BE49-F238E27FC236}">
                <a16:creationId xmlns:a16="http://schemas.microsoft.com/office/drawing/2014/main" id="{00000000-0008-0000-0200-0000E9000000}"/>
              </a:ext>
            </a:extLst>
          </xdr:cNvPr>
          <xdr:cNvSpPr txBox="1"/>
        </xdr:nvSpPr>
        <xdr:spPr>
          <a:xfrm>
            <a:off x="2257345" y="5980322"/>
            <a:ext cx="1452807" cy="3981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VE" sz="9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9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9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Riesgo</a:t>
            </a:r>
            <a:r>
              <a:rPr lang="es-VE" sz="9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9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Medio</a:t>
            </a:r>
            <a:r>
              <a:rPr lang="es-VE" sz="9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</a:p>
          <a:p>
            <a:pPr algn="l"/>
            <a:r>
              <a:rPr lang="es-VE" sz="900" b="1" baseline="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por Operación</a:t>
            </a:r>
          </a:p>
        </xdr:txBody>
      </xdr:sp>
      <xdr:pic>
        <xdr:nvPicPr>
          <xdr:cNvPr id="46" name="Gráfico 45" descr="Investigación con relleno sólido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3"/>
              </a:ext>
            </a:extLst>
          </a:blip>
          <a:stretch>
            <a:fillRect/>
          </a:stretch>
        </xdr:blipFill>
        <xdr:spPr>
          <a:xfrm>
            <a:off x="3897319" y="5975067"/>
            <a:ext cx="433577" cy="43410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17518</xdr:colOff>
      <xdr:row>32</xdr:row>
      <xdr:rowOff>88670</xdr:rowOff>
    </xdr:from>
    <xdr:to>
      <xdr:col>13</xdr:col>
      <xdr:colOff>209318</xdr:colOff>
      <xdr:row>36</xdr:row>
      <xdr:rowOff>144946</xdr:rowOff>
    </xdr:to>
    <xdr:sp macro="" textlink="">
      <xdr:nvSpPr>
        <xdr:cNvPr id="238" name="Rectángulo: esquinas redondeadas 237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SpPr/>
      </xdr:nvSpPr>
      <xdr:spPr>
        <a:xfrm>
          <a:off x="6672318" y="5940830"/>
          <a:ext cx="2808000" cy="787796"/>
        </a:xfrm>
        <a:prstGeom prst="roundRect">
          <a:avLst>
            <a:gd name="adj" fmla="val 5846"/>
          </a:avLst>
        </a:prstGeom>
        <a:solidFill>
          <a:srgbClr val="D6EE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9</xdr:col>
      <xdr:colOff>21560</xdr:colOff>
      <xdr:row>34</xdr:row>
      <xdr:rowOff>20320</xdr:rowOff>
    </xdr:from>
    <xdr:to>
      <xdr:col>11</xdr:col>
      <xdr:colOff>401320</xdr:colOff>
      <xdr:row>36</xdr:row>
      <xdr:rowOff>137160</xdr:rowOff>
    </xdr:to>
    <xdr:sp macro="" textlink="Dinamics!#REF!">
      <xdr:nvSpPr>
        <xdr:cNvPr id="239" name="CuadroTexto 238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SpPr txBox="1"/>
      </xdr:nvSpPr>
      <xdr:spPr>
        <a:xfrm>
          <a:off x="6676360" y="6238240"/>
          <a:ext cx="19952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t"/>
        <a:lstStyle/>
        <a:p>
          <a:pPr algn="l"/>
          <a:fld id="{17C9A1AB-E707-441D-92DB-12F6B2103851}" type="TxLink">
            <a:rPr lang="en-US" sz="600" b="0" i="0" u="none" strike="noStrike"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  <a:cs typeface="Calibri"/>
            </a:rPr>
            <a:pPr algn="l"/>
            <a:t>Eres mas un trader Intraday, ya que el 100% de tus operaciones ganadoras se cierran en un mismo dia.</a:t>
          </a:fld>
          <a:endParaRPr lang="es-VE" sz="200">
            <a:solidFill>
              <a:srgbClr val="444054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</xdr:col>
      <xdr:colOff>17518</xdr:colOff>
      <xdr:row>32</xdr:row>
      <xdr:rowOff>88670</xdr:rowOff>
    </xdr:from>
    <xdr:to>
      <xdr:col>11</xdr:col>
      <xdr:colOff>239798</xdr:colOff>
      <xdr:row>33</xdr:row>
      <xdr:rowOff>116840</xdr:rowOff>
    </xdr:to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SpPr txBox="1"/>
      </xdr:nvSpPr>
      <xdr:spPr>
        <a:xfrm>
          <a:off x="6672318" y="5940830"/>
          <a:ext cx="1837720" cy="21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VE" sz="900" b="1">
              <a:solidFill>
                <a:srgbClr val="1F7A8C"/>
              </a:solidFill>
              <a:latin typeface="Verdana" panose="020B0604030504040204" pitchFamily="34" charset="0"/>
              <a:ea typeface="Verdana" panose="020B0604030504040204" pitchFamily="34" charset="0"/>
            </a:rPr>
            <a:t>●</a:t>
          </a:r>
          <a:r>
            <a:rPr lang="es-VE" sz="900" b="1"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r>
            <a:rPr lang="es-VE" sz="900" b="1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rPr>
            <a:t>Tipo</a:t>
          </a:r>
          <a:r>
            <a:rPr lang="es-VE" sz="900" b="1" baseline="0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rPr>
            <a:t> de </a:t>
          </a:r>
          <a:r>
            <a:rPr lang="es-VE" sz="900" b="1" baseline="0">
              <a:solidFill>
                <a:srgbClr val="1F7A8C"/>
              </a:solidFill>
              <a:latin typeface="Verdana" panose="020B0604030504040204" pitchFamily="34" charset="0"/>
              <a:ea typeface="Verdana" panose="020B0604030504040204" pitchFamily="34" charset="0"/>
            </a:rPr>
            <a:t>Trader</a:t>
          </a:r>
        </a:p>
      </xdr:txBody>
    </xdr:sp>
    <xdr:clientData/>
  </xdr:twoCellAnchor>
  <xdr:twoCellAnchor>
    <xdr:from>
      <xdr:col>0</xdr:col>
      <xdr:colOff>162560</xdr:colOff>
      <xdr:row>37</xdr:row>
      <xdr:rowOff>12470</xdr:rowOff>
    </xdr:from>
    <xdr:to>
      <xdr:col>3</xdr:col>
      <xdr:colOff>478080</xdr:colOff>
      <xdr:row>41</xdr:row>
      <xdr:rowOff>68748</xdr:rowOff>
    </xdr:to>
    <xdr:grpSp>
      <xdr:nvGrpSpPr>
        <xdr:cNvPr id="246" name="Grupo 245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GrpSpPr/>
      </xdr:nvGrpSpPr>
      <xdr:grpSpPr>
        <a:xfrm>
          <a:off x="162560" y="6779030"/>
          <a:ext cx="2124000" cy="787798"/>
          <a:chOff x="4448667" y="5974463"/>
          <a:chExt cx="2127153" cy="792002"/>
        </a:xfrm>
      </xdr:grpSpPr>
      <xdr:sp macro="" textlink="">
        <xdr:nvSpPr>
          <xdr:cNvPr id="234" name="Rectángulo: esquinas redondeadas 233">
            <a:extLst>
              <a:ext uri="{FF2B5EF4-FFF2-40B4-BE49-F238E27FC236}">
                <a16:creationId xmlns:a16="http://schemas.microsoft.com/office/drawing/2014/main" id="{00000000-0008-0000-0200-0000EA000000}"/>
              </a:ext>
            </a:extLst>
          </xdr:cNvPr>
          <xdr:cNvSpPr/>
        </xdr:nvSpPr>
        <xdr:spPr>
          <a:xfrm>
            <a:off x="4448667" y="5974465"/>
            <a:ext cx="2127153" cy="792000"/>
          </a:xfrm>
          <a:prstGeom prst="roundRect">
            <a:avLst>
              <a:gd name="adj" fmla="val 5846"/>
            </a:avLst>
          </a:prstGeom>
          <a:solidFill>
            <a:srgbClr val="D6EE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sp macro="" textlink="Dinamics!#REF!">
        <xdr:nvSpPr>
          <xdr:cNvPr id="235" name="CuadroTexto 234">
            <a:extLst>
              <a:ext uri="{FF2B5EF4-FFF2-40B4-BE49-F238E27FC236}">
                <a16:creationId xmlns:a16="http://schemas.microsoft.com/office/drawing/2014/main" id="{00000000-0008-0000-0200-0000EB000000}"/>
              </a:ext>
            </a:extLst>
          </xdr:cNvPr>
          <xdr:cNvSpPr txBox="1"/>
        </xdr:nvSpPr>
        <xdr:spPr>
          <a:xfrm>
            <a:off x="4448667" y="6332363"/>
            <a:ext cx="2124000" cy="4341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72000" tIns="72000" rIns="72000" bIns="72000" rtlCol="0" anchor="t"/>
          <a:lstStyle/>
          <a:p>
            <a:pPr algn="l"/>
            <a:fld id="{FD5283E1-C4F7-4479-BAFB-F48CFAE500A1}" type="TxLink">
              <a:rPr lang="en-US" sz="600" b="0" i="0" u="none" strike="noStrike">
                <a:solidFill>
                  <a:srgbClr val="444054"/>
                </a:solidFill>
                <a:latin typeface="Verdana"/>
                <a:ea typeface="Verdana"/>
              </a:rPr>
              <a:pPr algn="l"/>
              <a:t>- Tu drawdown maximo (racha de perdida consecutiva), ha sido de -0,16%</a:t>
            </a:fld>
            <a:endParaRPr lang="es-VE" sz="500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">
        <xdr:nvSpPr>
          <xdr:cNvPr id="236" name="CuadroTexto 235">
            <a:extLst>
              <a:ext uri="{FF2B5EF4-FFF2-40B4-BE49-F238E27FC236}">
                <a16:creationId xmlns:a16="http://schemas.microsoft.com/office/drawing/2014/main" id="{00000000-0008-0000-0200-0000EC000000}"/>
              </a:ext>
            </a:extLst>
          </xdr:cNvPr>
          <xdr:cNvSpPr txBox="1"/>
        </xdr:nvSpPr>
        <xdr:spPr>
          <a:xfrm>
            <a:off x="4448667" y="5974465"/>
            <a:ext cx="1406087" cy="3981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VE" sz="9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9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9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Drawdown </a:t>
            </a:r>
            <a:r>
              <a:rPr lang="es-VE" sz="9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Máximo</a:t>
            </a:r>
            <a:endParaRPr lang="es-VE" sz="900" b="1" baseline="0">
              <a:solidFill>
                <a:srgbClr val="1F7A8C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pic>
        <xdr:nvPicPr>
          <xdr:cNvPr id="111" name="Gráfico 110" descr="Gráfico de tendencia descendente con relleno sólido">
            <a:extLst>
              <a:ext uri="{FF2B5EF4-FFF2-40B4-BE49-F238E27FC236}">
                <a16:creationId xmlns:a16="http://schemas.microsoft.com/office/drawing/2014/main" id="{00000000-0008-0000-02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5"/>
              </a:ext>
            </a:extLst>
          </a:blip>
          <a:stretch>
            <a:fillRect/>
          </a:stretch>
        </xdr:blipFill>
        <xdr:spPr>
          <a:xfrm>
            <a:off x="6098049" y="5974463"/>
            <a:ext cx="432000" cy="434102"/>
          </a:xfrm>
          <a:prstGeom prst="rect">
            <a:avLst/>
          </a:prstGeom>
        </xdr:spPr>
      </xdr:pic>
    </xdr:grpSp>
    <xdr:clientData/>
  </xdr:twoCellAnchor>
  <xdr:twoCellAnchor editAs="oneCell">
    <xdr:from>
      <xdr:col>4</xdr:col>
      <xdr:colOff>697065</xdr:colOff>
      <xdr:row>0</xdr:row>
      <xdr:rowOff>121920</xdr:rowOff>
    </xdr:from>
    <xdr:to>
      <xdr:col>5</xdr:col>
      <xdr:colOff>429345</xdr:colOff>
      <xdr:row>3</xdr:row>
      <xdr:rowOff>113280</xdr:rowOff>
    </xdr:to>
    <xdr:pic>
      <xdr:nvPicPr>
        <xdr:cNvPr id="61" name="Gráfico 60" descr="Presentación con gráfico circular con relleno sólido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3313265" y="121920"/>
          <a:ext cx="540000" cy="540000"/>
        </a:xfrm>
        <a:prstGeom prst="rect">
          <a:avLst/>
        </a:prstGeom>
      </xdr:spPr>
    </xdr:pic>
    <xdr:clientData/>
  </xdr:twoCellAnchor>
  <xdr:twoCellAnchor>
    <xdr:from>
      <xdr:col>4</xdr:col>
      <xdr:colOff>457200</xdr:colOff>
      <xdr:row>3</xdr:row>
      <xdr:rowOff>96520</xdr:rowOff>
    </xdr:from>
    <xdr:to>
      <xdr:col>5</xdr:col>
      <xdr:colOff>657480</xdr:colOff>
      <xdr:row>6</xdr:row>
      <xdr:rowOff>87240</xdr:rowOff>
    </xdr:to>
    <xdr:grpSp>
      <xdr:nvGrpSpPr>
        <xdr:cNvPr id="105" name="Grupo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GrpSpPr/>
      </xdr:nvGrpSpPr>
      <xdr:grpSpPr>
        <a:xfrm>
          <a:off x="3073400" y="645160"/>
          <a:ext cx="1008000" cy="539360"/>
          <a:chOff x="3124200" y="629920"/>
          <a:chExt cx="1008000" cy="539360"/>
        </a:xfrm>
      </xdr:grpSpPr>
      <xdr:sp macro="" textlink="">
        <xdr:nvSpPr>
          <xdr:cNvPr id="21" name="Rectángulo: esquinas redondeadas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/>
        </xdr:nvSpPr>
        <xdr:spPr>
          <a:xfrm>
            <a:off x="3141980" y="629920"/>
            <a:ext cx="942340" cy="538480"/>
          </a:xfrm>
          <a:prstGeom prst="roundRect">
            <a:avLst>
              <a:gd name="adj" fmla="val 5846"/>
            </a:avLst>
          </a:prstGeom>
          <a:solidFill>
            <a:srgbClr val="AAADC4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sp macro="" textlink="">
        <xdr:nvSpPr>
          <xdr:cNvPr id="57" name="CuadroTexto 56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SpPr txBox="1"/>
        </xdr:nvSpPr>
        <xdr:spPr>
          <a:xfrm>
            <a:off x="3141980" y="629920"/>
            <a:ext cx="900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VE" sz="7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7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7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Duracion</a:t>
            </a:r>
          </a:p>
        </xdr:txBody>
      </xdr:sp>
      <xdr:sp macro="" textlink="">
        <xdr:nvSpPr>
          <xdr:cNvPr id="58" name="CuadroTexto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SpPr txBox="1"/>
        </xdr:nvSpPr>
        <xdr:spPr>
          <a:xfrm>
            <a:off x="3124200" y="750740"/>
            <a:ext cx="1008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VE" sz="600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Media</a:t>
            </a:r>
            <a:r>
              <a:rPr lang="es-VE" sz="600" baseline="0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por Operación</a:t>
            </a:r>
            <a:endParaRPr lang="es-VE" sz="600">
              <a:solidFill>
                <a:srgbClr val="1F7A8C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Dinamics!M6">
        <xdr:nvSpPr>
          <xdr:cNvPr id="59" name="CuadroTexto 58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SpPr txBox="1"/>
        </xdr:nvSpPr>
        <xdr:spPr>
          <a:xfrm>
            <a:off x="3235960" y="917280"/>
            <a:ext cx="756000" cy="25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E365E2A-908C-41E2-89D3-57F84F0DBCED}" type="TxLink">
              <a:rPr lang="en-US" sz="1100" b="1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  <a:cs typeface="Calibri"/>
              </a:rPr>
              <a:pPr algn="ctr"/>
              <a:t>56 min</a:t>
            </a:fld>
            <a:endParaRPr lang="es-VE" sz="800" b="1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</xdr:grpSp>
    <xdr:clientData/>
  </xdr:twoCellAnchor>
  <xdr:twoCellAnchor>
    <xdr:from>
      <xdr:col>9</xdr:col>
      <xdr:colOff>17518</xdr:colOff>
      <xdr:row>33</xdr:row>
      <xdr:rowOff>68352</xdr:rowOff>
    </xdr:from>
    <xdr:to>
      <xdr:col>11</xdr:col>
      <xdr:colOff>346078</xdr:colOff>
      <xdr:row>34</xdr:row>
      <xdr:rowOff>65466</xdr:rowOff>
    </xdr:to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SpPr txBox="1"/>
      </xdr:nvSpPr>
      <xdr:spPr>
        <a:xfrm>
          <a:off x="6672318" y="6103392"/>
          <a:ext cx="1944000" cy="179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VE" sz="700" b="1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rPr>
            <a:t>Según </a:t>
          </a:r>
          <a:r>
            <a:rPr lang="es-VE" sz="700" b="1">
              <a:solidFill>
                <a:srgbClr val="1F7A8C"/>
              </a:solidFill>
              <a:latin typeface="Verdana" panose="020B0604030504040204" pitchFamily="34" charset="0"/>
              <a:ea typeface="Verdana" panose="020B0604030504040204" pitchFamily="34" charset="0"/>
            </a:rPr>
            <a:t>Tiempo</a:t>
          </a:r>
          <a:r>
            <a:rPr lang="es-VE" sz="700" b="1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rPr>
            <a:t> dentro del Mercado</a:t>
          </a:r>
        </a:p>
      </xdr:txBody>
    </xdr:sp>
    <xdr:clientData/>
  </xdr:twoCellAnchor>
  <xdr:twoCellAnchor>
    <xdr:from>
      <xdr:col>11</xdr:col>
      <xdr:colOff>452120</xdr:colOff>
      <xdr:row>32</xdr:row>
      <xdr:rowOff>126520</xdr:rowOff>
    </xdr:from>
    <xdr:to>
      <xdr:col>13</xdr:col>
      <xdr:colOff>171360</xdr:colOff>
      <xdr:row>36</xdr:row>
      <xdr:rowOff>115000</xdr:rowOff>
    </xdr:to>
    <xdr:grpSp>
      <xdr:nvGrpSpPr>
        <xdr:cNvPr id="274" name="Grupo 273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GrpSpPr/>
      </xdr:nvGrpSpPr>
      <xdr:grpSpPr>
        <a:xfrm>
          <a:off x="8722360" y="5978680"/>
          <a:ext cx="720000" cy="720000"/>
          <a:chOff x="8722360" y="5978680"/>
          <a:chExt cx="720000" cy="720000"/>
        </a:xfrm>
      </xdr:grpSpPr>
      <xdr:graphicFrame macro="">
        <xdr:nvGraphicFramePr>
          <xdr:cNvPr id="270" name="Gráfico 269">
            <a:extLst>
              <a:ext uri="{FF2B5EF4-FFF2-40B4-BE49-F238E27FC236}">
                <a16:creationId xmlns:a16="http://schemas.microsoft.com/office/drawing/2014/main" id="{00000000-0008-0000-0200-00000E010000}"/>
              </a:ext>
            </a:extLst>
          </xdr:cNvPr>
          <xdr:cNvGraphicFramePr>
            <a:graphicFrameLocks noChangeAspect="1"/>
          </xdr:cNvGraphicFramePr>
        </xdr:nvGraphicFramePr>
        <xdr:xfrm>
          <a:off x="8722360" y="5978680"/>
          <a:ext cx="720000" cy="7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8"/>
          </a:graphicData>
        </a:graphic>
      </xdr:graphicFrame>
      <xdr:pic>
        <xdr:nvPicPr>
          <xdr:cNvPr id="273" name="Gráfico 272" descr="Reloj de arena terminado con relleno sólido">
            <a:extLst>
              <a:ext uri="{FF2B5EF4-FFF2-40B4-BE49-F238E27FC236}">
                <a16:creationId xmlns:a16="http://schemas.microsoft.com/office/drawing/2014/main" id="{00000000-0008-0000-0200-00001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0"/>
              </a:ext>
            </a:extLst>
          </a:blip>
          <a:stretch>
            <a:fillRect/>
          </a:stretch>
        </xdr:blipFill>
        <xdr:spPr>
          <a:xfrm>
            <a:off x="8956360" y="6212680"/>
            <a:ext cx="252000" cy="252000"/>
          </a:xfrm>
          <a:prstGeom prst="rect">
            <a:avLst/>
          </a:prstGeom>
        </xdr:spPr>
      </xdr:pic>
    </xdr:grpSp>
    <xdr:clientData/>
  </xdr:twoCellAnchor>
  <xdr:twoCellAnchor editAs="oneCell">
    <xdr:from>
      <xdr:col>10</xdr:col>
      <xdr:colOff>650094</xdr:colOff>
      <xdr:row>0</xdr:row>
      <xdr:rowOff>137160</xdr:rowOff>
    </xdr:from>
    <xdr:to>
      <xdr:col>13</xdr:col>
      <xdr:colOff>209614</xdr:colOff>
      <xdr:row>3</xdr:row>
      <xdr:rowOff>133433</xdr:rowOff>
    </xdr:to>
    <xdr:pic>
      <xdr:nvPicPr>
        <xdr:cNvPr id="237" name="Imagen 236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892" b="14293"/>
        <a:stretch/>
      </xdr:blipFill>
      <xdr:spPr>
        <a:xfrm>
          <a:off x="8112614" y="137160"/>
          <a:ext cx="1368000" cy="544913"/>
        </a:xfrm>
        <a:prstGeom prst="roundRect">
          <a:avLst>
            <a:gd name="adj" fmla="val 5892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165822</xdr:colOff>
      <xdr:row>41</xdr:row>
      <xdr:rowOff>137866</xdr:rowOff>
    </xdr:from>
    <xdr:to>
      <xdr:col>3</xdr:col>
      <xdr:colOff>486485</xdr:colOff>
      <xdr:row>56</xdr:row>
      <xdr:rowOff>166666</xdr:rowOff>
    </xdr:to>
    <xdr:grpSp>
      <xdr:nvGrpSpPr>
        <xdr:cNvPr id="47" name="Grupo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GrpSpPr/>
      </xdr:nvGrpSpPr>
      <xdr:grpSpPr>
        <a:xfrm>
          <a:off x="165822" y="7635946"/>
          <a:ext cx="2129143" cy="2772000"/>
          <a:chOff x="165822" y="7679038"/>
          <a:chExt cx="2128442" cy="2787766"/>
        </a:xfrm>
      </xdr:grpSpPr>
      <xdr:sp macro="" textlink="">
        <xdr:nvSpPr>
          <xdr:cNvPr id="219" name="Rectángulo: esquinas redondeadas 218">
            <a:extLst>
              <a:ext uri="{FF2B5EF4-FFF2-40B4-BE49-F238E27FC236}">
                <a16:creationId xmlns:a16="http://schemas.microsoft.com/office/drawing/2014/main" id="{00000000-0008-0000-0200-0000DB000000}"/>
              </a:ext>
            </a:extLst>
          </xdr:cNvPr>
          <xdr:cNvSpPr/>
        </xdr:nvSpPr>
        <xdr:spPr>
          <a:xfrm>
            <a:off x="170264" y="7679038"/>
            <a:ext cx="2124000" cy="2787766"/>
          </a:xfrm>
          <a:prstGeom prst="roundRect">
            <a:avLst>
              <a:gd name="adj" fmla="val 5846"/>
            </a:avLst>
          </a:prstGeom>
          <a:solidFill>
            <a:srgbClr val="D6EE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sp macro="" textlink="Dinamics!BL10">
        <xdr:nvSpPr>
          <xdr:cNvPr id="197" name="CuadroTexto 196">
            <a:extLst>
              <a:ext uri="{FF2B5EF4-FFF2-40B4-BE49-F238E27FC236}">
                <a16:creationId xmlns:a16="http://schemas.microsoft.com/office/drawing/2014/main" id="{00000000-0008-0000-0200-0000C5000000}"/>
              </a:ext>
            </a:extLst>
          </xdr:cNvPr>
          <xdr:cNvSpPr txBox="1"/>
        </xdr:nvSpPr>
        <xdr:spPr>
          <a:xfrm>
            <a:off x="165822" y="8491345"/>
            <a:ext cx="2124000" cy="4701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6AE4485-A43D-40D7-81B8-09FD1808BD27}" type="TxLink">
              <a:rPr lang="en-US" sz="600" b="0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pPr/>
              <a:t> </a:t>
            </a:fld>
            <a:endParaRPr lang="es-VE" sz="600" b="0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Dinamics!BL11">
        <xdr:nvSpPr>
          <xdr:cNvPr id="198" name="CuadroTexto 197">
            <a:extLst>
              <a:ext uri="{FF2B5EF4-FFF2-40B4-BE49-F238E27FC236}">
                <a16:creationId xmlns:a16="http://schemas.microsoft.com/office/drawing/2014/main" id="{00000000-0008-0000-0200-0000C6000000}"/>
              </a:ext>
            </a:extLst>
          </xdr:cNvPr>
          <xdr:cNvSpPr txBox="1"/>
        </xdr:nvSpPr>
        <xdr:spPr>
          <a:xfrm>
            <a:off x="165822" y="9334237"/>
            <a:ext cx="2124000" cy="4711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CBD212BE-A53F-4F36-A51C-2236BB6F2010}" type="TxLink">
              <a:rPr lang="en-US" sz="600" b="0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pPr algn="l"/>
              <a:t>- La falla tecnica que mas influye en tus resultados es Deslizamiento ya que cuando esta presente en tu operativa, pierdes el 100% de tus operaciones.</a:t>
            </a:fld>
            <a:endParaRPr lang="es-VE" sz="600" b="0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">
        <xdr:nvSpPr>
          <xdr:cNvPr id="220" name="CuadroTexto 219">
            <a:extLst>
              <a:ext uri="{FF2B5EF4-FFF2-40B4-BE49-F238E27FC236}">
                <a16:creationId xmlns:a16="http://schemas.microsoft.com/office/drawing/2014/main" id="{00000000-0008-0000-0200-0000DC000000}"/>
              </a:ext>
            </a:extLst>
          </xdr:cNvPr>
          <xdr:cNvSpPr txBox="1"/>
        </xdr:nvSpPr>
        <xdr:spPr>
          <a:xfrm>
            <a:off x="170265" y="7679038"/>
            <a:ext cx="1563942" cy="4351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VE" sz="9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9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9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Analisis</a:t>
            </a:r>
            <a:r>
              <a:rPr lang="es-VE" sz="9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9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Avanzado</a:t>
            </a:r>
            <a:r>
              <a:rPr lang="es-VE" sz="9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900" b="1" baseline="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de Fallas</a:t>
            </a:r>
          </a:p>
        </xdr:txBody>
      </xdr:sp>
      <xdr:sp macro="" textlink="Dinamics!#REF!">
        <xdr:nvSpPr>
          <xdr:cNvPr id="10" name="CuadroTexto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 txBox="1"/>
        </xdr:nvSpPr>
        <xdr:spPr>
          <a:xfrm>
            <a:off x="256166" y="8164611"/>
            <a:ext cx="1943312" cy="1450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fld id="{CDD8E6A9-AD24-488F-8D7E-10A380F64939}" type="TxLink">
              <a:rPr lang="en-US" sz="800" b="0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pPr algn="ctr"/>
              <a:t>No has cometido fallas emocionales.</a:t>
            </a:fld>
            <a:endParaRPr lang="es-VE" sz="1050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Dinamics!#REF!">
        <xdr:nvSpPr>
          <xdr:cNvPr id="221" name="CuadroTexto 220">
            <a:extLst>
              <a:ext uri="{FF2B5EF4-FFF2-40B4-BE49-F238E27FC236}">
                <a16:creationId xmlns:a16="http://schemas.microsoft.com/office/drawing/2014/main" id="{00000000-0008-0000-0200-0000DD000000}"/>
              </a:ext>
            </a:extLst>
          </xdr:cNvPr>
          <xdr:cNvSpPr txBox="1"/>
        </xdr:nvSpPr>
        <xdr:spPr>
          <a:xfrm>
            <a:off x="327823" y="9012095"/>
            <a:ext cx="1799999" cy="1450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fld id="{9D6C4F0C-3239-4B81-8DA7-C2D1FB5D91D2}" type="TxLink">
              <a:rPr lang="en-US" sz="800" b="0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pPr algn="ctr"/>
              <a:t>Has cometido un total de </a:t>
            </a:fld>
            <a:endParaRPr lang="es-VE" sz="1050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Dinamics!#REF!">
        <xdr:nvSpPr>
          <xdr:cNvPr id="222" name="CuadroTexto 221">
            <a:extLst>
              <a:ext uri="{FF2B5EF4-FFF2-40B4-BE49-F238E27FC236}">
                <a16:creationId xmlns:a16="http://schemas.microsoft.com/office/drawing/2014/main" id="{00000000-0008-0000-0200-0000DE000000}"/>
              </a:ext>
            </a:extLst>
          </xdr:cNvPr>
          <xdr:cNvSpPr txBox="1"/>
        </xdr:nvSpPr>
        <xdr:spPr>
          <a:xfrm>
            <a:off x="327823" y="8328222"/>
            <a:ext cx="1799999" cy="14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fld id="{2915A82E-C5E9-440B-A42F-DAB210557B9B}" type="TxLink">
              <a:rPr lang="en-US" sz="900" b="1" i="0" u="none" strike="noStrike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pPr algn="ctr"/>
              <a:t> </a:t>
            </a:fld>
            <a:endParaRPr lang="es-VE" sz="1050" b="1">
              <a:solidFill>
                <a:srgbClr val="1F7A8C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Dinamics!#REF!">
        <xdr:nvSpPr>
          <xdr:cNvPr id="223" name="CuadroTexto 222">
            <a:extLst>
              <a:ext uri="{FF2B5EF4-FFF2-40B4-BE49-F238E27FC236}">
                <a16:creationId xmlns:a16="http://schemas.microsoft.com/office/drawing/2014/main" id="{00000000-0008-0000-0200-0000DF000000}"/>
              </a:ext>
            </a:extLst>
          </xdr:cNvPr>
          <xdr:cNvSpPr txBox="1"/>
        </xdr:nvSpPr>
        <xdr:spPr>
          <a:xfrm>
            <a:off x="327823" y="9175706"/>
            <a:ext cx="1799999" cy="1450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fld id="{ED060A99-9517-44BB-A7D4-D0163F2C5276}" type="TxLink">
              <a:rPr lang="en-US" sz="900" b="1" i="0" u="none" strike="noStrike">
                <a:solidFill>
                  <a:srgbClr val="1F7A8C"/>
                </a:solidFill>
                <a:latin typeface="Verdana"/>
                <a:ea typeface="Verdana"/>
              </a:rPr>
              <a:pPr algn="ctr"/>
              <a:t>1 FALLAS TECNICAS</a:t>
            </a:fld>
            <a:endParaRPr lang="es-VE" sz="1050" b="1">
              <a:solidFill>
                <a:srgbClr val="1F7A8C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pic>
        <xdr:nvPicPr>
          <xdr:cNvPr id="101" name="Gráfico 100" descr="Cabeza con engranajes con relleno sólido">
            <a:extLst>
              <a:ext uri="{FF2B5EF4-FFF2-40B4-BE49-F238E27FC236}">
                <a16:creationId xmlns:a16="http://schemas.microsoft.com/office/drawing/2014/main" id="{00000000-0008-0000-0200-00006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3"/>
              </a:ext>
            </a:extLst>
          </a:blip>
          <a:stretch>
            <a:fillRect/>
          </a:stretch>
        </xdr:blipFill>
        <xdr:spPr>
          <a:xfrm>
            <a:off x="1837555" y="7705313"/>
            <a:ext cx="433576" cy="435154"/>
          </a:xfrm>
          <a:prstGeom prst="rect">
            <a:avLst/>
          </a:prstGeom>
        </xdr:spPr>
      </xdr:pic>
      <xdr:sp macro="" textlink="Dinamics!AG35">
        <xdr:nvSpPr>
          <xdr:cNvPr id="241" name="CuadroTexto 240">
            <a:extLst>
              <a:ext uri="{FF2B5EF4-FFF2-40B4-BE49-F238E27FC236}">
                <a16:creationId xmlns:a16="http://schemas.microsoft.com/office/drawing/2014/main" id="{00000000-0008-0000-0200-0000F1000000}"/>
              </a:ext>
            </a:extLst>
          </xdr:cNvPr>
          <xdr:cNvSpPr txBox="1"/>
        </xdr:nvSpPr>
        <xdr:spPr>
          <a:xfrm>
            <a:off x="255822" y="9919451"/>
            <a:ext cx="1944000" cy="471153"/>
          </a:xfrm>
          <a:prstGeom prst="roundRect">
            <a:avLst/>
          </a:prstGeom>
          <a:solidFill>
            <a:srgbClr val="1F7A8C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fld id="{3E29615A-E2A7-419C-8785-95626BD66722}" type="TxLink">
              <a:rPr lang="en-US" sz="900" b="1" i="0" u="none" strike="noStrike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  <a:cs typeface="Calibri"/>
              </a:rPr>
              <a:pPr algn="ctr"/>
              <a:t>En promedio, cometes 1 FALLA cada 2 OPERACIONES.</a:t>
            </a:fld>
            <a:endParaRPr lang="es-VE" sz="800" b="1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</xdr:grpSp>
    <xdr:clientData/>
  </xdr:twoCellAnchor>
  <xdr:twoCellAnchor>
    <xdr:from>
      <xdr:col>3</xdr:col>
      <xdr:colOff>570476</xdr:colOff>
      <xdr:row>32</xdr:row>
      <xdr:rowOff>91440</xdr:rowOff>
    </xdr:from>
    <xdr:to>
      <xdr:col>8</xdr:col>
      <xdr:colOff>742825</xdr:colOff>
      <xdr:row>56</xdr:row>
      <xdr:rowOff>166666</xdr:rowOff>
    </xdr:to>
    <xdr:grpSp>
      <xdr:nvGrpSpPr>
        <xdr:cNvPr id="44" name="Grupo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GrpSpPr/>
      </xdr:nvGrpSpPr>
      <xdr:grpSpPr>
        <a:xfrm>
          <a:off x="2378956" y="5943600"/>
          <a:ext cx="4210949" cy="4464346"/>
          <a:chOff x="2365828" y="5977233"/>
          <a:chExt cx="4218832" cy="4489571"/>
        </a:xfrm>
      </xdr:grpSpPr>
      <xdr:sp macro="" textlink="">
        <xdr:nvSpPr>
          <xdr:cNvPr id="201" name="Rectángulo: esquinas redondeadas 200">
            <a:extLst>
              <a:ext uri="{FF2B5EF4-FFF2-40B4-BE49-F238E27FC236}">
                <a16:creationId xmlns:a16="http://schemas.microsoft.com/office/drawing/2014/main" id="{00000000-0008-0000-0200-0000C9000000}"/>
              </a:ext>
            </a:extLst>
          </xdr:cNvPr>
          <xdr:cNvSpPr/>
        </xdr:nvSpPr>
        <xdr:spPr>
          <a:xfrm>
            <a:off x="2372660" y="5977233"/>
            <a:ext cx="4212000" cy="4489571"/>
          </a:xfrm>
          <a:prstGeom prst="roundRect">
            <a:avLst>
              <a:gd name="adj" fmla="val 1687"/>
            </a:avLst>
          </a:prstGeom>
          <a:solidFill>
            <a:srgbClr val="D6EE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sp macro="" textlink="Dinamics!BL6">
        <xdr:nvSpPr>
          <xdr:cNvPr id="193" name="CuadroTexto 192">
            <a:extLst>
              <a:ext uri="{FF2B5EF4-FFF2-40B4-BE49-F238E27FC236}">
                <a16:creationId xmlns:a16="http://schemas.microsoft.com/office/drawing/2014/main" id="{00000000-0008-0000-0200-0000C1000000}"/>
              </a:ext>
            </a:extLst>
          </xdr:cNvPr>
          <xdr:cNvSpPr txBox="1"/>
        </xdr:nvSpPr>
        <xdr:spPr>
          <a:xfrm>
            <a:off x="2372660" y="7471216"/>
            <a:ext cx="4212000" cy="468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44278FD-0B1C-4D16-A31A-6C1FADEAE42D}" type="TxLink">
              <a:rPr lang="en-US" sz="600" b="0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pPr/>
              <a:t>- El criterio de estrategia mas utilizado ha sido Criterio 1, el cual se ha utilizado en un 100% de las operaciones, y ha tenido un 50% de Win Rate</a:t>
            </a:fld>
            <a:endParaRPr lang="es-VE" sz="600" b="0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Dinamics!BL7">
        <xdr:nvSpPr>
          <xdr:cNvPr id="194" name="CuadroTexto 193">
            <a:extLst>
              <a:ext uri="{FF2B5EF4-FFF2-40B4-BE49-F238E27FC236}">
                <a16:creationId xmlns:a16="http://schemas.microsoft.com/office/drawing/2014/main" id="{00000000-0008-0000-0200-0000C2000000}"/>
              </a:ext>
            </a:extLst>
          </xdr:cNvPr>
          <xdr:cNvSpPr txBox="1"/>
        </xdr:nvSpPr>
        <xdr:spPr>
          <a:xfrm>
            <a:off x="2372660" y="7894313"/>
            <a:ext cx="4212000" cy="468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E9789B2-2334-44E5-A5B2-93DEFCF5AB30}" type="TxLink">
              <a:rPr lang="en-US" sz="600" b="0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pPr/>
              <a:t>- El criterio de estrategia menos utilizado ha sido Criterio 3, el cual se ha utilizado en un 50% de las operaciones, y ha tenido un 100% de Win Rate, se recomienda evaluar su importancia en la estrategia</a:t>
            </a:fld>
            <a:endParaRPr lang="es-VE" sz="600" b="0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Dinamics!BL8">
        <xdr:nvSpPr>
          <xdr:cNvPr id="195" name="CuadroTexto 194">
            <a:extLst>
              <a:ext uri="{FF2B5EF4-FFF2-40B4-BE49-F238E27FC236}">
                <a16:creationId xmlns:a16="http://schemas.microsoft.com/office/drawing/2014/main" id="{00000000-0008-0000-0200-0000C3000000}"/>
              </a:ext>
            </a:extLst>
          </xdr:cNvPr>
          <xdr:cNvSpPr txBox="1"/>
        </xdr:nvSpPr>
        <xdr:spPr>
          <a:xfrm>
            <a:off x="2372660" y="8317410"/>
            <a:ext cx="4212000" cy="468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CD52E912-4DAA-4617-AE32-38489B785C99}" type="TxLink">
              <a:rPr lang="en-US" sz="600" b="0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pPr/>
              <a:t>- Los criterios de estrategia utilizados han tenido el mismo rendimiento</a:t>
            </a:fld>
            <a:endParaRPr lang="es-VE" sz="600" b="0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Dinamics!BL9">
        <xdr:nvSpPr>
          <xdr:cNvPr id="202" name="CuadroTexto 201">
            <a:extLst>
              <a:ext uri="{FF2B5EF4-FFF2-40B4-BE49-F238E27FC236}">
                <a16:creationId xmlns:a16="http://schemas.microsoft.com/office/drawing/2014/main" id="{00000000-0008-0000-0200-0000CA000000}"/>
              </a:ext>
            </a:extLst>
          </xdr:cNvPr>
          <xdr:cNvSpPr txBox="1"/>
        </xdr:nvSpPr>
        <xdr:spPr>
          <a:xfrm>
            <a:off x="2372660" y="8740507"/>
            <a:ext cx="4212000" cy="468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AE99AC73-C63F-4605-BCFE-27171B799B0E}" type="TxLink">
              <a:rPr lang="en-US" sz="600" b="0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rPr>
              <a:pPr marL="0" indent="0"/>
              <a:t>- Los criterios de estrategia utilizados han tenido el mismo rendimiento</a:t>
            </a:fld>
            <a:endParaRPr lang="es-VE" sz="600" b="0" i="0" u="none" strike="noStrike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endParaRPr>
          </a:p>
        </xdr:txBody>
      </xdr:sp>
      <xdr:sp macro="" textlink="">
        <xdr:nvSpPr>
          <xdr:cNvPr id="203" name="CuadroTexto 202">
            <a:extLst>
              <a:ext uri="{FF2B5EF4-FFF2-40B4-BE49-F238E27FC236}">
                <a16:creationId xmlns:a16="http://schemas.microsoft.com/office/drawing/2014/main" id="{00000000-0008-0000-0200-0000CB000000}"/>
              </a:ext>
            </a:extLst>
          </xdr:cNvPr>
          <xdr:cNvSpPr txBox="1"/>
        </xdr:nvSpPr>
        <xdr:spPr>
          <a:xfrm>
            <a:off x="2377390" y="5982253"/>
            <a:ext cx="3499620" cy="3979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VE" sz="10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10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10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Analisis</a:t>
            </a:r>
            <a:r>
              <a:rPr lang="es-VE" sz="10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10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Avanzado</a:t>
            </a:r>
            <a:r>
              <a:rPr lang="es-VE" sz="10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1000" b="1" baseline="0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de Criterios de Estrategia</a:t>
            </a:r>
          </a:p>
        </xdr:txBody>
      </xdr:sp>
      <xdr:pic>
        <xdr:nvPicPr>
          <xdr:cNvPr id="34" name="Gráfico 33" descr="Lista de comprobación con relleno sólido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5"/>
              </a:ext>
            </a:extLst>
          </a:blip>
          <a:stretch>
            <a:fillRect/>
          </a:stretch>
        </xdr:blipFill>
        <xdr:spPr>
          <a:xfrm>
            <a:off x="6092154" y="5980638"/>
            <a:ext cx="431212" cy="432757"/>
          </a:xfrm>
          <a:prstGeom prst="rect">
            <a:avLst/>
          </a:prstGeom>
        </xdr:spPr>
      </xdr:pic>
      <xdr:sp macro="" textlink="">
        <xdr:nvSpPr>
          <xdr:cNvPr id="8" name="Rectángulo: esquinas redondeadas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2464676" y="9259615"/>
            <a:ext cx="4032000" cy="1121930"/>
          </a:xfrm>
          <a:prstGeom prst="roundRect">
            <a:avLst>
              <a:gd name="adj" fmla="val 8144"/>
            </a:avLst>
          </a:prstGeom>
          <a:solidFill>
            <a:srgbClr val="AAADC4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900" b="1"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Dinamics!BL12">
        <xdr:nvSpPr>
          <xdr:cNvPr id="9" name="CuadroTexto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/>
        </xdr:nvSpPr>
        <xdr:spPr>
          <a:xfrm>
            <a:off x="2518676" y="9516958"/>
            <a:ext cx="3924000" cy="396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fld id="{241C338E-F39A-41E8-9C09-4AA3198B0956}" type="TxLink">
              <a:rPr lang="en-US" sz="600" b="1" i="0" u="none" strike="noStrike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pPr/>
              <a:t>- No hay diferencias de rendimiento en el periodo seleccionado</a:t>
            </a:fld>
            <a:endParaRPr lang="es-VE" sz="900" b="1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Dinamics!BL13">
        <xdr:nvSpPr>
          <xdr:cNvPr id="211" name="CuadroTexto 210">
            <a:extLst>
              <a:ext uri="{FF2B5EF4-FFF2-40B4-BE49-F238E27FC236}">
                <a16:creationId xmlns:a16="http://schemas.microsoft.com/office/drawing/2014/main" id="{00000000-0008-0000-0200-0000D3000000}"/>
              </a:ext>
            </a:extLst>
          </xdr:cNvPr>
          <xdr:cNvSpPr txBox="1"/>
        </xdr:nvSpPr>
        <xdr:spPr>
          <a:xfrm>
            <a:off x="2518676" y="9976137"/>
            <a:ext cx="3924000" cy="396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fld id="{DF77DADA-7C6A-4208-AC12-DBEAEB55395B}" type="TxLink">
              <a:rPr lang="en-US" sz="600" b="1" i="0" u="none" strike="noStrike">
                <a:solidFill>
                  <a:srgbClr val="444054"/>
                </a:solidFill>
                <a:latin typeface="Verdana"/>
                <a:ea typeface="Verdana"/>
              </a:rPr>
              <a:pPr/>
              <a:t>- No hay diferencias de rendimiento en el periodo seleccionado</a:t>
            </a:fld>
            <a:endParaRPr lang="es-VE" sz="900" b="1">
              <a:solidFill>
                <a:srgbClr val="444054"/>
              </a:solidFill>
            </a:endParaRPr>
          </a:p>
        </xdr:txBody>
      </xdr:sp>
      <xdr:sp macro="" textlink="">
        <xdr:nvSpPr>
          <xdr:cNvPr id="212" name="CuadroTexto 211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SpPr txBox="1"/>
        </xdr:nvSpPr>
        <xdr:spPr>
          <a:xfrm>
            <a:off x="2492158" y="9271155"/>
            <a:ext cx="3204449" cy="1890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VE" sz="8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 </a:t>
            </a:r>
            <a:r>
              <a:rPr lang="es-VE" sz="9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Recomendaciones de </a:t>
            </a:r>
            <a:r>
              <a:rPr lang="es-VE" sz="9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Criterios de Estrategia</a:t>
            </a:r>
            <a:endParaRPr lang="es-VE" sz="800" b="1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pic>
        <xdr:nvPicPr>
          <xdr:cNvPr id="40" name="Gráfico 39" descr="Lupa con relleno sólido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7"/>
              </a:ext>
            </a:extLst>
          </a:blip>
          <a:stretch>
            <a:fillRect/>
          </a:stretch>
        </xdr:blipFill>
        <xdr:spPr>
          <a:xfrm>
            <a:off x="5892464" y="9002111"/>
            <a:ext cx="518846" cy="522409"/>
          </a:xfrm>
          <a:prstGeom prst="rect">
            <a:avLst/>
          </a:prstGeom>
        </xdr:spPr>
      </xdr:pic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42" name="Gráfico 241">
                <a:extLst>
                  <a:ext uri="{FF2B5EF4-FFF2-40B4-BE49-F238E27FC236}">
                    <a16:creationId xmlns:a16="http://schemas.microsoft.com/office/drawing/2014/main" id="{00000000-0008-0000-0200-0000F2000000}"/>
                  </a:ext>
                </a:extLst>
              </xdr:cNvPr>
              <xdr:cNvGraphicFramePr/>
            </xdr:nvGraphicFramePr>
            <xdr:xfrm>
              <a:off x="2365828" y="6427076"/>
              <a:ext cx="4212000" cy="998483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38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2365828" y="6427076"/>
                <a:ext cx="4212000" cy="998483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VE" sz="1100"/>
                  <a:t>Este gráfico no está disponible en su versión de Excel.
Si edita esta forma o guarda el libro en un formato de archivo diferente, el gráfico no se podrá utilizar.</a:t>
                </a:r>
              </a:p>
            </xdr:txBody>
          </xdr:sp>
        </mc:Fallback>
      </mc:AlternateContent>
    </xdr:grpSp>
    <xdr:clientData/>
  </xdr:twoCellAnchor>
  <xdr:twoCellAnchor editAs="oneCell">
    <xdr:from>
      <xdr:col>9</xdr:col>
      <xdr:colOff>365760</xdr:colOff>
      <xdr:row>0</xdr:row>
      <xdr:rowOff>71470</xdr:rowOff>
    </xdr:from>
    <xdr:to>
      <xdr:col>10</xdr:col>
      <xdr:colOff>600064</xdr:colOff>
      <xdr:row>3</xdr:row>
      <xdr:rowOff>58311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47" name="BE Auto">
              <a:extLst>
                <a:ext uri="{FF2B5EF4-FFF2-40B4-BE49-F238E27FC236}">
                  <a16:creationId xmlns:a16="http://schemas.microsoft.com/office/drawing/2014/main" id="{00000000-0008-0000-0200-0000F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E A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1182" y="71470"/>
              <a:ext cx="1442345" cy="5319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oneCellAnchor>
    <xdr:from>
      <xdr:col>9</xdr:col>
      <xdr:colOff>236555</xdr:colOff>
      <xdr:row>0</xdr:row>
      <xdr:rowOff>113364</xdr:rowOff>
    </xdr:from>
    <xdr:ext cx="596565" cy="166632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SpPr txBox="1"/>
      </xdr:nvSpPr>
      <xdr:spPr>
        <a:xfrm>
          <a:off x="6891355" y="113364"/>
          <a:ext cx="596565" cy="166632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lang="es-VE" sz="500" b="1">
              <a:solidFill>
                <a:srgbClr val="AAADC4"/>
              </a:solidFill>
              <a:latin typeface="Verdana" panose="020B0604030504040204" pitchFamily="34" charset="0"/>
              <a:ea typeface="Verdana" panose="020B0604030504040204" pitchFamily="34" charset="0"/>
            </a:rPr>
            <a:t>●</a:t>
          </a:r>
          <a:r>
            <a:rPr lang="es-VE" sz="500" b="1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r>
            <a:rPr lang="es-VE" sz="500" b="1">
              <a:solidFill>
                <a:srgbClr val="D6EEFF"/>
              </a:solidFill>
              <a:latin typeface="Verdana" panose="020B0604030504040204" pitchFamily="34" charset="0"/>
              <a:ea typeface="Verdana" panose="020B0604030504040204" pitchFamily="34" charset="0"/>
            </a:rPr>
            <a:t>Filtro</a:t>
          </a:r>
          <a:r>
            <a:rPr lang="es-VE" sz="500" b="1" baseline="0">
              <a:solidFill>
                <a:srgbClr val="D6EEFF"/>
              </a:solidFill>
              <a:latin typeface="Verdana" panose="020B0604030504040204" pitchFamily="34" charset="0"/>
              <a:ea typeface="Verdana" panose="020B0604030504040204" pitchFamily="34" charset="0"/>
            </a:rPr>
            <a:t> por Resultado</a:t>
          </a:r>
          <a:endParaRPr lang="es-VE" sz="500" b="1">
            <a:solidFill>
              <a:srgbClr val="D6EEFF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oneCellAnchor>
  <xdr:twoCellAnchor>
    <xdr:from>
      <xdr:col>5</xdr:col>
      <xdr:colOff>745980</xdr:colOff>
      <xdr:row>0</xdr:row>
      <xdr:rowOff>60960</xdr:rowOff>
    </xdr:from>
    <xdr:to>
      <xdr:col>6</xdr:col>
      <xdr:colOff>612124</xdr:colOff>
      <xdr:row>1</xdr:row>
      <xdr:rowOff>58080</xdr:rowOff>
    </xdr:to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SpPr txBox="1"/>
      </xdr:nvSpPr>
      <xdr:spPr>
        <a:xfrm>
          <a:off x="4169900" y="60960"/>
          <a:ext cx="673864" cy="180000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lang="es-VE" sz="500" b="1">
              <a:solidFill>
                <a:srgbClr val="AAADC4"/>
              </a:solidFill>
              <a:latin typeface="Verdana" panose="020B0604030504040204" pitchFamily="34" charset="0"/>
              <a:ea typeface="Verdana" panose="020B0604030504040204" pitchFamily="34" charset="0"/>
            </a:rPr>
            <a:t>●</a:t>
          </a:r>
          <a:r>
            <a:rPr lang="es-VE" sz="500" b="1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r>
            <a:rPr lang="es-VE" sz="500" b="1">
              <a:solidFill>
                <a:srgbClr val="D6EEFF"/>
              </a:solidFill>
              <a:latin typeface="Verdana" panose="020B0604030504040204" pitchFamily="34" charset="0"/>
              <a:ea typeface="Verdana" panose="020B0604030504040204" pitchFamily="34" charset="0"/>
            </a:rPr>
            <a:t>Filtro</a:t>
          </a:r>
          <a:r>
            <a:rPr lang="es-VE" sz="500" b="1" baseline="0">
              <a:solidFill>
                <a:srgbClr val="D6EEFF"/>
              </a:solidFill>
              <a:latin typeface="Verdana" panose="020B0604030504040204" pitchFamily="34" charset="0"/>
              <a:ea typeface="Verdana" panose="020B0604030504040204" pitchFamily="34" charset="0"/>
            </a:rPr>
            <a:t> por Mes</a:t>
          </a:r>
          <a:endParaRPr lang="es-VE" sz="500" b="1">
            <a:solidFill>
              <a:srgbClr val="D6EEFF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6</xdr:col>
      <xdr:colOff>420231</xdr:colOff>
      <xdr:row>7</xdr:row>
      <xdr:rowOff>0</xdr:rowOff>
    </xdr:from>
    <xdr:to>
      <xdr:col>8</xdr:col>
      <xdr:colOff>745775</xdr:colOff>
      <xdr:row>13</xdr:row>
      <xdr:rowOff>97200</xdr:rowOff>
    </xdr:to>
    <xdr:grpSp>
      <xdr:nvGrpSpPr>
        <xdr:cNvPr id="33" name="Grupo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GrpSpPr/>
      </xdr:nvGrpSpPr>
      <xdr:grpSpPr>
        <a:xfrm>
          <a:off x="4651871" y="1280160"/>
          <a:ext cx="1940984" cy="1194480"/>
          <a:chOff x="4651871" y="1280160"/>
          <a:chExt cx="1940984" cy="1194480"/>
        </a:xfrm>
      </xdr:grpSpPr>
      <xdr:sp macro="" textlink="">
        <xdr:nvSpPr>
          <xdr:cNvPr id="99" name="Rectángulo: esquinas redondeadas 98">
            <a:extLst>
              <a:ext uri="{FF2B5EF4-FFF2-40B4-BE49-F238E27FC236}">
                <a16:creationId xmlns:a16="http://schemas.microsoft.com/office/drawing/2014/main" id="{00000000-0008-0000-0200-000063000000}"/>
              </a:ext>
            </a:extLst>
          </xdr:cNvPr>
          <xdr:cNvSpPr>
            <a:spLocks/>
          </xdr:cNvSpPr>
        </xdr:nvSpPr>
        <xdr:spPr>
          <a:xfrm>
            <a:off x="4651871" y="1286640"/>
            <a:ext cx="1940984" cy="1188000"/>
          </a:xfrm>
          <a:prstGeom prst="roundRect">
            <a:avLst>
              <a:gd name="adj" fmla="val 7854"/>
            </a:avLst>
          </a:prstGeom>
          <a:solidFill>
            <a:srgbClr val="D6EE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sp macro="" textlink="">
        <xdr:nvSpPr>
          <xdr:cNvPr id="100" name="CuadroTexto 99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SpPr txBox="1"/>
        </xdr:nvSpPr>
        <xdr:spPr>
          <a:xfrm>
            <a:off x="4659457" y="1289742"/>
            <a:ext cx="1141903" cy="3714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VE" sz="700" b="1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●</a:t>
            </a:r>
            <a:r>
              <a:rPr lang="es-VE" sz="700" b="1"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7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Cumplimiento con la Estrategia</a:t>
            </a:r>
          </a:p>
        </xdr:txBody>
      </xdr:sp>
      <xdr:pic>
        <xdr:nvPicPr>
          <xdr:cNvPr id="29" name="Gráfico 28" descr="Lista de comprobación con relleno sólido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9"/>
              </a:ext>
            </a:extLst>
          </a:blip>
          <a:stretch>
            <a:fillRect/>
          </a:stretch>
        </xdr:blipFill>
        <xdr:spPr>
          <a:xfrm>
            <a:off x="4744720" y="1661160"/>
            <a:ext cx="492760" cy="492760"/>
          </a:xfrm>
          <a:prstGeom prst="rect">
            <a:avLst/>
          </a:prstGeom>
        </xdr:spPr>
      </xdr:pic>
      <xdr:grpSp>
        <xdr:nvGrpSpPr>
          <xdr:cNvPr id="32" name="Grupo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GrpSpPr/>
        </xdr:nvGrpSpPr>
        <xdr:grpSpPr>
          <a:xfrm>
            <a:off x="5400039" y="1280160"/>
            <a:ext cx="1188000" cy="1188000"/>
            <a:chOff x="5400039" y="1280160"/>
            <a:chExt cx="1188000" cy="1188000"/>
          </a:xfrm>
        </xdr:grpSpPr>
        <xdr:graphicFrame macro="">
          <xdr:nvGraphicFramePr>
            <xdr:cNvPr id="272" name="Gráfico 271">
              <a:extLst>
                <a:ext uri="{FF2B5EF4-FFF2-40B4-BE49-F238E27FC236}">
                  <a16:creationId xmlns:a16="http://schemas.microsoft.com/office/drawing/2014/main" id="{00000000-0008-0000-0200-000010010000}"/>
                </a:ext>
              </a:extLst>
            </xdr:cNvPr>
            <xdr:cNvGraphicFramePr>
              <a:graphicFrameLocks/>
            </xdr:cNvGraphicFramePr>
          </xdr:nvGraphicFramePr>
          <xdr:xfrm>
            <a:off x="5400039" y="1280160"/>
            <a:ext cx="1188000" cy="1188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0"/>
            </a:graphicData>
          </a:graphic>
        </xdr:graphicFrame>
        <xdr:sp macro="" textlink="Dinamics!AQ9">
          <xdr:nvSpPr>
            <xdr:cNvPr id="275" name="CuadroTexto 274">
              <a:extLst>
                <a:ext uri="{FF2B5EF4-FFF2-40B4-BE49-F238E27FC236}">
                  <a16:creationId xmlns:a16="http://schemas.microsoft.com/office/drawing/2014/main" id="{00000000-0008-0000-0200-000013010000}"/>
                </a:ext>
              </a:extLst>
            </xdr:cNvPr>
            <xdr:cNvSpPr txBox="1"/>
          </xdr:nvSpPr>
          <xdr:spPr>
            <a:xfrm>
              <a:off x="5634039" y="1735303"/>
              <a:ext cx="720000" cy="27771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47C15532-AFA1-4750-ACBA-8DE6FEA8B8FE}" type="TxLink">
                <a:rPr lang="en-US" sz="1400" b="1" i="0" u="none" strike="noStrike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Calibri"/>
                </a:rPr>
                <a:pPr algn="ctr"/>
                <a:t>88%</a:t>
              </a:fld>
              <a:endParaRPr lang="es-VE" sz="1800" b="1">
                <a:solidFill>
                  <a:srgbClr val="444054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</xdr:grpSp>
    <xdr:clientData/>
  </xdr:twoCellAnchor>
  <xdr:twoCellAnchor>
    <xdr:from>
      <xdr:col>6</xdr:col>
      <xdr:colOff>413952</xdr:colOff>
      <xdr:row>23</xdr:row>
      <xdr:rowOff>11179</xdr:rowOff>
    </xdr:from>
    <xdr:to>
      <xdr:col>8</xdr:col>
      <xdr:colOff>739359</xdr:colOff>
      <xdr:row>31</xdr:row>
      <xdr:rowOff>158680</xdr:rowOff>
    </xdr:to>
    <xdr:sp macro="" textlink="">
      <xdr:nvSpPr>
        <xdr:cNvPr id="245" name="Rectángulo: esquinas redondeadas 244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SpPr/>
      </xdr:nvSpPr>
      <xdr:spPr>
        <a:xfrm>
          <a:off x="4649621" y="4241593"/>
          <a:ext cx="1944000" cy="1618949"/>
        </a:xfrm>
        <a:prstGeom prst="roundRect">
          <a:avLst>
            <a:gd name="adj" fmla="val 5846"/>
          </a:avLst>
        </a:prstGeom>
        <a:solidFill>
          <a:srgbClr val="D6EE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6</xdr:col>
      <xdr:colOff>425669</xdr:colOff>
      <xdr:row>24</xdr:row>
      <xdr:rowOff>99848</xdr:rowOff>
    </xdr:from>
    <xdr:to>
      <xdr:col>8</xdr:col>
      <xdr:colOff>735724</xdr:colOff>
      <xdr:row>31</xdr:row>
      <xdr:rowOff>152400</xdr:rowOff>
    </xdr:to>
    <xdr:graphicFrame macro="">
      <xdr:nvGraphicFramePr>
        <xdr:cNvPr id="244" name="Gráfico 243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6</xdr:col>
      <xdr:colOff>454095</xdr:colOff>
      <xdr:row>23</xdr:row>
      <xdr:rowOff>70626</xdr:rowOff>
    </xdr:from>
    <xdr:to>
      <xdr:col>8</xdr:col>
      <xdr:colOff>96945</xdr:colOff>
      <xdr:row>24</xdr:row>
      <xdr:rowOff>67746</xdr:rowOff>
    </xdr:to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 txBox="1"/>
      </xdr:nvSpPr>
      <xdr:spPr>
        <a:xfrm>
          <a:off x="4689764" y="4301040"/>
          <a:ext cx="1261443" cy="181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VE" sz="700" b="1">
              <a:solidFill>
                <a:srgbClr val="1F7A8C"/>
              </a:solidFill>
              <a:latin typeface="Verdana" panose="020B0604030504040204" pitchFamily="34" charset="0"/>
              <a:ea typeface="Verdana" panose="020B0604030504040204" pitchFamily="34" charset="0"/>
            </a:rPr>
            <a:t>●</a:t>
          </a:r>
          <a:r>
            <a:rPr lang="es-VE" sz="700" b="1"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r>
            <a:rPr lang="es-VE" sz="700" b="1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rPr>
            <a:t>Rentabilidad</a:t>
          </a:r>
        </a:p>
      </xdr:txBody>
    </xdr:sp>
    <xdr:clientData/>
  </xdr:twoCellAnchor>
  <xdr:twoCellAnchor>
    <xdr:from>
      <xdr:col>6</xdr:col>
      <xdr:colOff>454094</xdr:colOff>
      <xdr:row>24</xdr:row>
      <xdr:rowOff>5255</xdr:rowOff>
    </xdr:from>
    <xdr:to>
      <xdr:col>7</xdr:col>
      <xdr:colOff>725212</xdr:colOff>
      <xdr:row>24</xdr:row>
      <xdr:rowOff>158556</xdr:rowOff>
    </xdr:to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SpPr txBox="1"/>
      </xdr:nvSpPr>
      <xdr:spPr>
        <a:xfrm>
          <a:off x="4689763" y="4419600"/>
          <a:ext cx="1080415" cy="153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VE" sz="600">
              <a:solidFill>
                <a:srgbClr val="1F7A8C"/>
              </a:solidFill>
              <a:latin typeface="Verdana" panose="020B0604030504040204" pitchFamily="34" charset="0"/>
              <a:ea typeface="Verdana" panose="020B0604030504040204" pitchFamily="34" charset="0"/>
            </a:rPr>
            <a:t>Por</a:t>
          </a:r>
          <a:r>
            <a:rPr lang="es-VE" sz="600" baseline="0">
              <a:solidFill>
                <a:srgbClr val="1F7A8C"/>
              </a:solidFill>
              <a:latin typeface="Verdana" panose="020B0604030504040204" pitchFamily="34" charset="0"/>
              <a:ea typeface="Verdana" panose="020B0604030504040204" pitchFamily="34" charset="0"/>
            </a:rPr>
            <a:t> Horas del Dia</a:t>
          </a:r>
          <a:endParaRPr lang="es-VE" sz="600">
            <a:solidFill>
              <a:srgbClr val="1F7A8C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5</xdr:col>
      <xdr:colOff>726440</xdr:colOff>
      <xdr:row>3</xdr:row>
      <xdr:rowOff>147320</xdr:rowOff>
    </xdr:from>
    <xdr:to>
      <xdr:col>10</xdr:col>
      <xdr:colOff>518160</xdr:colOff>
      <xdr:row>6</xdr:row>
      <xdr:rowOff>157480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7" name="Activo 1">
              <a:extLst>
                <a:ext uri="{FF2B5EF4-FFF2-40B4-BE49-F238E27FC236}">
                  <a16:creationId xmlns:a16="http://schemas.microsoft.com/office/drawing/2014/main" id="{00000000-0008-0000-0200-0000E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ctiv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50360" y="695960"/>
              <a:ext cx="3830320" cy="55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5</xdr:col>
      <xdr:colOff>745980</xdr:colOff>
      <xdr:row>3</xdr:row>
      <xdr:rowOff>111760</xdr:rowOff>
    </xdr:from>
    <xdr:to>
      <xdr:col>6</xdr:col>
      <xdr:colOff>612124</xdr:colOff>
      <xdr:row>4</xdr:row>
      <xdr:rowOff>108880</xdr:rowOff>
    </xdr:to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 txBox="1"/>
      </xdr:nvSpPr>
      <xdr:spPr>
        <a:xfrm>
          <a:off x="4169900" y="660400"/>
          <a:ext cx="673864" cy="180000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lang="es-VE" sz="500" b="1">
              <a:solidFill>
                <a:srgbClr val="AAADC4"/>
              </a:solidFill>
              <a:latin typeface="Verdana" panose="020B0604030504040204" pitchFamily="34" charset="0"/>
              <a:ea typeface="Verdana" panose="020B0604030504040204" pitchFamily="34" charset="0"/>
            </a:rPr>
            <a:t>●</a:t>
          </a:r>
          <a:r>
            <a:rPr lang="es-VE" sz="500" b="1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r>
            <a:rPr lang="es-VE" sz="500" b="1">
              <a:solidFill>
                <a:srgbClr val="D6EEFF"/>
              </a:solidFill>
              <a:latin typeface="Verdana" panose="020B0604030504040204" pitchFamily="34" charset="0"/>
              <a:ea typeface="Verdana" panose="020B0604030504040204" pitchFamily="34" charset="0"/>
            </a:rPr>
            <a:t>Filtro</a:t>
          </a:r>
          <a:r>
            <a:rPr lang="es-VE" sz="500" b="1" baseline="0">
              <a:solidFill>
                <a:srgbClr val="D6EEFF"/>
              </a:solidFill>
              <a:latin typeface="Verdana" panose="020B0604030504040204" pitchFamily="34" charset="0"/>
              <a:ea typeface="Verdana" panose="020B0604030504040204" pitchFamily="34" charset="0"/>
            </a:rPr>
            <a:t> por Activo</a:t>
          </a:r>
          <a:endParaRPr lang="es-VE" sz="500" b="1">
            <a:solidFill>
              <a:srgbClr val="D6EEFF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10</xdr:col>
      <xdr:colOff>675640</xdr:colOff>
      <xdr:row>4</xdr:row>
      <xdr:rowOff>15240</xdr:rowOff>
    </xdr:from>
    <xdr:to>
      <xdr:col>13</xdr:col>
      <xdr:colOff>177800</xdr:colOff>
      <xdr:row>6</xdr:row>
      <xdr:rowOff>139369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8" name="Año 1">
              <a:extLst>
                <a:ext uri="{FF2B5EF4-FFF2-40B4-BE49-F238E27FC236}">
                  <a16:creationId xmlns:a16="http://schemas.microsoft.com/office/drawing/2014/main" id="{00000000-0008-0000-0200-0000E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38160" y="746760"/>
              <a:ext cx="1310640" cy="4898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oneCellAnchor>
    <xdr:from>
      <xdr:col>10</xdr:col>
      <xdr:colOff>617555</xdr:colOff>
      <xdr:row>4</xdr:row>
      <xdr:rowOff>32084</xdr:rowOff>
    </xdr:from>
    <xdr:ext cx="596565" cy="166632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SpPr txBox="1"/>
      </xdr:nvSpPr>
      <xdr:spPr>
        <a:xfrm>
          <a:off x="8080075" y="763604"/>
          <a:ext cx="596565" cy="166632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lang="es-VE" sz="500" b="1">
              <a:solidFill>
                <a:srgbClr val="AAADC4"/>
              </a:solidFill>
              <a:latin typeface="Verdana" panose="020B0604030504040204" pitchFamily="34" charset="0"/>
              <a:ea typeface="Verdana" panose="020B0604030504040204" pitchFamily="34" charset="0"/>
            </a:rPr>
            <a:t>●</a:t>
          </a:r>
          <a:r>
            <a:rPr lang="es-VE" sz="500" b="1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r>
            <a:rPr lang="es-VE" sz="500" b="1">
              <a:solidFill>
                <a:srgbClr val="D6EEFF"/>
              </a:solidFill>
              <a:latin typeface="Verdana" panose="020B0604030504040204" pitchFamily="34" charset="0"/>
              <a:ea typeface="Verdana" panose="020B0604030504040204" pitchFamily="34" charset="0"/>
            </a:rPr>
            <a:t>Filtro</a:t>
          </a:r>
          <a:r>
            <a:rPr lang="es-VE" sz="500" b="1" baseline="0">
              <a:solidFill>
                <a:srgbClr val="D6EEFF"/>
              </a:solidFill>
              <a:latin typeface="Verdana" panose="020B0604030504040204" pitchFamily="34" charset="0"/>
              <a:ea typeface="Verdana" panose="020B0604030504040204" pitchFamily="34" charset="0"/>
            </a:rPr>
            <a:t> por Año</a:t>
          </a:r>
          <a:endParaRPr lang="es-VE" sz="500" b="1">
            <a:solidFill>
              <a:srgbClr val="D6EEFF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oneCellAnchor>
  <xdr:twoCellAnchor>
    <xdr:from>
      <xdr:col>6</xdr:col>
      <xdr:colOff>411480</xdr:colOff>
      <xdr:row>13</xdr:row>
      <xdr:rowOff>159200</xdr:rowOff>
    </xdr:from>
    <xdr:to>
      <xdr:col>9</xdr:col>
      <xdr:colOff>163215</xdr:colOff>
      <xdr:row>22</xdr:row>
      <xdr:rowOff>133280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4643120" y="2536640"/>
          <a:ext cx="2174895" cy="1620000"/>
          <a:chOff x="4643120" y="2536640"/>
          <a:chExt cx="2174895" cy="1620000"/>
        </a:xfrm>
      </xdr:grpSpPr>
      <xdr:sp macro="" textlink="">
        <xdr:nvSpPr>
          <xdr:cNvPr id="16" name="Rectángulo: esquinas redondeadas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4648855" y="2536640"/>
            <a:ext cx="1944000" cy="1620000"/>
          </a:xfrm>
          <a:prstGeom prst="roundRect">
            <a:avLst>
              <a:gd name="adj" fmla="val 5846"/>
            </a:avLst>
          </a:prstGeom>
          <a:solidFill>
            <a:srgbClr val="D6EE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VE" sz="1100"/>
          </a:p>
        </xdr:txBody>
      </xdr:sp>
      <xdr:grpSp>
        <xdr:nvGrpSpPr>
          <xdr:cNvPr id="276" name="Grupo 275">
            <a:extLst>
              <a:ext uri="{FF2B5EF4-FFF2-40B4-BE49-F238E27FC236}">
                <a16:creationId xmlns:a16="http://schemas.microsoft.com/office/drawing/2014/main" id="{00000000-0008-0000-0200-000014010000}"/>
              </a:ext>
            </a:extLst>
          </xdr:cNvPr>
          <xdr:cNvGrpSpPr/>
        </xdr:nvGrpSpPr>
        <xdr:grpSpPr>
          <a:xfrm>
            <a:off x="4694575" y="2577280"/>
            <a:ext cx="2123440" cy="185080"/>
            <a:chOff x="2418080" y="1271440"/>
            <a:chExt cx="2123440" cy="185080"/>
          </a:xfrm>
        </xdr:grpSpPr>
        <xdr:sp macro="" textlink="">
          <xdr:nvSpPr>
            <xdr:cNvPr id="277" name="CuadroTexto 276">
              <a:extLst>
                <a:ext uri="{FF2B5EF4-FFF2-40B4-BE49-F238E27FC236}">
                  <a16:creationId xmlns:a16="http://schemas.microsoft.com/office/drawing/2014/main" id="{00000000-0008-0000-0200-000015010000}"/>
                </a:ext>
              </a:extLst>
            </xdr:cNvPr>
            <xdr:cNvSpPr txBox="1"/>
          </xdr:nvSpPr>
          <xdr:spPr>
            <a:xfrm>
              <a:off x="2418080" y="1276520"/>
              <a:ext cx="1102360" cy="180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VE" sz="800" b="1">
                  <a:solidFill>
                    <a:srgbClr val="1F7A8C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●</a:t>
              </a:r>
              <a:r>
                <a:rPr lang="es-VE" sz="800" b="1">
                  <a:latin typeface="Verdana" panose="020B0604030504040204" pitchFamily="34" charset="0"/>
                  <a:ea typeface="Verdana" panose="020B0604030504040204" pitchFamily="34" charset="0"/>
                </a:rPr>
                <a:t> </a:t>
              </a:r>
              <a:r>
                <a:rPr lang="es-VE" sz="800" b="1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Rentabilidad</a:t>
              </a:r>
            </a:p>
          </xdr:txBody>
        </xdr:sp>
        <xdr:sp macro="" textlink="">
          <xdr:nvSpPr>
            <xdr:cNvPr id="278" name="CuadroTexto 277">
              <a:extLst>
                <a:ext uri="{FF2B5EF4-FFF2-40B4-BE49-F238E27FC236}">
                  <a16:creationId xmlns:a16="http://schemas.microsoft.com/office/drawing/2014/main" id="{00000000-0008-0000-0200-000016010000}"/>
                </a:ext>
              </a:extLst>
            </xdr:cNvPr>
            <xdr:cNvSpPr txBox="1"/>
          </xdr:nvSpPr>
          <xdr:spPr>
            <a:xfrm>
              <a:off x="3302000" y="1271440"/>
              <a:ext cx="1239520" cy="180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VE" sz="600">
                  <a:solidFill>
                    <a:srgbClr val="444054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Por</a:t>
              </a:r>
              <a:r>
                <a:rPr lang="es-VE" sz="600" baseline="0">
                  <a:latin typeface="Verdana" panose="020B0604030504040204" pitchFamily="34" charset="0"/>
                  <a:ea typeface="Verdana" panose="020B0604030504040204" pitchFamily="34" charset="0"/>
                </a:rPr>
                <a:t> </a:t>
              </a:r>
              <a:r>
                <a:rPr lang="es-VE" sz="600" baseline="0">
                  <a:solidFill>
                    <a:srgbClr val="1F7A8C"/>
                  </a:solidFill>
                  <a:latin typeface="Verdana" panose="020B0604030504040204" pitchFamily="34" charset="0"/>
                  <a:ea typeface="Verdana" panose="020B0604030504040204" pitchFamily="34" charset="0"/>
                </a:rPr>
                <a:t>Dia de la Semana</a:t>
              </a:r>
              <a:endParaRPr lang="es-VE" sz="600">
                <a:solidFill>
                  <a:srgbClr val="1F7A8C"/>
                </a:solidFill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  <xdr:graphicFrame macro="">
        <xdr:nvGraphicFramePr>
          <xdr:cNvPr id="266" name="Gráfico 265">
            <a:extLst>
              <a:ext uri="{FF2B5EF4-FFF2-40B4-BE49-F238E27FC236}">
                <a16:creationId xmlns:a16="http://schemas.microsoft.com/office/drawing/2014/main" id="{00000000-0008-0000-0200-00000A010000}"/>
              </a:ext>
            </a:extLst>
          </xdr:cNvPr>
          <xdr:cNvGraphicFramePr>
            <a:graphicFrameLocks/>
          </xdr:cNvGraphicFramePr>
        </xdr:nvGraphicFramePr>
        <xdr:xfrm>
          <a:off x="4643120" y="2773680"/>
          <a:ext cx="1944000" cy="1371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2"/>
          </a:graphicData>
        </a:graphic>
      </xdr:graphicFrame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104138</xdr:colOff>
      <xdr:row>8</xdr:row>
      <xdr:rowOff>185420</xdr:rowOff>
    </xdr:from>
    <xdr:to>
      <xdr:col>4</xdr:col>
      <xdr:colOff>380471</xdr:colOff>
      <xdr:row>12</xdr:row>
      <xdr:rowOff>29120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104138" y="2166620"/>
          <a:ext cx="2520000" cy="724233"/>
          <a:chOff x="53340" y="1404620"/>
          <a:chExt cx="2283460" cy="724233"/>
        </a:xfrm>
      </xdr:grpSpPr>
      <xdr:sp macro="" textlink="">
        <xdr:nvSpPr>
          <xdr:cNvPr id="7" name="Rectángulo: esquinas redondeadas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53340" y="1404620"/>
            <a:ext cx="2283460" cy="724233"/>
          </a:xfrm>
          <a:prstGeom prst="roundRect">
            <a:avLst>
              <a:gd name="adj" fmla="val 7193"/>
            </a:avLst>
          </a:prstGeom>
          <a:solidFill>
            <a:srgbClr val="1F7A8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Ins="432000" rtlCol="0" anchor="t"/>
          <a:lstStyle/>
          <a:p>
            <a:pPr algn="l"/>
            <a:r>
              <a:rPr lang="es-VE" sz="1100" b="1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Ingrese a continuacion año y mes a filtrar</a:t>
            </a:r>
          </a:p>
        </xdr:txBody>
      </xdr:sp>
      <xdr:pic>
        <xdr:nvPicPr>
          <xdr:cNvPr id="4" name="Gráfico 3" descr="Signo de exclamación con relleno sóli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688800" y="1441596"/>
            <a:ext cx="648000" cy="65028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104138</xdr:colOff>
      <xdr:row>17</xdr:row>
      <xdr:rowOff>135463</xdr:rowOff>
    </xdr:from>
    <xdr:to>
      <xdr:col>4</xdr:col>
      <xdr:colOff>380471</xdr:colOff>
      <xdr:row>26</xdr:row>
      <xdr:rowOff>33863</xdr:rowOff>
    </xdr:to>
    <xdr:grpSp>
      <xdr:nvGrpSpPr>
        <xdr:cNvPr id="29" name="Grupo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GrpSpPr/>
      </xdr:nvGrpSpPr>
      <xdr:grpSpPr>
        <a:xfrm>
          <a:off x="104138" y="4106330"/>
          <a:ext cx="2520000" cy="1888066"/>
          <a:chOff x="154939" y="3547532"/>
          <a:chExt cx="2520000" cy="1888067"/>
        </a:xfrm>
      </xdr:grpSpPr>
      <xdr:sp macro="" textlink="">
        <xdr:nvSpPr>
          <xdr:cNvPr id="16" name="Rectángulo: esquinas redondeadas 15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/>
        </xdr:nvSpPr>
        <xdr:spPr>
          <a:xfrm>
            <a:off x="154939" y="3547532"/>
            <a:ext cx="2520000" cy="1888067"/>
          </a:xfrm>
          <a:prstGeom prst="roundRect">
            <a:avLst>
              <a:gd name="adj" fmla="val 7193"/>
            </a:avLst>
          </a:prstGeom>
          <a:solidFill>
            <a:srgbClr val="AAADC4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rIns="432000" rtlCol="0" anchor="t"/>
          <a:lstStyle/>
          <a:p>
            <a:pPr algn="l"/>
            <a:endParaRPr lang="es-VE" sz="1100" b="1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pic>
        <xdr:nvPicPr>
          <xdr:cNvPr id="14" name="Imagen 13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7066" y="4190998"/>
            <a:ext cx="1168468" cy="105756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" name="CuadroTexto 17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 txBox="1"/>
        </xdr:nvSpPr>
        <xdr:spPr>
          <a:xfrm>
            <a:off x="1515532" y="4359782"/>
            <a:ext cx="1080000" cy="720000"/>
          </a:xfrm>
          <a:prstGeom prst="rect">
            <a:avLst/>
          </a:prstGeom>
          <a:solidFill>
            <a:srgbClr val="444054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VE" sz="1000" b="1" i="0" u="none" strike="noStrike">
                <a:solidFill>
                  <a:schemeClr val="bg1"/>
                </a:solidFill>
                <a:effectLst/>
                <a:latin typeface="Verdana" panose="020B0604030504040204" pitchFamily="34" charset="0"/>
                <a:ea typeface="Verdana" panose="020B0604030504040204" pitchFamily="34" charset="0"/>
                <a:cs typeface="+mn-cs"/>
              </a:rPr>
              <a:t>1. Fecha</a:t>
            </a:r>
            <a:r>
              <a:rPr lang="es-VE" sz="1000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</a:p>
          <a:p>
            <a:r>
              <a:rPr lang="es-VE" sz="1000" b="1" i="0" u="none" strike="noStrike">
                <a:solidFill>
                  <a:schemeClr val="bg1"/>
                </a:solidFill>
                <a:effectLst/>
                <a:latin typeface="Verdana" panose="020B0604030504040204" pitchFamily="34" charset="0"/>
                <a:ea typeface="Verdana" panose="020B0604030504040204" pitchFamily="34" charset="0"/>
                <a:cs typeface="+mn-cs"/>
              </a:rPr>
              <a:t>2. # de Ops</a:t>
            </a:r>
            <a:r>
              <a:rPr lang="es-VE" sz="1000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</a:p>
          <a:p>
            <a:r>
              <a:rPr lang="es-VE" sz="1000" b="1" i="0" u="none" strike="noStrike">
                <a:solidFill>
                  <a:schemeClr val="bg1"/>
                </a:solidFill>
                <a:effectLst/>
                <a:latin typeface="Verdana" panose="020B0604030504040204" pitchFamily="34" charset="0"/>
                <a:ea typeface="Verdana" panose="020B0604030504040204" pitchFamily="34" charset="0"/>
                <a:cs typeface="+mn-cs"/>
              </a:rPr>
              <a:t>3. Resultado</a:t>
            </a:r>
            <a:r>
              <a:rPr lang="es-VE" sz="1000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</a:p>
          <a:p>
            <a:r>
              <a:rPr lang="es-VE" sz="1000" b="1" i="0" u="none" strike="noStrike">
                <a:solidFill>
                  <a:schemeClr val="bg1"/>
                </a:solidFill>
                <a:effectLst/>
                <a:latin typeface="Verdana" panose="020B0604030504040204" pitchFamily="34" charset="0"/>
                <a:ea typeface="Verdana" panose="020B0604030504040204" pitchFamily="34" charset="0"/>
                <a:cs typeface="+mn-cs"/>
              </a:rPr>
              <a:t>4. Win Rate</a:t>
            </a:r>
            <a:r>
              <a:rPr lang="es-VE" sz="1000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</a:p>
        </xdr:txBody>
      </xdr:sp>
      <xdr:sp macro="" textlink="">
        <xdr:nvSpPr>
          <xdr:cNvPr id="19" name="CuadroTexto 18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 txBox="1"/>
        </xdr:nvSpPr>
        <xdr:spPr>
          <a:xfrm>
            <a:off x="154939" y="3547532"/>
            <a:ext cx="2520000" cy="36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VE" sz="1400" b="1" i="0" u="none" strike="noStrike">
                <a:solidFill>
                  <a:srgbClr val="444054"/>
                </a:solidFill>
                <a:effectLst/>
                <a:latin typeface="Verdana" panose="020B0604030504040204" pitchFamily="34" charset="0"/>
                <a:ea typeface="Verdana" panose="020B0604030504040204" pitchFamily="34" charset="0"/>
                <a:cs typeface="+mn-cs"/>
              </a:rPr>
              <a:t>Formato</a:t>
            </a:r>
            <a:r>
              <a:rPr lang="es-VE" sz="1400" b="1" i="0" u="none" strike="noStrike" baseline="0">
                <a:solidFill>
                  <a:srgbClr val="444054"/>
                </a:solidFill>
                <a:effectLst/>
                <a:latin typeface="Verdana" panose="020B0604030504040204" pitchFamily="34" charset="0"/>
                <a:ea typeface="Verdana" panose="020B0604030504040204" pitchFamily="34" charset="0"/>
                <a:cs typeface="+mn-cs"/>
              </a:rPr>
              <a:t> de Datos</a:t>
            </a:r>
            <a:endParaRPr lang="es-VE" sz="1400">
              <a:solidFill>
                <a:srgbClr val="444054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cxnSp macro="">
        <xdr:nvCxnSpPr>
          <xdr:cNvPr id="28" name="Conector recto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CxnSpPr/>
        </xdr:nvCxnSpPr>
        <xdr:spPr>
          <a:xfrm>
            <a:off x="154939" y="3894662"/>
            <a:ext cx="2520000" cy="0"/>
          </a:xfrm>
          <a:prstGeom prst="line">
            <a:avLst/>
          </a:prstGeom>
          <a:ln w="28575">
            <a:solidFill>
              <a:srgbClr val="1F7A8C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11</xdr:col>
      <xdr:colOff>753531</xdr:colOff>
      <xdr:row>0</xdr:row>
      <xdr:rowOff>127005</xdr:rowOff>
    </xdr:from>
    <xdr:to>
      <xdr:col>13</xdr:col>
      <xdr:colOff>1562737</xdr:colOff>
      <xdr:row>4</xdr:row>
      <xdr:rowOff>287288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892" b="14293"/>
        <a:stretch/>
      </xdr:blipFill>
      <xdr:spPr>
        <a:xfrm>
          <a:off x="12107331" y="127005"/>
          <a:ext cx="2527939" cy="1006950"/>
        </a:xfrm>
        <a:prstGeom prst="roundRect">
          <a:avLst>
            <a:gd name="adj" fmla="val 5892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127005</xdr:colOff>
      <xdr:row>0</xdr:row>
      <xdr:rowOff>127005</xdr:rowOff>
    </xdr:from>
    <xdr:to>
      <xdr:col>5</xdr:col>
      <xdr:colOff>897472</xdr:colOff>
      <xdr:row>5</xdr:row>
      <xdr:rowOff>14794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731" b="24384"/>
        <a:stretch/>
      </xdr:blipFill>
      <xdr:spPr>
        <a:xfrm>
          <a:off x="127005" y="127005"/>
          <a:ext cx="3589867" cy="1047722"/>
        </a:xfrm>
        <a:prstGeom prst="roundRect">
          <a:avLst>
            <a:gd name="adj" fmla="val 9690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6</xdr:col>
      <xdr:colOff>376769</xdr:colOff>
      <xdr:row>1</xdr:row>
      <xdr:rowOff>165100</xdr:rowOff>
    </xdr:from>
    <xdr:to>
      <xdr:col>10</xdr:col>
      <xdr:colOff>1274235</xdr:colOff>
      <xdr:row>4</xdr:row>
      <xdr:rowOff>288233</xdr:rowOff>
    </xdr:to>
    <xdr:grpSp>
      <xdr:nvGrpSpPr>
        <xdr:cNvPr id="32" name="Grupo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GrpSpPr/>
      </xdr:nvGrpSpPr>
      <xdr:grpSpPr>
        <a:xfrm>
          <a:off x="4618569" y="342900"/>
          <a:ext cx="6587066" cy="792000"/>
          <a:chOff x="4588934" y="495300"/>
          <a:chExt cx="6587066" cy="792000"/>
        </a:xfrm>
      </xdr:grpSpPr>
      <xdr:sp macro="" textlink="">
        <xdr:nvSpPr>
          <xdr:cNvPr id="10" name="Rectángulo: esquinas redondeadas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>
            <a:off x="4588934" y="495300"/>
            <a:ext cx="6587066" cy="792000"/>
          </a:xfrm>
          <a:prstGeom prst="roundRect">
            <a:avLst>
              <a:gd name="adj" fmla="val 7193"/>
            </a:avLst>
          </a:prstGeom>
          <a:solidFill>
            <a:srgbClr val="1F7A8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rIns="612000" rtlCol="0" anchor="ctr"/>
          <a:lstStyle/>
          <a:p>
            <a:pPr algn="ctr"/>
            <a:r>
              <a:rPr lang="es-VE" sz="2800" b="1">
                <a:solidFill>
                  <a:srgbClr val="CDCFDD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CALENDARIO</a:t>
            </a:r>
            <a:r>
              <a:rPr lang="es-VE" sz="2400" b="1">
                <a:solidFill>
                  <a:srgbClr val="CDCFDD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</a:t>
            </a:r>
            <a:r>
              <a:rPr lang="es-VE" sz="2800" b="1">
                <a:solidFill>
                  <a:srgbClr val="CDCFDD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INTELIGENTE</a:t>
            </a:r>
            <a:endParaRPr lang="es-VE" sz="2400" b="1">
              <a:solidFill>
                <a:srgbClr val="CDCFDD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pic>
        <xdr:nvPicPr>
          <xdr:cNvPr id="6" name="Gráfico 5" descr="Calendario con relleno sólido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10380135" y="495300"/>
            <a:ext cx="790544" cy="792000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43069</xdr:colOff>
      <xdr:row>10</xdr:row>
      <xdr:rowOff>1104</xdr:rowOff>
    </xdr:from>
    <xdr:to>
      <xdr:col>12</xdr:col>
      <xdr:colOff>977715</xdr:colOff>
      <xdr:row>17</xdr:row>
      <xdr:rowOff>143364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Semana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man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37069" y="1863771"/>
              <a:ext cx="3144446" cy="14461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278296</xdr:colOff>
      <xdr:row>14</xdr:row>
      <xdr:rowOff>0</xdr:rowOff>
    </xdr:from>
    <xdr:to>
      <xdr:col>12</xdr:col>
      <xdr:colOff>172793</xdr:colOff>
      <xdr:row>16</xdr:row>
      <xdr:rowOff>117355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ño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63763" y="3485321"/>
              <a:ext cx="1215297" cy="4898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Urdaneta" refreshedDate="45797.512204861108" missingItemsLimit="0" createdVersion="7" refreshedVersion="7" minRefreshableVersion="3" recordCount="2" xr:uid="{58E67668-7356-4772-BB8A-56F7094B2EED}">
  <cacheSource type="worksheet">
    <worksheetSource name="JOURNAL"/>
  </cacheSource>
  <cacheFields count="30">
    <cacheField name="#" numFmtId="0">
      <sharedItems count="2">
        <s v="001"/>
        <s v="002"/>
      </sharedItems>
    </cacheField>
    <cacheField name="Semana" numFmtId="0">
      <sharedItems containsSemiMixedTypes="0" containsString="0" containsNumber="1" containsInteger="1" minValue="6" maxValue="8" count="2">
        <n v="6"/>
        <n v="8"/>
      </sharedItems>
    </cacheField>
    <cacheField name="Fecha" numFmtId="165">
      <sharedItems containsSemiMixedTypes="0" containsNonDate="0" containsDate="1" containsString="0" minDate="2025-02-05T00:00:00" maxDate="2025-02-18T00:00:00"/>
    </cacheField>
    <cacheField name="Activo" numFmtId="0">
      <sharedItems count="2">
        <s v="EURUSD"/>
        <s v="GBPUSD"/>
      </sharedItems>
    </cacheField>
    <cacheField name="Hora de Entrada" numFmtId="166">
      <sharedItems containsSemiMixedTypes="0" containsNonDate="0" containsDate="1" containsString="0" minDate="1899-12-30T09:30:00" maxDate="1899-12-30T10:15:00"/>
    </cacheField>
    <cacheField name="Hora de Salida" numFmtId="166">
      <sharedItems containsSemiMixedTypes="0" containsNonDate="0" containsDate="1" containsString="0" minDate="1899-12-30T10:32:00" maxDate="1899-12-30T11:05:00"/>
    </cacheField>
    <cacheField name="Duracion" numFmtId="166">
      <sharedItems containsSemiMixedTypes="0" containsNonDate="0" containsDate="1" containsString="0" minDate="1899-12-30T00:17:00" maxDate="1899-12-30T01:35:00"/>
    </cacheField>
    <cacheField name="Criterio 1" numFmtId="0">
      <sharedItems count="1">
        <s v="SI"/>
      </sharedItems>
    </cacheField>
    <cacheField name="Criterio 2" numFmtId="0">
      <sharedItems count="1">
        <s v="SI"/>
      </sharedItems>
    </cacheField>
    <cacheField name="Criterio 3" numFmtId="0">
      <sharedItems count="2">
        <s v="NO"/>
        <s v="SI"/>
      </sharedItems>
    </cacheField>
    <cacheField name="Criterio 4" numFmtId="0">
      <sharedItems count="1">
        <s v="SI"/>
      </sharedItems>
    </cacheField>
    <cacheField name="Criterio 5" numFmtId="0">
      <sharedItems count="1">
        <s v="SI"/>
      </sharedItems>
    </cacheField>
    <cacheField name="Criterio 6" numFmtId="0">
      <sharedItems count="2">
        <s v="NO"/>
        <s v="SI"/>
      </sharedItems>
    </cacheField>
    <cacheField name="Cumplimiento" numFmtId="9">
      <sharedItems containsSemiMixedTypes="0" containsString="0" containsNumber="1" minValue="0.75" maxValue="1"/>
    </cacheField>
    <cacheField name="Resultado ($)" numFmtId="169">
      <sharedItems containsSemiMixedTypes="0" containsString="0" containsNumber="1" minValue="-155" maxValue="2150.5"/>
    </cacheField>
    <cacheField name="TP,SL o BE" numFmtId="0">
      <sharedItems containsNonDate="0" containsString="0" containsBlank="1"/>
    </cacheField>
    <cacheField name="%" numFmtId="10">
      <sharedItems containsSemiMixedTypes="0" containsString="0" containsNumber="1" minValue="-1.5499999999999999E-3" maxValue="2.1505E-2"/>
    </cacheField>
    <cacheField name="ACUM" numFmtId="10">
      <sharedItems containsSemiMixedTypes="0" containsString="0" containsNumber="1" minValue="-1.5499999999999999E-3" maxValue="1.9955000000000001E-2"/>
    </cacheField>
    <cacheField name="DD" numFmtId="10">
      <sharedItems containsSemiMixedTypes="0" containsString="0" containsNumber="1" minValue="-1.5499999999999999E-3" maxValue="0"/>
    </cacheField>
    <cacheField name="Falla Tecnica" numFmtId="0">
      <sharedItems containsBlank="1" count="2">
        <s v="Deslizamiento"/>
        <m/>
      </sharedItems>
    </cacheField>
    <cacheField name="Falla Emocional" numFmtId="0">
      <sharedItems containsNonDate="0" containsString="0" containsBlank="1" count="1">
        <m/>
      </sharedItems>
    </cacheField>
    <cacheField name="Observaciones" numFmtId="0">
      <sharedItems containsNonDate="0" containsString="0" containsBlank="1"/>
    </cacheField>
    <cacheField name="Anexo" numFmtId="0">
      <sharedItems containsNonDate="0" containsString="0" containsBlank="1"/>
    </cacheField>
    <cacheField name="LMMJV" numFmtId="0">
      <sharedItems count="2">
        <s v="miércoles"/>
        <s v="lunes"/>
      </sharedItems>
    </cacheField>
    <cacheField name="Mes" numFmtId="16">
      <sharedItems count="1">
        <s v="feb"/>
      </sharedItems>
    </cacheField>
    <cacheField name="Año" numFmtId="0">
      <sharedItems count="1">
        <s v="2025"/>
      </sharedItems>
    </cacheField>
    <cacheField name="BE Auto" numFmtId="0">
      <sharedItems count="2">
        <s v="SL"/>
        <s v="TP"/>
      </sharedItems>
    </cacheField>
    <cacheField name="AUXILIAR BE" numFmtId="0">
      <sharedItems/>
    </cacheField>
    <cacheField name="TIPO DE TRADE" numFmtId="0">
      <sharedItems count="1">
        <s v="Intraday"/>
      </sharedItems>
    </cacheField>
    <cacheField name="HE" numFmtId="18">
      <sharedItems containsSemiMixedTypes="0" containsNonDate="0" containsDate="1" containsString="0" minDate="1899-12-30T09:00:00" maxDate="1899-12-30T10:00:00" count="2">
        <d v="1899-12-30T10:00:00"/>
        <d v="1899-12-30T09:00:00"/>
      </sharedItems>
    </cacheField>
  </cacheFields>
  <extLst>
    <ext xmlns:x14="http://schemas.microsoft.com/office/spreadsheetml/2009/9/main" uri="{725AE2AE-9491-48be-B2B4-4EB974FC3084}">
      <x14:pivotCacheDefinition pivotCacheId="80674276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d v="2025-02-05T00:00:00"/>
    <x v="0"/>
    <d v="1899-12-30T10:15:00"/>
    <d v="1899-12-30T10:32:00"/>
    <d v="1899-12-30T00:17:00"/>
    <x v="0"/>
    <x v="0"/>
    <x v="0"/>
    <x v="0"/>
    <x v="0"/>
    <x v="0"/>
    <n v="0.75"/>
    <n v="-155"/>
    <m/>
    <n v="-1.5499999999999999E-3"/>
    <n v="-1.5499999999999999E-3"/>
    <n v="-1.5499999999999999E-3"/>
    <x v="0"/>
    <x v="0"/>
    <m/>
    <m/>
    <x v="0"/>
    <x v="0"/>
    <x v="0"/>
    <x v="0"/>
    <s v="SL"/>
    <x v="0"/>
    <x v="0"/>
  </r>
  <r>
    <x v="1"/>
    <x v="1"/>
    <d v="2025-02-17T00:00:00"/>
    <x v="1"/>
    <d v="1899-12-30T09:30:00"/>
    <d v="1899-12-30T11:05:00"/>
    <d v="1899-12-30T01:35:00"/>
    <x v="0"/>
    <x v="0"/>
    <x v="1"/>
    <x v="0"/>
    <x v="0"/>
    <x v="1"/>
    <n v="1"/>
    <n v="2150.5"/>
    <m/>
    <n v="2.1505E-2"/>
    <n v="1.9955000000000001E-2"/>
    <n v="0"/>
    <x v="1"/>
    <x v="0"/>
    <m/>
    <m/>
    <x v="1"/>
    <x v="0"/>
    <x v="0"/>
    <x v="1"/>
    <s v="TP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FC628A-1803-4482-BC66-85028177C3D8}" name="Cant Ops" cacheId="14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H2:H3" firstHeaderRow="1" firstDataRow="1" firstDataCol="0"/>
  <pivotFields count="30"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numFmtId="20" showAll="0"/>
    <pivotField showAll="0"/>
    <pivotField showAll="0"/>
    <pivotField showAll="0"/>
    <pivotField showAll="0"/>
    <pivotField showAll="0"/>
    <pivotField showAll="0"/>
    <pivotField numFmtId="9" showAll="0"/>
    <pivotField dataField="1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8" showAll="0"/>
  </pivotFields>
  <rowItems count="1">
    <i/>
  </rowItems>
  <colItems count="1">
    <i/>
  </colItems>
  <dataFields count="1">
    <dataField name="Cuenta" fld="14" subtotal="count" baseField="0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F3606-BE62-4A9C-8A02-3CCD0B3B6F40}" name="Fall E x TPSLBE" cacheId="141" applyNumberFormats="0" applyBorderFormats="0" applyFontFormats="0" applyPatternFormats="0" applyAlignmentFormats="0" applyWidthHeightFormats="1" dataCaption="Valores" grandTotalCaption="Total" updatedVersion="7" minRefreshableVersion="3" useAutoFormatting="1" rowGrandTotals="0" itemPrintTitles="1" createdVersion="7" indent="0" outline="1" outlineData="1" multipleFieldFilters="0" colHeaderCaption=" ">
  <location ref="EB2:EE4" firstHeaderRow="1" firstDataRow="2" firstDataCol="1"/>
  <pivotFields count="30">
    <pivotField showAll="0"/>
    <pivotField showAll="0">
      <items count="3">
        <item x="0"/>
        <item x="1"/>
        <item t="default"/>
      </items>
    </pivotField>
    <pivotField numFmtId="16" showAll="0"/>
    <pivotField showAll="0">
      <items count="3">
        <item x="0"/>
        <item x="1"/>
        <item t="default"/>
      </items>
    </pivotField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showAll="0"/>
    <pivotField numFmtId="10" showAll="0"/>
    <pivotField numFmtId="10" showAll="0"/>
    <pivotField numFmtId="10" showAll="0"/>
    <pivotField showAll="0"/>
    <pivotField axis="axisRow" dataField="1" showAll="0" sortType="descending">
      <items count="2"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numFmtId="18" showAll="0"/>
  </pivotFields>
  <rowFields count="1">
    <field x="20"/>
  </rowFields>
  <rowItems count="1">
    <i>
      <x/>
    </i>
  </rowItems>
  <colFields count="1">
    <field x="26"/>
  </colFields>
  <colItems count="3">
    <i>
      <x/>
    </i>
    <i>
      <x v="1"/>
    </i>
    <i t="grand">
      <x/>
    </i>
  </colItems>
  <dataFields count="1">
    <dataField name="Cuenta de Falla Emocional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C1855-5853-466D-9080-6ECE21B6AB00}" name="Prom x OP" cacheId="14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J2:K3" firstHeaderRow="0" firstDataRow="1" firstDataCol="0"/>
  <pivotFields count="30"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numFmtId="20" showAll="0"/>
    <pivotField showAll="0"/>
    <pivotField showAll="0"/>
    <pivotField showAll="0"/>
    <pivotField showAll="0"/>
    <pivotField showAll="0"/>
    <pivotField showAll="0"/>
    <pivotField numFmtId="9" showAll="0"/>
    <pivotField dataField="1" showAll="0"/>
    <pivotField showAll="0"/>
    <pivotField dataField="1"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8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Prom %" fld="16" subtotal="average" baseField="0" baseItem="1" numFmtId="10"/>
    <dataField name="Prom ($)" fld="14" subtotal="average" baseField="0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AD1031-B266-4C4D-9C23-0F08EE36D3E3}" name="Hrs del Dia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chartFormat="3">
  <location ref="FE2:FF4" firstHeaderRow="1" firstDataRow="1" firstDataCol="1"/>
  <pivotFields count="30">
    <pivotField showAll="0"/>
    <pivotField showAll="0"/>
    <pivotField numFmtId="165" showAll="0"/>
    <pivotField showAll="0">
      <items count="3">
        <item x="0"/>
        <item x="1"/>
        <item t="default"/>
      </items>
    </pivotField>
    <pivotField numFmtId="166" showAll="0"/>
    <pivotField numFmtId="166" showAll="0"/>
    <pivotField numFmtId="166" showAll="0"/>
    <pivotField showAll="0"/>
    <pivotField showAll="0"/>
    <pivotField showAll="0"/>
    <pivotField showAll="0"/>
    <pivotField showAll="0"/>
    <pivotField showAll="0"/>
    <pivotField numFmtId="9" showAll="0"/>
    <pivotField dataField="1" numFmtId="164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axis="axisRow" numFmtId="18" showAll="0" sortType="ascending">
      <items count="3">
        <item x="1"/>
        <item x="0"/>
        <item t="default"/>
      </items>
    </pivotField>
  </pivotFields>
  <rowFields count="1">
    <field x="29"/>
  </rowFields>
  <rowItems count="2">
    <i>
      <x/>
    </i>
    <i>
      <x v="1"/>
    </i>
  </rowItems>
  <colItems count="1">
    <i/>
  </colItems>
  <dataFields count="1">
    <dataField name="Suma de Resultado ($)" fld="14" baseField="0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9600F1-888E-4F8D-8F1F-212D66F38EB5}" name="Peor Sem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rowHeaderCaption="Week">
  <location ref="CC2:CH3" firstHeaderRow="0" firstDataRow="1" firstDataCol="1"/>
  <pivotFields count="30">
    <pivotField dataField="1" showAll="0"/>
    <pivotField axis="axisRow" showAll="0" measureFilter="1">
      <items count="3">
        <item x="0"/>
        <item x="1"/>
        <item t="default"/>
      </items>
    </pivotField>
    <pivotField numFmtId="16" showAll="0"/>
    <pivotField showAll="0"/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dataField="1" numFmtId="9" showAll="0"/>
    <pivotField dataField="1" numFmtId="164" showAll="0"/>
    <pivotField showAll="0"/>
    <pivotField numFmtId="10" showAll="0"/>
    <pivotField numFmtId="10" showAll="0"/>
    <pivotField numFmtId="10" showAll="0"/>
    <pivotField dataField="1" showAll="0"/>
    <pivotField dataField="1"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numFmtId="18" showAll="0"/>
  </pivotFields>
  <rowFields count="1">
    <field x="1"/>
  </rowFields>
  <rowItems count="1">
    <i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$" fld="14" baseField="0" baseItem="0" numFmtId="164"/>
    <dataField name="FT" fld="19" subtotal="count" baseField="0" baseItem="0"/>
    <dataField name="FE" fld="20" subtotal="count" baseField="0" baseItem="0"/>
    <dataField name="cum" fld="13" subtotal="average" baseField="1" baseItem="0"/>
    <dataField name="Cta" fld="0" subtotal="count" baseField="0" baseItem="0"/>
  </dataFields>
  <formats count="1">
    <format dxfId="54">
      <pivotArea dataOnly="0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top="0"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92C3A2-CAB1-4CB4-B561-6DD7DE794C6E}" name="Rend x Sem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chartFormat="3">
  <location ref="EU2:EV5" firstHeaderRow="1" firstDataRow="1" firstDataCol="1"/>
  <pivotFields count="30">
    <pivotField showAll="0"/>
    <pivotField axis="axisRow" showAll="0" sortType="ascending">
      <items count="3">
        <item x="0"/>
        <item x="1"/>
        <item t="default"/>
      </items>
    </pivotField>
    <pivotField numFmtId="165" showAll="0"/>
    <pivotField showAll="0">
      <items count="3">
        <item x="0"/>
        <item x="1"/>
        <item t="default"/>
      </items>
    </pivotField>
    <pivotField numFmtId="166" showAll="0"/>
    <pivotField numFmtId="166" showAll="0"/>
    <pivotField numFmtId="45" showAll="0"/>
    <pivotField showAll="0"/>
    <pivotField showAll="0"/>
    <pivotField showAll="0"/>
    <pivotField showAll="0"/>
    <pivotField showAll="0"/>
    <pivotField showAll="0"/>
    <pivotField numFmtId="9" showAll="0"/>
    <pivotField dataField="1" numFmtId="164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8" showAll="0"/>
  </pivotFields>
  <rowFields count="2">
    <field x="25"/>
    <field x="1"/>
  </rowFields>
  <rowItems count="3">
    <i>
      <x/>
    </i>
    <i r="1">
      <x/>
    </i>
    <i r="1">
      <x v="1"/>
    </i>
  </rowItems>
  <colItems count="1">
    <i/>
  </colItems>
  <dataFields count="1">
    <dataField name="Suma de Resultado ($)" fld="14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851C66-0BFA-4648-902B-0F118567AB02}" name="Prom Aririesgado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 chartFormat="1">
  <location ref="ER3:ES5" firstHeaderRow="1" firstDataRow="1" firstDataCol="1"/>
  <pivotFields count="30">
    <pivotField compact="0" outline="0" showAll="0" defaultSubtotal="0"/>
    <pivotField compact="0" outline="0" showAll="0" defaultSubtotal="0">
      <items count="2">
        <item x="0"/>
        <item x="1"/>
      </items>
    </pivotField>
    <pivotField compact="0" numFmtId="165" outline="0" showAll="0" defaultSubtotal="0"/>
    <pivotField compact="0" outline="0" subtotalTop="0" showAll="0" defaultSubtotal="0">
      <items count="2">
        <item x="0"/>
        <item x="1"/>
      </items>
    </pivotField>
    <pivotField compact="0" numFmtId="20" outline="0" showAll="0" defaultSubtotal="0"/>
    <pivotField compact="0" numFmtId="20" outline="0" showAll="0" defaultSubtotal="0"/>
    <pivotField compact="0" numFmtId="45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9" outline="0" showAll="0" defaultSubtotal="0"/>
    <pivotField dataField="1" compact="0" numFmtId="164" outline="0" showAll="0" defaultSubtotal="0"/>
    <pivotField compact="0" outline="0" showAll="0" defaultSubtotal="0"/>
    <pivotField compact="0" numFmtId="10" outline="0" showAll="0" defaultSubtotal="0"/>
    <pivotField compact="0" numFmtId="10" outline="0" showAll="0" defaultSubtotal="0"/>
    <pivotField compact="0" numFmtId="1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Row" compact="0" outline="0" multipleItemSelectionAllowed="1" showAll="0" defaultSubtotal="0">
      <items count="2">
        <item x="0"/>
        <item x="1"/>
      </items>
    </pivotField>
    <pivotField compact="0" outline="0" showAll="0" defaultSubtotal="0"/>
    <pivotField compact="0" outline="0" subtotalTop="0" showAll="0" defaultSubtotal="0"/>
    <pivotField compact="0" numFmtId="18" outline="0" subtotalTop="0" showAll="0" defaultSubtotal="0"/>
  </pivotFields>
  <rowFields count="1">
    <field x="26"/>
  </rowFields>
  <rowItems count="2">
    <i>
      <x/>
    </i>
    <i>
      <x v="1"/>
    </i>
  </rowItems>
  <colItems count="1">
    <i/>
  </colItems>
  <dataFields count="1">
    <dataField name=" " fld="14" subtotal="average" baseField="0" baseItem="0" numFmtId="164"/>
  </dataFields>
  <formats count="1">
    <format dxfId="5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24B06A-81AB-4273-A93F-EB63157289A6}" name="Peor Par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rowHeaderCaption="Par">
  <location ref="BS2:BT3" firstHeaderRow="1" firstDataRow="1" firstDataCol="1"/>
  <pivotFields count="30">
    <pivotField showAll="0"/>
    <pivotField showAll="0">
      <items count="3">
        <item x="0"/>
        <item x="1"/>
        <item t="default"/>
      </items>
    </pivotField>
    <pivotField numFmtId="16" showAll="0"/>
    <pivotField axis="axisRow" showAll="0" measureFilter="1">
      <items count="3">
        <item x="0"/>
        <item x="1"/>
        <item t="default"/>
      </items>
    </pivotField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numFmtId="9" showAll="0"/>
    <pivotField dataField="1" numFmtId="164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numFmtId="18" showAll="0"/>
  </pivotFields>
  <rowFields count="1">
    <field x="3"/>
  </rowFields>
  <rowItems count="1">
    <i>
      <x/>
    </i>
  </rowItems>
  <colItems count="1">
    <i/>
  </colItems>
  <dataFields count="1">
    <dataField name="$" fld="14" baseField="0" baseItem="0" numFmtId="164"/>
  </dataField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top="0"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AA90BD-EBF4-46E8-B7BB-F8FBA228B507}" name="R:R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rowHeaderCaption="Resultado">
  <location ref="T2:U4" firstHeaderRow="1" firstDataRow="1" firstDataCol="1"/>
  <pivotFields count="30">
    <pivotField showAll="0"/>
    <pivotField showAll="0">
      <items count="3">
        <item x="0"/>
        <item x="1"/>
        <item t="default"/>
      </items>
    </pivotField>
    <pivotField numFmtId="16" showAll="0"/>
    <pivotField showAll="0">
      <items count="3">
        <item x="0"/>
        <item x="1"/>
        <item t="default"/>
      </items>
    </pivotField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numFmtId="9" showAll="0"/>
    <pivotField dataField="1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numFmtId="18" showAll="0"/>
  </pivotFields>
  <rowFields count="1">
    <field x="26"/>
  </rowFields>
  <rowItems count="2">
    <i>
      <x/>
    </i>
    <i>
      <x v="1"/>
    </i>
  </rowItems>
  <colItems count="1">
    <i/>
  </colItems>
  <dataFields count="1">
    <dataField name="$" fld="14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B4C92-3BF7-46C2-837B-EA0F0F789925}" name="Tipo Trader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chartFormat="1" colHeaderCaption=" ">
  <location ref="EZ2:FB4" firstHeaderRow="1" firstDataRow="2" firstDataCol="1"/>
  <pivotFields count="30">
    <pivotField showAll="0"/>
    <pivotField showAll="0">
      <items count="3">
        <item x="0"/>
        <item x="1"/>
        <item t="default"/>
      </items>
    </pivotField>
    <pivotField numFmtId="165" showAll="0"/>
    <pivotField showAll="0">
      <items count="3">
        <item x="0"/>
        <item x="1"/>
        <item t="default"/>
      </items>
    </pivotField>
    <pivotField numFmtId="166" showAll="0"/>
    <pivotField numFmtId="166" showAll="0"/>
    <pivotField numFmtId="166" showAll="0"/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axis="axisCol" multipleItemSelectionAllowed="1" showAll="0" sortType="descending">
      <items count="3">
        <item x="1"/>
        <item x="0"/>
        <item t="default"/>
      </items>
    </pivotField>
    <pivotField showAll="0"/>
    <pivotField axis="axisRow" dataField="1" showAll="0" sortType="descending">
      <items count="2"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8" showAll="0"/>
  </pivotFields>
  <rowFields count="1">
    <field x="28"/>
  </rowFields>
  <rowItems count="1">
    <i>
      <x/>
    </i>
  </rowItems>
  <colFields count="1">
    <field x="26"/>
  </colFields>
  <colItems count="2">
    <i>
      <x/>
    </i>
    <i>
      <x v="1"/>
    </i>
  </colItems>
  <dataFields count="1">
    <dataField name="Cuenta" fld="2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D023B-33C0-4DCB-BD85-8D4E807030B6}" name="% Cumpl" cacheId="14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Q2:AQ3" firstHeaderRow="1" firstDataRow="1" firstDataCol="0"/>
  <pivotFields count="30">
    <pivotField showAll="0"/>
    <pivotField showAll="0">
      <items count="3">
        <item x="0"/>
        <item x="1"/>
        <item t="default"/>
      </items>
    </pivotField>
    <pivotField numFmtId="16" showAll="0"/>
    <pivotField showAll="0">
      <items count="3">
        <item x="0"/>
        <item x="1"/>
        <item t="default"/>
      </items>
    </pivotField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dataField="1" numFmtId="9" showAll="0"/>
    <pivotField numFmtId="164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8" showAll="0"/>
  </pivotFields>
  <rowItems count="1">
    <i/>
  </rowItems>
  <colItems count="1">
    <i/>
  </colItems>
  <dataFields count="1">
    <dataField name="% de Cumplimiento" fld="13" subtotal="average" baseField="1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E0506D-EBB9-44E3-B62D-C3E428A27477}" name="TablaDinámica2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rowHeaderCaption="diasem" colHeaderCaption=" ">
  <location ref="B2:D5" firstHeaderRow="1" firstDataRow="2" firstDataCol="1"/>
  <pivotFields count="30">
    <pivotField showAll="0"/>
    <pivotField showAll="0"/>
    <pivotField numFmtId="165" showAll="0"/>
    <pivotField showAll="0"/>
    <pivotField numFmtId="166" showAll="0"/>
    <pivotField numFmtId="166" showAll="0"/>
    <pivotField numFmtId="166" showAll="0"/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showAll="0"/>
    <pivotField dataField="1" numFmtId="10" showAll="0"/>
    <pivotField numFmtId="10" showAll="0"/>
    <pivotField numFmtId="10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axis="axisCol" showAll="0" sortType="ascending">
      <items count="3">
        <item x="0"/>
        <item x="1"/>
        <item t="default"/>
      </items>
    </pivotField>
    <pivotField showAll="0"/>
    <pivotField showAll="0"/>
    <pivotField numFmtId="18" showAll="0"/>
  </pivotFields>
  <rowFields count="1">
    <field x="23"/>
  </rowFields>
  <rowItems count="2">
    <i>
      <x/>
    </i>
    <i>
      <x v="1"/>
    </i>
  </rowItems>
  <colFields count="1">
    <field x="26"/>
  </colFields>
  <colItems count="2">
    <i>
      <x/>
    </i>
    <i>
      <x v="1"/>
    </i>
  </colItems>
  <dataFields count="1">
    <dataField name=" " fld="16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9077D9-421E-4218-AF97-CEC1A717CD4C}" name="Fall T x TPSLBE" cacheId="141" applyNumberFormats="0" applyBorderFormats="0" applyFontFormats="0" applyPatternFormats="0" applyAlignmentFormats="0" applyWidthHeightFormats="1" dataCaption="Valores" grandTotalCaption="Total" updatedVersion="7" minRefreshableVersion="3" useAutoFormatting="1" rowGrandTotals="0" itemPrintTitles="1" createdVersion="7" indent="0" outline="1" outlineData="1" multipleFieldFilters="0" colHeaderCaption=" ">
  <location ref="EH2:EK5" firstHeaderRow="1" firstDataRow="2" firstDataCol="1"/>
  <pivotFields count="30">
    <pivotField showAll="0"/>
    <pivotField showAll="0">
      <items count="3">
        <item x="0"/>
        <item x="1"/>
        <item t="default"/>
      </items>
    </pivotField>
    <pivotField numFmtId="16" showAll="0"/>
    <pivotField showAll="0">
      <items count="3">
        <item x="0"/>
        <item x="1"/>
        <item t="default"/>
      </items>
    </pivotField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showAll="0"/>
    <pivotField numFmtId="10" showAll="0"/>
    <pivotField numFmtId="10" showAll="0"/>
    <pivotField numFmtId="10"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numFmtId="18" showAll="0"/>
  </pivotFields>
  <rowFields count="1">
    <field x="19"/>
  </rowFields>
  <rowItems count="2">
    <i>
      <x/>
    </i>
    <i>
      <x v="1"/>
    </i>
  </rowItems>
  <colFields count="1">
    <field x="26"/>
  </colFields>
  <colItems count="3">
    <i>
      <x/>
    </i>
    <i>
      <x v="1"/>
    </i>
    <i t="grand">
      <x/>
    </i>
  </colItems>
  <dataFields count="1">
    <dataField name="Cuenta de Falla Tecnica" fld="1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0B74C-90FB-4571-AD00-B0A76C98373A}" name="Crit 6" cacheId="141" applyNumberFormats="0" applyBorderFormats="0" applyFontFormats="0" applyPatternFormats="0" applyAlignmentFormats="0" applyWidthHeightFormats="1" dataCaption="Valores" grandTotalCaption="Tot" updatedVersion="7" minRefreshableVersion="3" useAutoFormatting="1" rowGrandTotals="0" colGrandTotals="0" itemPrintTitles="1" createdVersion="7" indent="0" outline="1" outlineData="1" multipleFieldFilters="0" rowHeaderCaption="S/N" colHeaderCaption=" ">
  <location ref="DN3:DP6" firstHeaderRow="1" firstDataRow="2" firstDataCol="1"/>
  <pivotFields count="30">
    <pivotField showAll="0"/>
    <pivotField showAll="0">
      <items count="3">
        <item x="0"/>
        <item x="1"/>
        <item t="default"/>
      </items>
    </pivotField>
    <pivotField numFmtId="165" showAll="0"/>
    <pivotField showAll="0">
      <items count="3">
        <item x="0"/>
        <item x="1"/>
        <item t="default"/>
      </items>
    </pivotField>
    <pivotField numFmtId="166" showAll="0"/>
    <pivotField numFmtId="166" showAll="0"/>
    <pivotField numFmtId="166" showAll="0"/>
    <pivotField multipleItemSelectionAllowed="1" showAll="0" sortType="descending"/>
    <pivotField showAll="0" sortType="descending"/>
    <pivotField showAll="0"/>
    <pivotField showAll="0"/>
    <pivotField showAll="0" sortType="descending"/>
    <pivotField axis="axisRow" dataField="1" showAll="0" sortType="descending">
      <items count="3">
        <item x="1"/>
        <item x="0"/>
        <item t="default"/>
      </items>
    </pivotField>
    <pivotField numFmtId="9" showAll="0"/>
    <pivotField numFmtId="164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axis="axisCol" showAll="0" sortType="descending">
      <items count="3">
        <item x="1"/>
        <item x="0"/>
        <item t="default"/>
      </items>
    </pivotField>
    <pivotField showAll="0"/>
    <pivotField showAll="0"/>
    <pivotField numFmtId="18" showAll="0"/>
  </pivotFields>
  <rowFields count="1">
    <field x="12"/>
  </rowFields>
  <rowItems count="2">
    <i>
      <x/>
    </i>
    <i>
      <x v="1"/>
    </i>
  </rowItems>
  <colFields count="1">
    <field x="26"/>
  </colFields>
  <colItems count="2">
    <i>
      <x/>
    </i>
    <i>
      <x v="1"/>
    </i>
  </colItems>
  <dataFields count="1">
    <dataField name="Cta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750468-4F5D-4E57-A6C8-D8662E036A41}" name="% x Mes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chartFormat="12" customListSort="0">
  <location ref="O3:P5" firstHeaderRow="1" firstDataRow="1" firstDataCol="1"/>
  <pivotFields count="30"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nonAutoSortDefault="1">
      <items count="2">
        <item x="0"/>
        <item t="default"/>
      </items>
    </pivotField>
    <pivotField axis="axisRow" showAll="0" sortType="ascending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8" showAll="0"/>
  </pivotFields>
  <rowFields count="2">
    <field x="25"/>
    <field x="24"/>
  </rowFields>
  <rowItems count="2">
    <i>
      <x/>
    </i>
    <i r="1">
      <x/>
    </i>
  </rowItems>
  <colItems count="1">
    <i/>
  </colItems>
  <dataFields count="1">
    <dataField name="Suma de %" fld="16" baseField="0" baseItem="0" numFmtId="10"/>
  </dataFields>
  <chartFormats count="1"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DEC7EF-1A5E-4FDE-A8EA-D2FF5622FDED}" name="Crit 4" cacheId="141" applyNumberFormats="0" applyBorderFormats="0" applyFontFormats="0" applyPatternFormats="0" applyAlignmentFormats="0" applyWidthHeightFormats="1" dataCaption="Valores" grandTotalCaption="Tot" updatedVersion="7" minRefreshableVersion="3" useAutoFormatting="1" rowGrandTotals="0" colGrandTotals="0" itemPrintTitles="1" createdVersion="7" indent="0" outline="1" outlineData="1" multipleFieldFilters="0" rowHeaderCaption="S/N" colHeaderCaption=" ">
  <location ref="DB3:DD5" firstHeaderRow="1" firstDataRow="2" firstDataCol="1"/>
  <pivotFields count="30">
    <pivotField showAll="0"/>
    <pivotField showAll="0">
      <items count="3">
        <item x="0"/>
        <item x="1"/>
        <item t="default"/>
      </items>
    </pivotField>
    <pivotField numFmtId="165" showAll="0"/>
    <pivotField showAll="0">
      <items count="3">
        <item x="0"/>
        <item x="1"/>
        <item t="default"/>
      </items>
    </pivotField>
    <pivotField numFmtId="166" showAll="0"/>
    <pivotField numFmtId="166" showAll="0"/>
    <pivotField numFmtId="166" showAll="0"/>
    <pivotField multipleItemSelectionAllowed="1" showAll="0" sortType="descending"/>
    <pivotField showAll="0" sortType="descending"/>
    <pivotField showAll="0"/>
    <pivotField axis="axisRow" dataField="1" showAll="0" sortType="descending">
      <items count="2">
        <item x="0"/>
        <item t="default"/>
      </items>
    </pivotField>
    <pivotField showAll="0"/>
    <pivotField showAll="0"/>
    <pivotField numFmtId="9" showAll="0"/>
    <pivotField numFmtId="164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axis="axisCol" showAll="0" sortType="descending">
      <items count="3">
        <item x="1"/>
        <item x="0"/>
        <item t="default"/>
      </items>
    </pivotField>
    <pivotField showAll="0"/>
    <pivotField showAll="0"/>
    <pivotField numFmtId="18" showAll="0"/>
  </pivotFields>
  <rowFields count="1">
    <field x="10"/>
  </rowFields>
  <rowItems count="1">
    <i>
      <x/>
    </i>
  </rowItems>
  <colFields count="1">
    <field x="26"/>
  </colFields>
  <colItems count="2">
    <i>
      <x/>
    </i>
    <i>
      <x v="1"/>
    </i>
  </colItems>
  <dataFields count="1">
    <dataField name="Cta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94E46-D3AD-435B-805B-A60643EC12C3}" name="Falla T Cuenta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chartFormat="9" rowHeaderCaption="Falla Tecnica">
  <location ref="AJ2:AK4" firstHeaderRow="1" firstDataRow="1" firstDataCol="1"/>
  <pivotFields count="30">
    <pivotField showAll="0"/>
    <pivotField showAll="0">
      <items count="3">
        <item x="0"/>
        <item x="1"/>
        <item t="default"/>
      </items>
    </pivotField>
    <pivotField numFmtId="16" showAll="0"/>
    <pivotField showAll="0">
      <items count="3">
        <item x="0"/>
        <item x="1"/>
        <item t="default"/>
      </items>
    </pivotField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showAll="0"/>
    <pivotField numFmtId="10" showAll="0"/>
    <pivotField numFmtId="10" showAll="0"/>
    <pivotField numFmtId="10" showAll="0"/>
    <pivotField axis="axisRow" dataField="1" showAll="0" measureFilter="1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8" showAll="0"/>
  </pivotFields>
  <rowFields count="1">
    <field x="19"/>
  </rowFields>
  <rowItems count="2">
    <i>
      <x v="1"/>
    </i>
    <i>
      <x/>
    </i>
  </rowItems>
  <colItems count="1">
    <i/>
  </colItems>
  <dataFields count="1">
    <dataField name="Cuenta FT" fld="19" subtotal="count" baseField="21" baseItem="0"/>
  </dataFields>
  <chartFormats count="4"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9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315110-E943-47EF-ACAD-8C171FD1965E}" name="Rend $ x Par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chartFormat="3">
  <location ref="EO2:EP4" firstHeaderRow="1" firstDataRow="1" firstDataCol="1"/>
  <pivotFields count="30">
    <pivotField showAll="0"/>
    <pivotField showAll="0">
      <items count="3">
        <item x="0"/>
        <item x="1"/>
        <item t="default"/>
      </items>
    </pivotField>
    <pivotField numFmtId="16"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numFmtId="9" showAll="0"/>
    <pivotField dataField="1" numFmtId="164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numFmtId="18" showAll="0"/>
  </pivotFields>
  <rowFields count="1">
    <field x="3"/>
  </rowFields>
  <rowItems count="2">
    <i>
      <x v="1"/>
    </i>
    <i>
      <x/>
    </i>
  </rowItems>
  <colItems count="1">
    <i/>
  </colItems>
  <dataFields count="1">
    <dataField name="Suma de Resultado ($)" fld="14" baseField="0" baseItem="0" numFmtId="16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5D4AAB-128C-4F9D-A4C8-892C92861E17}" name="Pares Cuenta" cacheId="14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outline="1" outlineData="1" multipleFieldFilters="0" chartFormat="17" rowHeaderCaption="Par" colHeaderCaption=" ">
  <location ref="AD2:AE4" firstHeaderRow="1" firstDataRow="1" firstDataCol="1"/>
  <pivotFields count="30">
    <pivotField showAll="0"/>
    <pivotField showAll="0">
      <items count="3">
        <item x="0"/>
        <item x="1"/>
        <item t="default"/>
      </items>
    </pivotField>
    <pivotField numFmtId="16" showAll="0"/>
    <pivotField axis="axisRow" dataField="1" showAll="0" sortType="a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8" showAll="0"/>
  </pivotFields>
  <rowFields count="1">
    <field x="3"/>
  </rowFields>
  <rowItems count="2">
    <i>
      <x/>
    </i>
    <i>
      <x v="1"/>
    </i>
  </rowItems>
  <colItems count="1">
    <i/>
  </colItems>
  <dataFields count="1">
    <dataField name="Cuenta de Activo" fld="3" subtotal="count" baseField="0" baseItem="0"/>
  </dataFields>
  <chartFormats count="1">
    <chartFormat chart="1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20ADAD-B3D5-4CBC-97C6-76AB51846965}" name="Mejor Sem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rowHeaderCaption="Week">
  <location ref="BV2:CA3" firstHeaderRow="0" firstDataRow="1" firstDataCol="1"/>
  <pivotFields count="30">
    <pivotField dataField="1" showAll="0"/>
    <pivotField axis="axisRow" showAll="0" measureFilter="1">
      <items count="3">
        <item x="0"/>
        <item x="1"/>
        <item t="default"/>
      </items>
    </pivotField>
    <pivotField numFmtId="16" showAll="0"/>
    <pivotField showAll="0"/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dataField="1" numFmtId="9" showAll="0"/>
    <pivotField dataField="1" numFmtId="164" showAll="0"/>
    <pivotField showAll="0"/>
    <pivotField numFmtId="10" showAll="0"/>
    <pivotField numFmtId="10" showAll="0"/>
    <pivotField numFmtId="10" showAll="0"/>
    <pivotField dataField="1" showAll="0"/>
    <pivotField dataField="1"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numFmtId="18" showAll="0"/>
  </pivotFields>
  <rowFields count="1">
    <field x="1"/>
  </rowFields>
  <rowItems count="1">
    <i>
      <x v="1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$" fld="14" baseField="0" baseItem="0" numFmtId="164"/>
    <dataField name="FT" fld="19" subtotal="count" baseField="0" baseItem="0"/>
    <dataField name="FE" fld="20" subtotal="count" baseField="0" baseItem="0"/>
    <dataField name="cum" fld="13" subtotal="average" baseField="1" baseItem="3" numFmtId="9"/>
    <dataField name="Cta" fld="0" subtotal="count" baseField="0" baseItem="0"/>
  </dataFields>
  <formats count="1">
    <format dxfId="5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39D52C-B2F8-4B41-826D-00CE8232BC7A}" name="Crit1" cacheId="141" applyNumberFormats="0" applyBorderFormats="0" applyFontFormats="0" applyPatternFormats="0" applyAlignmentFormats="0" applyWidthHeightFormats="1" dataCaption="Valores" grandTotalCaption="Tot" updatedVersion="7" minRefreshableVersion="3" useAutoFormatting="1" rowGrandTotals="0" colGrandTotals="0" itemPrintTitles="1" createdVersion="7" indent="0" outline="1" outlineData="1" multipleFieldFilters="0" rowHeaderCaption="s/N" colHeaderCaption=" ">
  <location ref="CJ3:CL5" firstHeaderRow="1" firstDataRow="2" firstDataCol="1"/>
  <pivotFields count="30">
    <pivotField showAll="0"/>
    <pivotField showAll="0">
      <items count="3">
        <item x="0"/>
        <item x="1"/>
        <item t="default"/>
      </items>
    </pivotField>
    <pivotField numFmtId="165" showAll="0"/>
    <pivotField showAll="0">
      <items count="3">
        <item x="0"/>
        <item x="1"/>
        <item t="default"/>
      </items>
    </pivotField>
    <pivotField numFmtId="166" showAll="0"/>
    <pivotField numFmtId="166" showAll="0"/>
    <pivotField numFmtId="166" showAll="0"/>
    <pivotField axis="axisRow" dataField="1" multipleItemSelectionAllowed="1" showAll="0" sortType="de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numFmtId="9" showAll="0"/>
    <pivotField numFmtId="164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axis="axisCol" showAll="0" sortType="descending">
      <items count="3">
        <item x="1"/>
        <item x="0"/>
        <item t="default"/>
      </items>
    </pivotField>
    <pivotField showAll="0"/>
    <pivotField showAll="0"/>
    <pivotField numFmtId="18" showAll="0"/>
  </pivotFields>
  <rowFields count="1">
    <field x="7"/>
  </rowFields>
  <rowItems count="1">
    <i>
      <x/>
    </i>
  </rowItems>
  <colFields count="1">
    <field x="26"/>
  </colFields>
  <colItems count="2">
    <i>
      <x/>
    </i>
    <i>
      <x v="1"/>
    </i>
  </colItems>
  <dataFields count="1">
    <dataField name="Cuent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0CF04B-D8D9-4AB4-925F-3A3594A7FBDD}" name="Mejor Par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rowHeaderCaption=" Par">
  <location ref="BP2:BQ3" firstHeaderRow="1" firstDataRow="1" firstDataCol="1"/>
  <pivotFields count="30">
    <pivotField showAll="0"/>
    <pivotField showAll="0">
      <items count="3">
        <item x="0"/>
        <item x="1"/>
        <item t="default"/>
      </items>
    </pivotField>
    <pivotField numFmtId="16" showAll="0"/>
    <pivotField axis="axisRow" showAll="0" measureFilter="1">
      <items count="3">
        <item x="0"/>
        <item x="1"/>
        <item t="default"/>
      </items>
    </pivotField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numFmtId="9" showAll="0"/>
    <pivotField dataField="1" numFmtId="164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numFmtId="18" showAll="0"/>
  </pivotFields>
  <rowFields count="1">
    <field x="3"/>
  </rowFields>
  <rowItems count="1">
    <i>
      <x v="1"/>
    </i>
  </rowItems>
  <colItems count="1">
    <i/>
  </colItems>
  <dataFields count="1">
    <dataField name="$" fld="14" baseField="0" baseItem="0" numFmtId="164"/>
  </dataFields>
  <formats count="3">
    <format dxfId="49">
      <pivotArea dataOnly="0" outline="0" axis="axisValues" fieldPosition="0"/>
    </format>
    <format dxfId="50">
      <pivotArea outline="0" fieldPosition="0">
        <references count="1">
          <reference field="4294967294" count="1">
            <x v="0"/>
          </reference>
        </references>
      </pivotArea>
    </format>
    <format dxfId="51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445A53-2ED8-4DA9-8427-BCBD65DDC51B}" name="% TP SL BE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chartFormat="3" rowHeaderCaption=" ">
  <location ref="AM2:AN4" firstHeaderRow="1" firstDataRow="1" firstDataCol="1"/>
  <pivotFields count="30">
    <pivotField showAll="0"/>
    <pivotField showAll="0">
      <items count="3">
        <item x="0"/>
        <item x="1"/>
        <item t="default"/>
      </items>
    </pivotField>
    <pivotField numFmtId="16" showAll="0"/>
    <pivotField showAll="0">
      <items count="3">
        <item x="0"/>
        <item x="1"/>
        <item t="default"/>
      </items>
    </pivotField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showAll="0" sortType="ascending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axis="axisRow" dataField="1">
      <items count="3">
        <item x="0"/>
        <item x="1"/>
        <item t="default"/>
      </items>
    </pivotField>
    <pivotField showAll="0"/>
    <pivotField showAll="0"/>
    <pivotField numFmtId="18" showAll="0"/>
  </pivotFields>
  <rowFields count="1">
    <field x="26"/>
  </rowFields>
  <rowItems count="2">
    <i>
      <x/>
    </i>
    <i>
      <x v="1"/>
    </i>
  </rowItems>
  <colItems count="1">
    <i/>
  </colItems>
  <dataFields count="1">
    <dataField name="Cuenta" fld="2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A70B18-C27E-4DAC-A374-D1C2BA83DD27}" name="Fall E Cuenta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chartFormat="4" rowHeaderCaption="Falla Emocional">
  <location ref="AG2:AH3" firstHeaderRow="1" firstDataRow="1" firstDataCol="1"/>
  <pivotFields count="30">
    <pivotField showAll="0"/>
    <pivotField showAll="0">
      <items count="3">
        <item x="0"/>
        <item x="1"/>
        <item t="default"/>
      </items>
    </pivotField>
    <pivotField numFmtId="16" showAll="0"/>
    <pivotField showAll="0">
      <items count="3">
        <item x="0"/>
        <item x="1"/>
        <item t="default"/>
      </items>
    </pivotField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showAll="0"/>
    <pivotField numFmtId="10" showAll="0"/>
    <pivotField numFmtId="10" showAll="0"/>
    <pivotField numFmtId="10" showAll="0"/>
    <pivotField showAll="0"/>
    <pivotField axis="axisRow" dataField="1" showAll="0" measureFilter="1" sortType="descending">
      <items count="2"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8" showAll="0"/>
  </pivotFields>
  <rowFields count="1">
    <field x="20"/>
  </rowFields>
  <rowItems count="1">
    <i>
      <x/>
    </i>
  </rowItems>
  <colItems count="1">
    <i/>
  </colItems>
  <dataFields count="1">
    <dataField name="Cuenta FE" fld="20" subtotal="count" baseField="22" baseItem="1"/>
  </dataFields>
  <chartFormats count="1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0" type="count" evalOrder="-1" id="5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687A4A-BA49-4FD1-B1A8-145F566991CA}" name="Grafica Acumulado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chartFormat="7" rowHeaderCaption="#">
  <location ref="W2:X4" firstHeaderRow="1" firstDataRow="1" firstDataCol="1"/>
  <pivotFields count="30"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numFmtId="16" showAll="0"/>
    <pivotField showAll="0">
      <items count="3">
        <item x="0"/>
        <item x="1"/>
        <item t="default"/>
      </items>
    </pivotField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numFmtId="10" showAll="0"/>
    <pivotField dataField="1"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8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Suma de ACUM" fld="17" baseField="0" baseItem="54" numFmtId="1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D2B578-63FF-4F61-8F79-C0874DBBFDDA}" name="Top 5 Ops +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rowHeaderCaption=" ">
  <location ref="AT2:AV4" firstHeaderRow="0" firstDataRow="1" firstDataCol="1"/>
  <pivotFields count="30">
    <pivotField axis="axisRow" showAll="0" measureFilter="1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0"/>
        <item x="1"/>
        <item t="default"/>
      </items>
    </pivotField>
    <pivotField numFmtId="16" showAll="0"/>
    <pivotField showAll="0">
      <items count="3">
        <item x="0"/>
        <item x="1"/>
        <item t="default"/>
      </items>
    </pivotField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dataField="1" numFmtId="9" showAll="0"/>
    <pivotField dataField="1" numFmtId="164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8" showAll="0"/>
  </pivotFields>
  <rowFields count="1">
    <field x="0"/>
  </rowFields>
  <rowItems count="2">
    <i>
      <x v="1"/>
    </i>
    <i>
      <x/>
    </i>
  </rowItems>
  <colFields count="1">
    <field x="-2"/>
  </colFields>
  <colItems count="2">
    <i>
      <x/>
    </i>
    <i i="1">
      <x v="1"/>
    </i>
  </colItems>
  <dataFields count="2">
    <dataField name="($)" fld="14" baseField="0" baseItem="0" numFmtId="164"/>
    <dataField name="Cump" fld="13" baseField="0" baseItem="0" numFmtId="9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6D1E1-F76A-462B-8C02-AF2433273B53}" name="Acum MAX" cacheId="14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Z2:Z3" firstHeaderRow="1" firstDataRow="1" firstDataCol="0"/>
  <pivotFields count="30">
    <pivotField showAll="0"/>
    <pivotField showAll="0">
      <items count="3">
        <item x="0"/>
        <item x="1"/>
        <item t="default"/>
      </items>
    </pivotField>
    <pivotField numFmtId="16" showAll="0"/>
    <pivotField showAll="0">
      <items count="3">
        <item x="0"/>
        <item x="1"/>
        <item t="default"/>
      </items>
    </pivotField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showAll="0"/>
    <pivotField numFmtId="10" showAll="0"/>
    <pivotField dataField="1"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8" showAll="0"/>
  </pivotFields>
  <rowItems count="1">
    <i/>
  </rowItems>
  <colItems count="1">
    <i/>
  </colItems>
  <dataFields count="1">
    <dataField name="Máx. de ACUM" fld="17" subtotal="max" baseField="0" baseItem="9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508986-AE9C-4807-B05D-E2D502B69D06}" name="Acum MIN" cacheId="14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B2:AB3" firstHeaderRow="1" firstDataRow="1" firstDataCol="0"/>
  <pivotFields count="30">
    <pivotField showAll="0"/>
    <pivotField showAll="0">
      <items count="3">
        <item x="0"/>
        <item x="1"/>
        <item t="default"/>
      </items>
    </pivotField>
    <pivotField numFmtId="16" showAll="0"/>
    <pivotField showAll="0">
      <items count="3">
        <item x="0"/>
        <item x="1"/>
        <item t="default"/>
      </items>
    </pivotField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showAll="0"/>
    <pivotField numFmtId="10" showAll="0"/>
    <pivotField dataField="1"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8" showAll="0"/>
  </pivotFields>
  <rowItems count="1">
    <i/>
  </rowItems>
  <colItems count="1">
    <i/>
  </colItems>
  <dataFields count="1">
    <dataField name="Mín. de ACUM" fld="17" subtotal="min" baseField="0" baseItem="9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4FE25E-3F46-47BE-8E49-939996EFCC5B}" name="Crit 2" cacheId="141" applyNumberFormats="0" applyBorderFormats="0" applyFontFormats="0" applyPatternFormats="0" applyAlignmentFormats="0" applyWidthHeightFormats="1" dataCaption="Valores" grandTotalCaption="Tot" updatedVersion="7" minRefreshableVersion="3" useAutoFormatting="1" rowGrandTotals="0" colGrandTotals="0" itemPrintTitles="1" createdVersion="7" indent="0" outline="1" outlineData="1" multipleFieldFilters="0" rowHeaderCaption="S/N" colHeaderCaption=" ">
  <location ref="CP3:CR5" firstHeaderRow="1" firstDataRow="2" firstDataCol="1"/>
  <pivotFields count="30">
    <pivotField showAll="0"/>
    <pivotField showAll="0">
      <items count="3">
        <item x="0"/>
        <item x="1"/>
        <item t="default"/>
      </items>
    </pivotField>
    <pivotField numFmtId="165" showAll="0"/>
    <pivotField showAll="0">
      <items count="3">
        <item x="0"/>
        <item x="1"/>
        <item t="default"/>
      </items>
    </pivotField>
    <pivotField numFmtId="166" showAll="0"/>
    <pivotField numFmtId="166" showAll="0"/>
    <pivotField numFmtId="166" showAll="0"/>
    <pivotField multipleItemSelectionAllowed="1" showAll="0" sortType="descending"/>
    <pivotField axis="axisRow" dataField="1" showAll="0" sortType="descending">
      <items count="2">
        <item x="0"/>
        <item t="default"/>
      </items>
    </pivotField>
    <pivotField showAll="0"/>
    <pivotField showAll="0"/>
    <pivotField showAll="0"/>
    <pivotField showAll="0"/>
    <pivotField numFmtId="9" showAll="0"/>
    <pivotField numFmtId="164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axis="axisCol" showAll="0" sortType="descending">
      <items count="3">
        <item x="1"/>
        <item x="0"/>
        <item t="default"/>
      </items>
    </pivotField>
    <pivotField showAll="0"/>
    <pivotField showAll="0"/>
    <pivotField numFmtId="18" showAll="0"/>
  </pivotFields>
  <rowFields count="1">
    <field x="8"/>
  </rowFields>
  <rowItems count="1">
    <i>
      <x/>
    </i>
  </rowItems>
  <colFields count="1">
    <field x="26"/>
  </colFields>
  <colItems count="2">
    <i>
      <x/>
    </i>
    <i>
      <x v="1"/>
    </i>
  </colItems>
  <dataFields count="1">
    <dataField name="Cta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65ACC4-BCBE-4F81-89DB-740A3BA86F1A}" name="Duracion PRom" cacheId="14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M2:M3" firstHeaderRow="1" firstDataRow="1" firstDataCol="0"/>
  <pivotFields count="30"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dataField="1" numFmtId="20"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8" showAll="0"/>
  </pivotFields>
  <rowItems count="1">
    <i/>
  </rowItems>
  <colItems count="1">
    <i/>
  </colItems>
  <dataFields count="1">
    <dataField name="Promedio de Duracion" fld="6" subtotal="average" baseField="0" baseItem="9" numFmtId="4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963044-047E-4267-849B-7B0F1762C7EB}" name="DD" cacheId="14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EX2:EX3" firstHeaderRow="1" firstDataRow="1" firstDataCol="0"/>
  <pivotFields count="30">
    <pivotField showAll="0"/>
    <pivotField showAll="0">
      <items count="3">
        <item x="0"/>
        <item x="1"/>
        <item t="default"/>
      </items>
    </pivotField>
    <pivotField numFmtId="165" showAll="0"/>
    <pivotField showAll="0"/>
    <pivotField numFmtId="166" showAll="0"/>
    <pivotField numFmtId="166" showAll="0"/>
    <pivotField numFmtId="45" showAll="0"/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showAll="0"/>
    <pivotField numFmtId="10" showAll="0"/>
    <pivotField numFmtId="10" showAll="0"/>
    <pivotField dataField="1"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numFmtId="18" showAll="0"/>
  </pivotFields>
  <rowItems count="1">
    <i/>
  </rowItems>
  <colItems count="1">
    <i/>
  </colItems>
  <dataFields count="1">
    <dataField name="Mín. de DD" fld="18" subtotal="min" baseField="0" baseItem="1286879488" numFmtId="10"/>
  </dataFields>
  <formats count="1">
    <format dxfId="4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87C0E5-52C8-4A0D-9F73-5A384DE0C8A4}" name="Crit 5" cacheId="141" applyNumberFormats="0" applyBorderFormats="0" applyFontFormats="0" applyPatternFormats="0" applyAlignmentFormats="0" applyWidthHeightFormats="1" dataCaption="Valores" grandTotalCaption="Tot" updatedVersion="7" minRefreshableVersion="3" useAutoFormatting="1" rowGrandTotals="0" colGrandTotals="0" itemPrintTitles="1" createdVersion="7" indent="0" outline="1" outlineData="1" multipleFieldFilters="0" rowHeaderCaption="S/N" colHeaderCaption=" ">
  <location ref="DH3:DJ5" firstHeaderRow="1" firstDataRow="2" firstDataCol="1"/>
  <pivotFields count="30">
    <pivotField showAll="0"/>
    <pivotField showAll="0">
      <items count="3">
        <item x="0"/>
        <item x="1"/>
        <item t="default"/>
      </items>
    </pivotField>
    <pivotField numFmtId="165" showAll="0"/>
    <pivotField showAll="0">
      <items count="3">
        <item x="0"/>
        <item x="1"/>
        <item t="default"/>
      </items>
    </pivotField>
    <pivotField numFmtId="166" showAll="0"/>
    <pivotField numFmtId="166" showAll="0"/>
    <pivotField numFmtId="166" showAll="0"/>
    <pivotField multipleItemSelectionAllowed="1" showAll="0" sortType="descending"/>
    <pivotField showAll="0" sortType="descending"/>
    <pivotField showAll="0"/>
    <pivotField showAll="0"/>
    <pivotField axis="axisRow" dataField="1" showAll="0" sortType="descending">
      <items count="2">
        <item x="0"/>
        <item t="default"/>
      </items>
    </pivotField>
    <pivotField showAll="0"/>
    <pivotField numFmtId="9" showAll="0"/>
    <pivotField numFmtId="164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axis="axisCol" showAll="0" sortType="descending">
      <items count="3">
        <item x="1"/>
        <item x="0"/>
        <item t="default"/>
      </items>
    </pivotField>
    <pivotField showAll="0"/>
    <pivotField showAll="0"/>
    <pivotField numFmtId="18" showAll="0"/>
  </pivotFields>
  <rowFields count="1">
    <field x="11"/>
  </rowFields>
  <rowItems count="1">
    <i>
      <x/>
    </i>
  </rowItems>
  <colFields count="1">
    <field x="26"/>
  </colFields>
  <colItems count="2">
    <i>
      <x/>
    </i>
    <i>
      <x v="1"/>
    </i>
  </colItems>
  <dataFields count="1">
    <dataField name="Cta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0AD4CD-1CA2-47E6-8191-1C4E8FB8A773}" name="Crit 3" cacheId="141" applyNumberFormats="0" applyBorderFormats="0" applyFontFormats="0" applyPatternFormats="0" applyAlignmentFormats="0" applyWidthHeightFormats="1" dataCaption="Valores" grandTotalCaption="Tot" updatedVersion="7" minRefreshableVersion="3" useAutoFormatting="1" rowGrandTotals="0" colGrandTotals="0" itemPrintTitles="1" createdVersion="7" indent="0" outline="1" outlineData="1" multipleFieldFilters="0" rowHeaderCaption="S/N" colHeaderCaption=" ">
  <location ref="CV3:CX6" firstHeaderRow="1" firstDataRow="2" firstDataCol="1"/>
  <pivotFields count="30">
    <pivotField showAll="0"/>
    <pivotField showAll="0">
      <items count="3">
        <item x="0"/>
        <item x="1"/>
        <item t="default"/>
      </items>
    </pivotField>
    <pivotField numFmtId="165" showAll="0"/>
    <pivotField showAll="0">
      <items count="3">
        <item x="0"/>
        <item x="1"/>
        <item t="default"/>
      </items>
    </pivotField>
    <pivotField numFmtId="166" showAll="0"/>
    <pivotField numFmtId="166" showAll="0"/>
    <pivotField numFmtId="166" showAll="0"/>
    <pivotField multipleItemSelectionAllowed="1" showAll="0" sortType="descending"/>
    <pivotField showAll="0" sortType="descending"/>
    <pivotField axis="axisRow" dataField="1" showAll="0" sortType="descending">
      <items count="3">
        <item x="1"/>
        <item x="0"/>
        <item t="default"/>
      </items>
    </pivotField>
    <pivotField showAll="0"/>
    <pivotField showAll="0"/>
    <pivotField showAll="0"/>
    <pivotField numFmtId="9" showAll="0"/>
    <pivotField numFmtId="164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axis="axisCol" showAll="0" sortType="descending">
      <items count="3">
        <item x="1"/>
        <item x="0"/>
        <item t="default"/>
      </items>
    </pivotField>
    <pivotField showAll="0"/>
    <pivotField showAll="0"/>
    <pivotField numFmtId="18" showAll="0"/>
  </pivotFields>
  <rowFields count="1">
    <field x="9"/>
  </rowFields>
  <rowItems count="2">
    <i>
      <x/>
    </i>
    <i>
      <x v="1"/>
    </i>
  </rowItems>
  <colFields count="1">
    <field x="26"/>
  </colFields>
  <colItems count="2">
    <i>
      <x/>
    </i>
    <i>
      <x v="1"/>
    </i>
  </colItems>
  <dataFields count="1">
    <dataField name="Cta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811320-A095-4CA8-AA23-A19979ADCD66}" name="Top 5 Ops -" cacheId="14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rowHeaderCaption=" ">
  <location ref="BC2:BE4" firstHeaderRow="0" firstDataRow="1" firstDataCol="1"/>
  <pivotFields count="30">
    <pivotField axis="axisRow" showAll="0" measureFilter="1" sortType="a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0"/>
        <item x="1"/>
        <item t="default"/>
      </items>
    </pivotField>
    <pivotField numFmtId="16" showAll="0"/>
    <pivotField showAll="0">
      <items count="3">
        <item x="0"/>
        <item x="1"/>
        <item t="default"/>
      </items>
    </pivotField>
    <pivotField showAll="0"/>
    <pivotField showAll="0"/>
    <pivotField numFmtId="45" showAll="0"/>
    <pivotField showAll="0"/>
    <pivotField showAll="0"/>
    <pivotField showAll="0"/>
    <pivotField showAll="0"/>
    <pivotField showAll="0"/>
    <pivotField showAll="0"/>
    <pivotField dataField="1" numFmtId="9" showAll="0"/>
    <pivotField dataField="1" numFmtId="164" showAll="0"/>
    <pivotField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8" showAll="0"/>
  </pivotFields>
  <rowFields count="1">
    <field x="0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($)" fld="14" baseField="0" baseItem="0"/>
    <dataField name="Cump" fld="13" baseField="0" baseItem="0"/>
  </dataFields>
  <formats count="3">
    <format dxfId="45">
      <pivotArea dataOnly="0" outline="0" fieldPosition="0">
        <references count="1">
          <reference field="4294967294" count="1">
            <x v="0"/>
          </reference>
        </references>
      </pivotArea>
    </format>
    <format dxfId="46">
      <pivotArea dataOnly="0" outline="0" fieldPosition="0">
        <references count="1">
          <reference field="4294967294" count="1">
            <x v="1"/>
          </reference>
        </references>
      </pivotArea>
    </format>
    <format dxfId="4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290EA2E4-1F16-43B0-BE7D-BDFA9FEA4EE2}" sourceName="Mes">
  <pivotTables>
    <pivotTable tabId="15" name="% x Mes"/>
    <pivotTable tabId="15" name="% Cumpl"/>
    <pivotTable tabId="15" name="% TP SL BE"/>
    <pivotTable tabId="15" name="Acum MAX"/>
    <pivotTable tabId="15" name="Acum MIN"/>
    <pivotTable tabId="15" name="Cant Ops"/>
    <pivotTable tabId="15" name="Crit 2"/>
    <pivotTable tabId="15" name="Crit 3"/>
    <pivotTable tabId="15" name="Crit 4"/>
    <pivotTable tabId="15" name="Crit 5"/>
    <pivotTable tabId="15" name="Crit 6"/>
    <pivotTable tabId="15" name="Crit1"/>
    <pivotTable tabId="15" name="DD"/>
    <pivotTable tabId="15" name="Duracion PRom"/>
    <pivotTable tabId="15" name="Fall E Cuenta"/>
    <pivotTable tabId="15" name="Fall E x TPSLBE"/>
    <pivotTable tabId="15" name="Fall T x TPSLBE"/>
    <pivotTable tabId="15" name="Falla T Cuenta"/>
    <pivotTable tabId="15" name="Grafica Acumulado"/>
    <pivotTable tabId="15" name="Mejor Par"/>
    <pivotTable tabId="15" name="Mejor Sem"/>
    <pivotTable tabId="15" name="Pares Cuenta"/>
    <pivotTable tabId="15" name="Peor Par"/>
    <pivotTable tabId="15" name="Peor Sem"/>
    <pivotTable tabId="15" name="Prom Aririesgado"/>
    <pivotTable tabId="15" name="Prom x OP"/>
    <pivotTable tabId="15" name="R:R"/>
    <pivotTable tabId="15" name="Rend $ x Par"/>
    <pivotTable tabId="15" name="Rend x Sem"/>
    <pivotTable tabId="15" name="Tipo Trader"/>
    <pivotTable tabId="15" name="Top 5 Ops -"/>
    <pivotTable tabId="15" name="Top 5 Ops +"/>
    <pivotTable tabId="15" name="Hrs del Dia"/>
    <pivotTable tabId="15" name="TablaDinámica2"/>
  </pivotTables>
  <data>
    <tabular pivotCacheId="806742766">
      <items count="1"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BE_Auto" xr10:uid="{581ADFA3-F713-4595-868B-CB7ED65666D0}" sourceName="BE Auto">
  <pivotTables>
    <pivotTable tabId="15" name="TablaDinámica2"/>
    <pivotTable tabId="15" name="% Cumpl"/>
    <pivotTable tabId="15" name="% x Mes"/>
    <pivotTable tabId="15" name="Acum MAX"/>
    <pivotTable tabId="15" name="Acum MIN"/>
    <pivotTable tabId="15" name="Cant Ops"/>
    <pivotTable tabId="15" name="Duracion PRom"/>
    <pivotTable tabId="15" name="Fall E Cuenta"/>
    <pivotTable tabId="15" name="Falla T Cuenta"/>
    <pivotTable tabId="15" name="Grafica Acumulado"/>
    <pivotTable tabId="15" name="Pares Cuenta"/>
    <pivotTable tabId="15" name="Top 5 Ops -"/>
    <pivotTable tabId="15" name="Top 5 Ops +"/>
    <pivotTable tabId="15" name="Prom x OP"/>
    <pivotTable tabId="15" name="Rend x Sem"/>
    <pivotTable tabId="15" name="Hrs del Dia"/>
  </pivotTables>
  <data>
    <tabular pivotCacheId="806742766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mana" xr10:uid="{A2040609-9449-4FC0-8D5B-A09874EDFC1C}" sourceName="Semana">
  <pivotTables>
    <pivotTable tabId="15" name="Rend x Sem"/>
    <pivotTable tabId="15" name="% Cumpl"/>
    <pivotTable tabId="15" name="% TP SL BE"/>
    <pivotTable tabId="15" name="Acum MAX"/>
    <pivotTable tabId="15" name="Acum MIN"/>
    <pivotTable tabId="15" name="Cant Ops"/>
    <pivotTable tabId="15" name="Duracion PRom"/>
    <pivotTable tabId="15" name="Fall E Cuenta"/>
    <pivotTable tabId="15" name="Falla T Cuenta"/>
    <pivotTable tabId="15" name="Mejor Par"/>
    <pivotTable tabId="15" name="Pares Cuenta"/>
    <pivotTable tabId="15" name="Peor Par"/>
    <pivotTable tabId="15" name="R:R"/>
    <pivotTable tabId="15" name="Rend $ x Par"/>
    <pivotTable tabId="15" name="Top 5 Ops -"/>
    <pivotTable tabId="15" name="Top 5 Ops +"/>
    <pivotTable tabId="15" name="Grafica Acumulado"/>
    <pivotTable tabId="15" name="Prom x OP"/>
    <pivotTable tabId="15" name="DD"/>
    <pivotTable tabId="15" name="Prom Aririesgado"/>
    <pivotTable tabId="15" name="Crit 2"/>
    <pivotTable tabId="15" name="Crit 3"/>
    <pivotTable tabId="15" name="Crit 4"/>
    <pivotTable tabId="15" name="Crit 5"/>
    <pivotTable tabId="15" name="Crit 6"/>
    <pivotTable tabId="15" name="Crit1"/>
    <pivotTable tabId="15" name="Fall E x TPSLBE"/>
    <pivotTable tabId="15" name="Fall T x TPSLBE"/>
    <pivotTable tabId="15" name="Tipo Trader"/>
  </pivotTables>
  <data>
    <tabular pivotCacheId="806742766" showMissing="0">
      <items count="2">
        <i x="0" s="1"/>
        <i x="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3DDD7A7D-CE8C-4945-B41A-40269429C057}" sourceName="Año">
  <pivotTables>
    <pivotTable tabId="15" name="% x Mes"/>
    <pivotTable tabId="15" name="% Cumpl"/>
    <pivotTable tabId="15" name="% TP SL BE"/>
    <pivotTable tabId="15" name="Acum MAX"/>
    <pivotTable tabId="15" name="Acum MIN"/>
    <pivotTable tabId="15" name="Cant Ops"/>
    <pivotTable tabId="15" name="Crit 2"/>
    <pivotTable tabId="15" name="Crit 3"/>
    <pivotTable tabId="15" name="Crit 4"/>
    <pivotTable tabId="15" name="Crit 5"/>
    <pivotTable tabId="15" name="Crit 6"/>
    <pivotTable tabId="15" name="Crit1"/>
    <pivotTable tabId="15" name="DD"/>
    <pivotTable tabId="15" name="Duracion PRom"/>
    <pivotTable tabId="15" name="Fall E Cuenta"/>
    <pivotTable tabId="15" name="Fall E x TPSLBE"/>
    <pivotTable tabId="15" name="Fall T x TPSLBE"/>
    <pivotTable tabId="15" name="Falla T Cuenta"/>
    <pivotTable tabId="15" name="Grafica Acumulado"/>
    <pivotTable tabId="15" name="Hrs del Dia"/>
    <pivotTable tabId="15" name="Mejor Par"/>
    <pivotTable tabId="15" name="Mejor Sem"/>
    <pivotTable tabId="15" name="Pares Cuenta"/>
    <pivotTable tabId="15" name="Peor Par"/>
    <pivotTable tabId="15" name="Peor Sem"/>
    <pivotTable tabId="15" name="Prom Aririesgado"/>
    <pivotTable tabId="15" name="Prom x OP"/>
    <pivotTable tabId="15" name="R:R"/>
    <pivotTable tabId="15" name="Rend $ x Par"/>
    <pivotTable tabId="15" name="Rend x Sem"/>
    <pivotTable tabId="15" name="TablaDinámica2"/>
    <pivotTable tabId="15" name="Tipo Trader"/>
    <pivotTable tabId="15" name="Top 5 Ops -"/>
    <pivotTable tabId="15" name="Top 5 Ops +"/>
  </pivotTables>
  <data>
    <tabular pivotCacheId="806742766">
      <items count="1">
        <i x="0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ctivo" xr10:uid="{7F3CB742-42B3-4F31-B1F5-7DE44E4AB985}" sourceName="Activo">
  <pivotTables>
    <pivotTable tabId="15" name="% Cumpl"/>
    <pivotTable tabId="15" name="% TP SL BE"/>
    <pivotTable tabId="15" name="% x Mes"/>
    <pivotTable tabId="15" name="Acum MAX"/>
    <pivotTable tabId="15" name="Acum MIN"/>
    <pivotTable tabId="15" name="Cant Ops"/>
    <pivotTable tabId="15" name="Crit 2"/>
    <pivotTable tabId="15" name="Crit 3"/>
    <pivotTable tabId="15" name="Crit 4"/>
    <pivotTable tabId="15" name="Crit 5"/>
    <pivotTable tabId="15" name="Crit 6"/>
    <pivotTable tabId="15" name="Crit1"/>
    <pivotTable tabId="15" name="Duracion PRom"/>
    <pivotTable tabId="15" name="Fall E Cuenta"/>
    <pivotTable tabId="15" name="Fall E x TPSLBE"/>
    <pivotTable tabId="15" name="Fall T x TPSLBE"/>
    <pivotTable tabId="15" name="Falla T Cuenta"/>
    <pivotTable tabId="15" name="Grafica Acumulado"/>
    <pivotTable tabId="15" name="Hrs del Dia"/>
    <pivotTable tabId="15" name="Prom Aririesgado"/>
    <pivotTable tabId="15" name="Prom x OP"/>
    <pivotTable tabId="15" name="R:R"/>
    <pivotTable tabId="15" name="Rend x Sem"/>
    <pivotTable tabId="15" name="Tipo Trader"/>
    <pivotTable tabId="15" name="Top 5 Ops -"/>
    <pivotTable tabId="15" name="Top 5 Ops +"/>
  </pivotTables>
  <data>
    <tabular pivotCacheId="806742766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" xr10:uid="{5DA46A15-FAE4-4D56-8699-BEF969B4ED90}" cache="SegmentaciónDeDatos_Mes" columnCount="6" style="Mi Estilo" rowHeight="144000"/>
  <slicer name="BE Auto" xr10:uid="{27991FAC-A8B3-4C87-BBD7-2C5E540FCBFD}" cache="SegmentaciónDeDatos_BE_Auto" columnCount="3" style="Mi Estilo" rowHeight="108000"/>
  <slicer name="Año 1" xr10:uid="{0BBF94FE-681F-43A7-9499-C9AB70B819C8}" cache="SegmentaciónDeDatos_Año" columnCount="2" style="Mi Estilo" rowHeight="144000"/>
  <slicer name="Activo 1" xr10:uid="{89FD600B-9126-449E-9246-1A1F5F45B5D7}" cache="SegmentaciónDeDatos_Activo" columnCount="5" style="Mi Estilo" rowHeight="1080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mana" xr10:uid="{DCE9B852-DBF4-437A-B989-E98A87AE1CB9}" cache="SegmentaciónDeDatos_Semana" caption="Semana" columnCount="2" style="Mi Estilo" rowHeight="234950"/>
  <slicer name="Año" xr10:uid="{9C261E31-C569-4BE7-8A8D-516229266342}" cache="SegmentaciónDeDatos_Año" columnCount="2" style="Mi Estilo" rowHeight="144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6AB22-C6B4-4B1A-BBC0-8ECA36C9DC95}" name="JOURNAL" displayName="JOURNAL" ref="A7:AD9" headerRowDxfId="142" dataDxfId="141" totalsRowDxfId="140">
  <autoFilter ref="A7:AD9" xr:uid="{1726AB22-C6B4-4B1A-BBC0-8ECA36C9DC9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6" xr3:uid="{E0C46DB0-BEE8-476B-8A67-E00969746CCF}" name="#" dataDxfId="139" totalsRowDxfId="138">
      <calculatedColumnFormula>IF(A7="#",TEXT(1,"000"),TEXT(A7+1,"000"))</calculatedColumnFormula>
    </tableColumn>
    <tableColumn id="23" xr3:uid="{745FA8AF-22F7-4270-9E59-F6C234192A8D}" name="Semana" dataDxfId="137" totalsRowDxfId="136">
      <calculatedColumnFormula>IFERROR(WEEKNUM(JOURNAL[[#This Row],[Fecha]],1),"")</calculatedColumnFormula>
    </tableColumn>
    <tableColumn id="16" xr3:uid="{0A438FF7-8EEF-4106-B3E6-AC5E20B15997}" name="Fecha" dataDxfId="58" totalsRowDxfId="135"/>
    <tableColumn id="19" xr3:uid="{154B43B0-4AAA-4A29-9156-E4C23C157B7B}" name="Activo" dataDxfId="59" totalsRowDxfId="134"/>
    <tableColumn id="17" xr3:uid="{94615505-CBE7-4BFA-90FC-A015DF4C01A4}" name="Hora de Entrada" dataDxfId="57" totalsRowDxfId="133"/>
    <tableColumn id="20" xr3:uid="{CA96445B-1217-4FB4-A036-0DC7B36CE272}" name="Hora de Salida" dataDxfId="56" totalsRowDxfId="132"/>
    <tableColumn id="2" xr3:uid="{78C97F5E-D47F-43C8-942D-AC9A6422364D}" name="Duracion" dataDxfId="131" totalsRowDxfId="130">
      <calculatedColumnFormula>IF(JOURNAL[[#This Row],[Hora de Salida]]&lt;JOURNAL[[#This Row],[Hora de Entrada]],(JOURNAL[[#This Row],[Hora de Salida]]+1)-JOURNAL[[#This Row],[Hora de Entrada]],JOURNAL[[#This Row],[Hora de Salida]]-JOURNAL[[#This Row],[Hora de Entrada]])</calculatedColumnFormula>
    </tableColumn>
    <tableColumn id="1" xr3:uid="{2B08BEF8-0430-41FA-B2FE-17B3D7DD7812}" name="Criterio 1" dataDxfId="129"/>
    <tableColumn id="3" xr3:uid="{9E50F821-BAAD-43E6-8C91-C5F6A43DFB47}" name="Criterio 2" dataDxfId="128"/>
    <tableColumn id="5" xr3:uid="{E5FE325B-E8B0-4126-9C39-F47DDA3C1591}" name="Criterio 3" dataDxfId="127"/>
    <tableColumn id="7" xr3:uid="{F94354EC-3434-419E-87C2-914C70CEC819}" name="Criterio 4" dataDxfId="126"/>
    <tableColumn id="9" xr3:uid="{8458B4B2-DDCC-4B12-87FF-820B85BA6FFB}" name="Criterio 5" dataDxfId="125"/>
    <tableColumn id="11" xr3:uid="{AB18D0A5-22C6-4D5D-B02D-562A2A9140E6}" name="Criterio 6" dataDxfId="124"/>
    <tableColumn id="13" xr3:uid="{3685FDB1-AABF-4720-BDD3-F09A65AA5028}" name="Cumplimiento" dataDxfId="123">
      <calculatedColumnFormula>IF(AND(ISBLANK(JOURNAL[[#This Row],[Criterio 1]]),ISBLANK(JOURNAL[[#This Row],[Criterio 2]]),ISBLANK(JOURNAL[[#This Row],[Criterio 3]]),ISBLANK(JOURNAL[[#This Row],[Criterio 4]]),ISBLANK(JOURNAL[[#This Row],[Criterio 5]]),ISBLANK(JOURNAL[[#This Row],[Criterio 6]])),"",((IF($H$6&lt;&gt;"",(COUNTIF(JOURNAL[[#This Row],[Criterio 1]],"si")*$H$6),0))+(IF($I$6&lt;&gt;"",(COUNTIF(JOURNAL[[#This Row],[Criterio 2]],"si")*$I$6),0))+(IF($J$6&lt;&gt;"",(COUNTIF(JOURNAL[[#This Row],[Criterio 3]],"si")*$J$6),0))+(IF($K$6&lt;&gt;"",(COUNTIF(JOURNAL[[#This Row],[Criterio 4]],"si")*$K$6),0))+(IF($L$6&lt;&gt;"",(COUNTIF(JOURNAL[[#This Row],[Criterio 5]],"si")*$L$6),0))+(IF($M$6&lt;&gt;"",(COUNTIF(JOURNAL[[#This Row],[Criterio 6]],"si")*$M$6),0)))/$N$6)</calculatedColumnFormula>
    </tableColumn>
    <tableColumn id="4" xr3:uid="{EC4266C6-D235-4D51-AF9C-6FFDB561F76D}" name="Resultado ($)" dataDxfId="55"/>
    <tableColumn id="14" xr3:uid="{206E4C9B-2238-483B-92F2-BBF87AD5324A}" name="TP,SL o BE" dataDxfId="122" totalsRowDxfId="121"/>
    <tableColumn id="15" xr3:uid="{15DF509B-F4D6-4647-B96C-17C827B512F2}" name="%" totalsRowFunction="sum" dataDxfId="120" totalsRowDxfId="119">
      <calculatedColumnFormula>IF(JOURNAL[[#This Row],[Resultado ($)]]="","",JOURNAL[[#This Row],[Resultado ($)]]/CUENTA!$B$11)</calculatedColumnFormula>
    </tableColumn>
    <tableColumn id="21" xr3:uid="{509F43FE-5A2A-452C-9A30-1D06F041AACF}" name="ACUM" dataDxfId="118">
      <calculatedColumnFormula>IF(JOURNAL[[#This Row],[Resultado ($)]]="","",IF(ISNUMBER(R7),R7+Q8,Q8))</calculatedColumnFormula>
    </tableColumn>
    <tableColumn id="8" xr3:uid="{60B20E38-A6B5-4410-8988-ADFC2B34F631}" name="DD" dataDxfId="117" totalsRowDxfId="116">
      <calculatedColumnFormula array="1">IF(JOURNAL[[#This Row],[Resultado ($)]]="","",IF(COUNT($R$8:R8&lt;2),R8, R8-MAX($R$8:R8)))</calculatedColumnFormula>
    </tableColumn>
    <tableColumn id="18" xr3:uid="{2DB48FE1-A3CE-4327-B2AA-435E79AC2D1F}" name="Falla Tecnica" dataDxfId="115"/>
    <tableColumn id="22" xr3:uid="{5EFA624A-2F08-464E-85EB-9A786D93AD39}" name="Falla Emocional" dataDxfId="114"/>
    <tableColumn id="24" xr3:uid="{0A6D2BD8-7DAF-4C14-B506-B09FC6CDD237}" name="Observaciones" dataDxfId="113" totalsRowDxfId="112"/>
    <tableColumn id="25" xr3:uid="{AA121E01-CDED-46BD-93C9-6506F226C506}" name="Anexo" dataDxfId="111" totalsRowDxfId="110"/>
    <tableColumn id="10" xr3:uid="{14465F64-04F2-4C4A-AE5C-E80AE2CFA186}" name="LMMJV" dataDxfId="109" totalsRowDxfId="108">
      <calculatedColumnFormula>IF(C8="","",TEXT(JOURNAL[[#This Row],[Fecha]],"dddd"))</calculatedColumnFormula>
    </tableColumn>
    <tableColumn id="12" xr3:uid="{35B452F8-8E3B-45D8-B6B1-4E5EA5ED5DC3}" name="Mes" dataDxfId="107" totalsRowDxfId="106">
      <calculatedColumnFormula>IF(D8="","",TEXT(JOURNAL[[#This Row],[Fecha]],"mmm"))</calculatedColumnFormula>
    </tableColumn>
    <tableColumn id="26" xr3:uid="{953884A8-1C65-4CB3-BEC1-EA5033DAD789}" name="Año" dataDxfId="105" totalsRowDxfId="104">
      <calculatedColumnFormula>IF(C8="","",TEXT(JOURNAL[[#This Row],[Fecha]],"yyyy"))</calculatedColumnFormula>
    </tableColumn>
    <tableColumn id="27" xr3:uid="{A115F404-9D18-4644-9B69-C0DD6494E0D4}" name="BE Auto" dataDxfId="103" totalsRowDxfId="102">
      <calculatedColumnFormula>IF(JOURNAL[[#This Row],[Resultado ($)]]="","",IF(CUENTA!$E$19,JOURNAL[[#This Row],[AUXILIAR BE]],JOURNAL[[#This Row],[TP,SL o BE]]))</calculatedColumnFormula>
    </tableColumn>
    <tableColumn id="28" xr3:uid="{88648829-3250-45A4-8493-E3B92F88DB06}" name="AUXILIAR BE" dataDxfId="101" totalsRowDxfId="100">
      <calculatedColumnFormula>IF(JOURNAL[[#This Row],[Resultado ($)]]="","",IF(AND(JOURNAL[[#This Row],[Resultado ($)]]&gt;=-CUENTA!$E$20,JOURNAL[[#This Row],[Resultado ($)]]&lt;=CUENTA!$E$20),"BE",IF(JOURNAL[[#This Row],[Resultado ($)]]&gt;0,"TP","SL")))</calculatedColumnFormula>
    </tableColumn>
    <tableColumn id="29" xr3:uid="{34695921-8DC2-4A7E-B112-2EAE4BF3C883}" name="TIPO DE TRADE" dataDxfId="61" totalsRowDxfId="99">
      <calculatedColumnFormula>IF(JOURNAL[[#This Row],[Duracion]]&lt;info!$AA$1,info!$Z$1,IF(AND(JOURNAL[[#This Row],[Duracion]]&lt;info!$AA$2,JOURNAL[[#This Row],[Duracion]]&gt;=info!$AA$1),info!$Z$2,"Swing Trader"))</calculatedColumnFormula>
    </tableColumn>
    <tableColumn id="30" xr3:uid="{A31419C3-317F-4CC5-99B3-4893BB4724E9}" name="HE" dataDxfId="60">
      <calculatedColumnFormula>TIME(HOUR(JOURNAL[[#This Row],[Hora de Entrada]]),0,0)</calculatedColumnFormula>
    </tableColumn>
  </tableColumns>
  <tableStyleInfo name="Mi tabla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FDC0D2-B853-45A7-94D0-38E47A6C0DA9}" name="Tabla8" displayName="Tabla8" ref="AM8:AO11" totalsRowShown="0">
  <autoFilter ref="AM8:AO11" xr:uid="{48FDC0D2-B853-45A7-94D0-38E47A6C0DA9}">
    <filterColumn colId="0" hiddenButton="1"/>
    <filterColumn colId="1" hiddenButton="1"/>
    <filterColumn colId="2" hiddenButton="1"/>
  </autoFilter>
  <tableColumns count="3">
    <tableColumn id="1" xr3:uid="{928465EC-AE36-4429-BA6A-A3843752BF62}" name="Resultado"/>
    <tableColumn id="2" xr3:uid="{2BEE57E4-BEC8-438E-A9EA-9CF01954B35D}" name="Cantidad" dataDxfId="98">
      <calculatedColumnFormula>IFERROR(VLOOKUP(Tabla8[[#This Row],[Resultado]],$AM$3:$AN$5,2,0),"")</calculatedColumnFormula>
    </tableColumn>
    <tableColumn id="3" xr3:uid="{37D695F8-7353-42A5-BBF0-B6A2D6C0237E}" name="%" dataDxfId="97" dataCellStyle="Porcentaje">
      <calculatedColumnFormula>IFERROR(AN9/$AN$12,"")</calculatedColumnFormula>
    </tableColumn>
  </tableColumns>
  <tableStyleInfo name="Mi tabla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232968-73E3-4FF6-B6FD-98A5D40144CA}" name="Tabla7" displayName="Tabla7" ref="EZ8:FB11" totalsRowShown="0" headerRowDxfId="96">
  <autoFilter ref="EZ8:FB11" xr:uid="{DA232968-73E3-4FF6-B6FD-98A5D40144CA}"/>
  <sortState xmlns:xlrd2="http://schemas.microsoft.com/office/spreadsheetml/2017/richdata2" ref="EZ9:FB11">
    <sortCondition descending="1" ref="FA8:FA11"/>
  </sortState>
  <tableColumns count="3">
    <tableColumn id="1" xr3:uid="{44ED93F1-4AA1-4E72-877E-24F74F0F9F2B}" name="Tipo"/>
    <tableColumn id="2" xr3:uid="{478AF780-BEFD-4B62-9794-E1CEE5D5F6E3}" name="Cantidad" dataDxfId="95">
      <calculatedColumnFormula>IFERROR(IF(OR(VLOOKUP(Tabla7[[#This Row],[Tipo]],$EZ$4:$FC$6,2,0)="",VLOOKUP(Tabla7[[#This Row],[Tipo]],$EZ$4:$FC$6,2,0))=0,"",VLOOKUP(Tabla7[[#This Row],[Tipo]],$EZ$4:$FC$6,2,0)),"")</calculatedColumnFormula>
    </tableColumn>
    <tableColumn id="3" xr3:uid="{D7232BAE-17A4-4B7E-A3DF-4F73E665C8B5}" name="%" dataDxfId="94" dataCellStyle="Porcentaje">
      <calculatedColumnFormula>IFERROR(IF(Tabla7[[#This Row],[Cantidad]]=0,"",Tabla7[[#This Row],[Cantidad]]/SUM($FA$4:$FA$6)),"")</calculatedColumnFormula>
    </tableColumn>
  </tableColumns>
  <tableStyleInfo name="Mi tabla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2660E2B-E785-46C4-ADEC-564EC9BC834F}" name="Tabla11" displayName="Tabla11" ref="DT3:DY9" totalsRowShown="0" headerRowDxfId="93" headerRowBorderDxfId="92" tableBorderDxfId="91" totalsRowBorderDxfId="90">
  <autoFilter ref="DT3:DY9" xr:uid="{02660E2B-E785-46C4-ADEC-564EC9BC83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B131B0F-0F25-41C8-BE6D-8F4E6CBA2B0F}" name="Criterio" dataDxfId="89"/>
    <tableColumn id="2" xr3:uid="{87F23CDF-EBBA-4FE4-8C2B-BA59F8862F9B}" name="Descripcion" dataDxfId="88">
      <calculatedColumnFormula>VLOOKUP(DT4,Tabla10[],2,0)</calculatedColumnFormula>
    </tableColumn>
    <tableColumn id="3" xr3:uid="{C334CF70-F837-4FF3-867B-DE242D9B150A}" name="Uso" dataDxfId="87"/>
    <tableColumn id="4" xr3:uid="{1F09E033-0888-4EBB-BEE6-69AA0C0F0EF3}" name="% Uso" dataDxfId="86" dataCellStyle="Porcentaje">
      <calculatedColumnFormula>IF(DV4="","",DV4/$H$3)</calculatedColumnFormula>
    </tableColumn>
    <tableColumn id="5" xr3:uid="{875B558A-5C3F-45DB-83CA-40D479DDDF80}" name="TP" dataDxfId="85"/>
    <tableColumn id="6" xr3:uid="{FF3160C8-5F86-48FA-BC06-7D2F5C5CF27A}" name="Rel" dataDxfId="84" dataCellStyle="Porcentaje">
      <calculatedColumnFormula>IF(DV4="","",IF(DX4="","",DX4/DV4))</calculatedColumnFormula>
    </tableColumn>
  </tableColumns>
  <tableStyleInfo name="Mi tabla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982C94-1B07-45FF-9A3C-BE41A7A00299}" name="Tabla5" displayName="Tabla5" ref="A1:C27" totalsRowShown="0" headerRowDxfId="83" dataDxfId="82">
  <autoFilter ref="A1:C27" xr:uid="{03982C94-1B07-45FF-9A3C-BE41A7A00299}"/>
  <tableColumns count="3">
    <tableColumn id="1" xr3:uid="{FE7AA461-EF60-49CF-9214-BAD526F43FF0}" name="Fecha" dataDxfId="81"/>
    <tableColumn id="2" xr3:uid="{23775A8C-0DAD-46EB-9768-C9A0E0715BC8}" name="Correcciones" dataDxfId="80"/>
    <tableColumn id="3" xr3:uid="{A877B950-6465-464C-A7E7-33D0DB166347}" name="Pendiente" dataDxfId="79"/>
  </tableColumns>
  <tableStyleInfo name="Mi tabla 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9F354D-9573-404B-8783-D2E1C93907EF}" name="EMPRESAFONDEO" displayName="EMPRESAFONDEO" ref="A1:A8" totalsRowShown="0" headerRowDxfId="78" dataDxfId="77">
  <autoFilter ref="A1:A8" xr:uid="{969F354D-9573-404B-8783-D2E1C93907EF}"/>
  <tableColumns count="1">
    <tableColumn id="1" xr3:uid="{0BF92B5B-D4DA-425D-8B7B-62AAD7FCC152}" name="Empresa de Fondeo" dataDxfId="7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766096-80C3-45CE-8795-31A05CD76702}" name="TAMAÑOCUENTA" displayName="TAMAÑOCUENTA" ref="B1:B10" totalsRowShown="0" headerRowDxfId="75" dataDxfId="74">
  <autoFilter ref="B1:B10" xr:uid="{12766096-80C3-45CE-8795-31A05CD76702}"/>
  <tableColumns count="1">
    <tableColumn id="1" xr3:uid="{52AAC401-DA66-418A-83C6-207FFFAE36AA}" name="Tamaño de la cuenta" dataDxfId="7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A053CE-00CE-4C95-BC01-829BA600B291}" name="TIPOCTA" displayName="TIPOCTA" ref="C1:C8" totalsRowShown="0" headerRowDxfId="72" dataDxfId="71">
  <autoFilter ref="C1:C8" xr:uid="{78A053CE-00CE-4C95-BC01-829BA600B291}"/>
  <tableColumns count="1">
    <tableColumn id="1" xr3:uid="{4E58E8CB-B38A-4BA6-8114-70320AAEEC3D}" name="Tipo de Cuenta" dataDxfId="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E00FC8-0652-4B82-9CD8-AF6D3782703E}" name="SIYNO" displayName="SIYNO" ref="F1:F3" totalsRowShown="0" headerRowDxfId="69" dataDxfId="68">
  <autoFilter ref="F1:F3" xr:uid="{87E00FC8-0652-4B82-9CD8-AF6D3782703E}"/>
  <tableColumns count="1">
    <tableColumn id="1" xr3:uid="{548FC294-B07F-472B-9212-BB08E88C8BB5}" name="Columna1" dataDxfId="6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FA0971E-E92C-416E-BAC5-BD9BAC8CC3B8}" name="Tabla10" displayName="Tabla10" ref="Q1:S7" totalsRowShown="0" headerRowDxfId="66" dataDxfId="65">
  <autoFilter ref="Q1:S7" xr:uid="{7FA0971E-E92C-416E-BAC5-BD9BAC8CC3B8}"/>
  <tableColumns count="3">
    <tableColumn id="1" xr3:uid="{714E4EF9-9951-4CC9-B45C-028BE5A385E9}" name="Criterios" dataDxfId="64"/>
    <tableColumn id="2" xr3:uid="{B99952C7-6B80-4868-9013-FB01C49FDCB2}" name="Descripcion" dataDxfId="63">
      <calculatedColumnFormula>IF(CUENTA!D9&lt;&gt;"",IF(CUENTA!E9&lt;&gt;0,CUENTA!D9,""),"")</calculatedColumnFormula>
    </tableColumn>
    <tableColumn id="3" xr3:uid="{6EF7DB2E-B5AC-444B-82A0-C5D92812302A}" name="Valor" dataDxfId="62">
      <calculatedColumnFormula>IF(Tabla10[[#This Row],[Descripcion]]="","",CUENTA!E9)</calculatedColumnFormula>
    </tableColumn>
  </tableColumns>
  <tableStyleInfo name="Mi tabla 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pivotTable" Target="../pivotTables/pivotTable26.xml"/><Relationship Id="rId39" Type="http://schemas.openxmlformats.org/officeDocument/2006/relationships/table" Target="../tables/table4.xml"/><Relationship Id="rId21" Type="http://schemas.openxmlformats.org/officeDocument/2006/relationships/pivotTable" Target="../pivotTables/pivotTable21.xml"/><Relationship Id="rId34" Type="http://schemas.openxmlformats.org/officeDocument/2006/relationships/pivotTable" Target="../pivotTables/pivotTable34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33" Type="http://schemas.openxmlformats.org/officeDocument/2006/relationships/pivotTable" Target="../pivotTables/pivotTable33.xml"/><Relationship Id="rId38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29" Type="http://schemas.openxmlformats.org/officeDocument/2006/relationships/pivotTable" Target="../pivotTables/pivotTable29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32" Type="http://schemas.openxmlformats.org/officeDocument/2006/relationships/pivotTable" Target="../pivotTables/pivotTable32.xml"/><Relationship Id="rId37" Type="http://schemas.openxmlformats.org/officeDocument/2006/relationships/table" Target="../tables/table2.xml"/><Relationship Id="rId40" Type="http://schemas.microsoft.com/office/2007/relationships/slicer" Target="../slicers/slicer2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28" Type="http://schemas.openxmlformats.org/officeDocument/2006/relationships/pivotTable" Target="../pivotTables/pivotTable28.xml"/><Relationship Id="rId36" Type="http://schemas.openxmlformats.org/officeDocument/2006/relationships/drawing" Target="../drawings/drawing5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31" Type="http://schemas.openxmlformats.org/officeDocument/2006/relationships/pivotTable" Target="../pivotTables/pivotTable31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Relationship Id="rId27" Type="http://schemas.openxmlformats.org/officeDocument/2006/relationships/pivotTable" Target="../pivotTables/pivotTable27.xml"/><Relationship Id="rId30" Type="http://schemas.openxmlformats.org/officeDocument/2006/relationships/pivotTable" Target="../pivotTables/pivotTable30.xml"/><Relationship Id="rId35" Type="http://schemas.openxmlformats.org/officeDocument/2006/relationships/printerSettings" Target="../printerSettings/printerSettings5.bin"/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1426-E50E-46D5-8CAC-7FD39F5DAD48}">
  <sheetPr codeName="Hoja1"/>
  <dimension ref="A1:H43"/>
  <sheetViews>
    <sheetView showGridLines="0" showRowColHeaders="0" tabSelected="1" zoomScale="150" zoomScaleNormal="150" workbookViewId="0">
      <selection activeCell="L8" sqref="L8"/>
    </sheetView>
  </sheetViews>
  <sheetFormatPr baseColWidth="10" defaultRowHeight="14.4" x14ac:dyDescent="0.3"/>
  <cols>
    <col min="1" max="1" width="20.77734375" style="69" customWidth="1"/>
    <col min="2" max="2" width="15.77734375" style="69" customWidth="1"/>
    <col min="3" max="3" width="10.77734375" style="69" customWidth="1"/>
    <col min="4" max="4" width="24.77734375" style="69" customWidth="1"/>
    <col min="5" max="7" width="15.77734375" style="69" customWidth="1"/>
    <col min="8" max="8" width="11.5546875" style="69"/>
    <col min="9" max="9" width="2.77734375" style="69" customWidth="1"/>
    <col min="10" max="17" width="11.5546875" style="69"/>
    <col min="18" max="18" width="19.44140625" style="69" customWidth="1"/>
    <col min="19" max="19" width="20.44140625" style="69" customWidth="1"/>
    <col min="20" max="20" width="15.5546875" style="69" customWidth="1"/>
    <col min="21" max="16384" width="11.5546875" style="69"/>
  </cols>
  <sheetData>
    <row r="1" spans="1:8" ht="13.95" customHeight="1" x14ac:dyDescent="0.3"/>
    <row r="2" spans="1:8" ht="13.95" customHeight="1" x14ac:dyDescent="0.3"/>
    <row r="3" spans="1:8" ht="13.95" customHeight="1" x14ac:dyDescent="0.3"/>
    <row r="4" spans="1:8" ht="13.95" customHeight="1" x14ac:dyDescent="0.3">
      <c r="D4" s="121"/>
      <c r="E4" s="121"/>
    </row>
    <row r="5" spans="1:8" ht="13.95" customHeight="1" x14ac:dyDescent="0.3">
      <c r="A5" s="70"/>
      <c r="B5" s="70"/>
      <c r="C5" s="70"/>
      <c r="D5" s="121"/>
      <c r="E5" s="121"/>
    </row>
    <row r="6" spans="1:8" ht="13.95" customHeight="1" x14ac:dyDescent="0.3">
      <c r="A6" s="70"/>
      <c r="B6" s="70"/>
      <c r="C6" s="70"/>
      <c r="D6" s="121"/>
      <c r="E6" s="121"/>
    </row>
    <row r="7" spans="1:8" ht="13.95" customHeight="1" x14ac:dyDescent="0.3"/>
    <row r="8" spans="1:8" ht="13.95" customHeight="1" x14ac:dyDescent="0.35">
      <c r="A8" s="71"/>
      <c r="D8" s="71"/>
      <c r="G8" s="121"/>
      <c r="H8" s="121"/>
    </row>
    <row r="9" spans="1:8" ht="13.05" customHeight="1" x14ac:dyDescent="0.3">
      <c r="A9" s="55" t="s">
        <v>5</v>
      </c>
      <c r="B9" s="74"/>
      <c r="D9" s="77" t="s">
        <v>44</v>
      </c>
      <c r="E9" s="76">
        <v>3</v>
      </c>
      <c r="G9" s="121"/>
      <c r="H9" s="121"/>
    </row>
    <row r="10" spans="1:8" ht="13.05" customHeight="1" x14ac:dyDescent="0.3">
      <c r="A10" s="55" t="s">
        <v>6</v>
      </c>
      <c r="B10" s="74"/>
      <c r="D10" s="77" t="s">
        <v>45</v>
      </c>
      <c r="E10" s="76">
        <v>2</v>
      </c>
      <c r="G10" s="121"/>
      <c r="H10" s="121"/>
    </row>
    <row r="11" spans="1:8" ht="13.05" customHeight="1" x14ac:dyDescent="0.3">
      <c r="A11" s="55" t="s">
        <v>7</v>
      </c>
      <c r="B11" s="75">
        <v>100000</v>
      </c>
      <c r="D11" s="77" t="s">
        <v>46</v>
      </c>
      <c r="E11" s="76">
        <v>2</v>
      </c>
      <c r="G11" s="121"/>
      <c r="H11" s="121"/>
    </row>
    <row r="12" spans="1:8" ht="13.05" customHeight="1" x14ac:dyDescent="0.3">
      <c r="A12" s="55" t="s">
        <v>8</v>
      </c>
      <c r="B12" s="74"/>
      <c r="D12" s="77" t="s">
        <v>47</v>
      </c>
      <c r="E12" s="76">
        <v>3</v>
      </c>
      <c r="G12" s="121"/>
      <c r="H12" s="121"/>
    </row>
    <row r="13" spans="1:8" ht="13.05" customHeight="1" x14ac:dyDescent="0.3">
      <c r="D13" s="77" t="s">
        <v>48</v>
      </c>
      <c r="E13" s="76">
        <v>1</v>
      </c>
      <c r="G13" s="121"/>
      <c r="H13" s="121"/>
    </row>
    <row r="14" spans="1:8" ht="13.05" customHeight="1" x14ac:dyDescent="0.3">
      <c r="D14" s="77" t="s">
        <v>49</v>
      </c>
      <c r="E14" s="76">
        <v>1</v>
      </c>
      <c r="G14" s="121"/>
      <c r="H14" s="121"/>
    </row>
    <row r="15" spans="1:8" ht="13.05" customHeight="1" x14ac:dyDescent="0.3"/>
    <row r="16" spans="1:8" ht="13.05" customHeight="1" x14ac:dyDescent="0.3">
      <c r="A16" s="55" t="s">
        <v>137</v>
      </c>
      <c r="B16" s="72"/>
    </row>
    <row r="17" spans="1:6" ht="13.05" customHeight="1" x14ac:dyDescent="0.3">
      <c r="A17" s="73">
        <v>1</v>
      </c>
      <c r="B17" s="76"/>
    </row>
    <row r="18" spans="1:6" ht="13.05" customHeight="1" x14ac:dyDescent="0.3">
      <c r="A18" s="73">
        <v>2</v>
      </c>
      <c r="B18" s="76"/>
      <c r="D18" s="55" t="s">
        <v>109</v>
      </c>
    </row>
    <row r="19" spans="1:6" ht="13.05" customHeight="1" x14ac:dyDescent="0.3">
      <c r="A19" s="73">
        <v>3</v>
      </c>
      <c r="B19" s="76"/>
      <c r="D19" s="78" t="s">
        <v>102</v>
      </c>
      <c r="E19" s="79" t="b">
        <v>1</v>
      </c>
      <c r="F19" s="48"/>
    </row>
    <row r="20" spans="1:6" ht="13.05" customHeight="1" thickBot="1" x14ac:dyDescent="0.35">
      <c r="A20" s="73">
        <v>4</v>
      </c>
      <c r="B20" s="76"/>
      <c r="D20" s="122" t="s">
        <v>103</v>
      </c>
      <c r="E20" s="80">
        <v>100</v>
      </c>
    </row>
    <row r="21" spans="1:6" ht="13.05" customHeight="1" thickBot="1" x14ac:dyDescent="0.35">
      <c r="A21" s="73">
        <v>5</v>
      </c>
      <c r="B21" s="76"/>
      <c r="D21" s="122"/>
      <c r="E21" s="81" t="s">
        <v>108</v>
      </c>
    </row>
    <row r="22" spans="1:6" ht="13.05" customHeight="1" x14ac:dyDescent="0.3">
      <c r="A22" s="73">
        <v>6</v>
      </c>
      <c r="B22" s="76"/>
      <c r="D22" s="55" t="str">
        <f>"Recomendado 0,1% ("&amp;TEXT(B11*0.001,"$#")&amp;")"</f>
        <v>Recomendado 0,1% ($100)</v>
      </c>
    </row>
    <row r="23" spans="1:6" ht="13.05" customHeight="1" x14ac:dyDescent="0.3">
      <c r="A23" s="73">
        <v>7</v>
      </c>
      <c r="B23" s="76"/>
    </row>
    <row r="24" spans="1:6" ht="13.05" customHeight="1" x14ac:dyDescent="0.3">
      <c r="A24" s="73">
        <v>8</v>
      </c>
      <c r="B24" s="76"/>
    </row>
    <row r="25" spans="1:6" ht="13.05" customHeight="1" x14ac:dyDescent="0.3">
      <c r="A25" s="73">
        <v>9</v>
      </c>
      <c r="B25" s="76"/>
    </row>
    <row r="26" spans="1:6" ht="13.05" customHeight="1" x14ac:dyDescent="0.3">
      <c r="A26" s="73">
        <v>10</v>
      </c>
      <c r="B26" s="76"/>
    </row>
    <row r="27" spans="1:6" ht="13.8" customHeight="1" x14ac:dyDescent="0.3"/>
    <row r="28" spans="1:6" ht="13.8" customHeight="1" x14ac:dyDescent="0.3"/>
    <row r="29" spans="1:6" ht="13.95" customHeight="1" x14ac:dyDescent="0.3"/>
    <row r="30" spans="1:6" ht="13.95" customHeight="1" x14ac:dyDescent="0.3"/>
    <row r="31" spans="1:6" ht="13.95" customHeight="1" x14ac:dyDescent="0.3"/>
    <row r="32" spans="1:6" ht="13.95" customHeight="1" x14ac:dyDescent="0.3"/>
    <row r="33" s="69" customFormat="1" ht="13.95" customHeight="1" x14ac:dyDescent="0.3"/>
    <row r="34" s="69" customFormat="1" ht="13.95" customHeight="1" x14ac:dyDescent="0.3"/>
    <row r="35" s="69" customFormat="1" ht="13.95" customHeight="1" x14ac:dyDescent="0.3"/>
    <row r="36" s="69" customFormat="1" ht="13.95" customHeight="1" x14ac:dyDescent="0.3"/>
    <row r="37" s="69" customFormat="1" ht="13.95" customHeight="1" x14ac:dyDescent="0.3"/>
    <row r="38" s="69" customFormat="1" ht="13.95" customHeight="1" x14ac:dyDescent="0.3"/>
    <row r="39" s="69" customFormat="1" ht="13.95" customHeight="1" x14ac:dyDescent="0.3"/>
    <row r="40" s="69" customFormat="1" ht="13.95" customHeight="1" x14ac:dyDescent="0.3"/>
    <row r="41" s="69" customFormat="1" ht="13.95" customHeight="1" x14ac:dyDescent="0.3"/>
    <row r="42" s="69" customFormat="1" ht="13.95" customHeight="1" x14ac:dyDescent="0.3"/>
    <row r="43" s="69" customFormat="1" ht="13.95" customHeight="1" x14ac:dyDescent="0.3"/>
  </sheetData>
  <sheetProtection algorithmName="SHA-512" hashValue="SssdNyKULca6Srnh9mFKXXCxG0WhHwNmCKjnhX47+nHiFJmkiTGY8aCSfm3AA+Wl+BwuJqG+WzAtpnuHPQz3ZA==" saltValue="/NFV2JxZKQ9Pkxyjl3PpgA==" spinCount="100000" sheet="1" objects="1" scenarios="1"/>
  <mergeCells count="3">
    <mergeCell ref="G8:H14"/>
    <mergeCell ref="D20:D21"/>
    <mergeCell ref="D4:E6"/>
  </mergeCells>
  <conditionalFormatting sqref="D20:E20 D22:E22 D21">
    <cfRule type="expression" dxfId="44" priority="2">
      <formula>$E$19=FALSE</formula>
    </cfRule>
  </conditionalFormatting>
  <conditionalFormatting sqref="E21">
    <cfRule type="expression" dxfId="43" priority="1">
      <formula>$E$19</formula>
    </cfRule>
  </conditionalFormatting>
  <dataValidations xWindow="389" yWindow="750" count="3">
    <dataValidation type="textLength" allowBlank="1" showInputMessage="1" showErrorMessage="1" errorTitle="Nombre de criterio muy largo" error="Ingrese el nombre del criterio de la estrategia con una longitud no mayor a 20 caracteres" prompt="Ingrese nombre de criterio de estrategia no mayor a 20 caracteres" sqref="D9:D14" xr:uid="{9BAB3C13-78EC-49AD-B10C-28C0049DFE5B}">
      <formula1>0</formula1>
      <formula2>20</formula2>
    </dataValidation>
    <dataValidation type="whole" allowBlank="1" showInputMessage="1" showErrorMessage="1" promptTitle="Ingrese Valor de Criterio" prompt="Ingrese valor de criterio de estrategia entre 1 y 3" sqref="E9:E14" xr:uid="{E7205E6C-D760-4CC5-8C8F-27AF82BF5B85}">
      <formula1>0</formula1>
      <formula2>3</formula2>
    </dataValidation>
    <dataValidation type="textLength" operator="lessThanOrEqual" allowBlank="1" showInputMessage="1" showErrorMessage="1" promptTitle="Ingrese el acronimo del Activo" prompt="Longitud no mayor a 6 caracteres" sqref="B17:B26" xr:uid="{7AED7192-D8E3-4B56-9C03-E7C54F8D1AF5}">
      <formula1>6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4" name="Check Box 5">
              <controlPr defaultSize="0" autoFill="0" autoLine="0" autoPict="0">
                <anchor moveWithCells="1">
                  <from>
                    <xdr:col>3</xdr:col>
                    <xdr:colOff>609600</xdr:colOff>
                    <xdr:row>17</xdr:row>
                    <xdr:rowOff>160020</xdr:rowOff>
                  </from>
                  <to>
                    <xdr:col>3</xdr:col>
                    <xdr:colOff>868680</xdr:colOff>
                    <xdr:row>19</xdr:row>
                    <xdr:rowOff>91440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xWindow="389" yWindow="750" count="2">
        <x14:dataValidation type="list" allowBlank="1" showInputMessage="1" showErrorMessage="1" xr:uid="{E15F1F05-53BF-44D3-A26A-79F88BE9D270}">
          <x14:formula1>
            <xm:f>info!$A$2:$A$8</xm:f>
          </x14:formula1>
          <xm:sqref>B10</xm:sqref>
        </x14:dataValidation>
        <x14:dataValidation type="list" allowBlank="1" showInputMessage="1" showErrorMessage="1" xr:uid="{C85219D6-DBD6-4D87-BA37-A5A01896EAE4}">
          <x14:formula1>
            <xm:f>info!$C$2:$C$8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EF92-C05F-457C-B623-38ADB61737C4}">
  <sheetPr codeName="Hoja2"/>
  <dimension ref="A2:AD56"/>
  <sheetViews>
    <sheetView showGridLines="0" showRowColHeaders="0" zoomScale="80" zoomScaleNormal="80" workbookViewId="0">
      <pane ySplit="7" topLeftCell="A8" activePane="bottomLeft" state="frozen"/>
      <selection pane="bottomLeft" activeCell="L22" sqref="L22"/>
    </sheetView>
  </sheetViews>
  <sheetFormatPr baseColWidth="10" defaultColWidth="9.109375" defaultRowHeight="13.8" x14ac:dyDescent="0.25"/>
  <cols>
    <col min="1" max="1" width="5.77734375" style="34" customWidth="1"/>
    <col min="2" max="2" width="9.33203125" style="34" customWidth="1"/>
    <col min="3" max="6" width="9.77734375" style="34" customWidth="1"/>
    <col min="7" max="13" width="10.77734375" style="34" customWidth="1"/>
    <col min="14" max="14" width="9.77734375" style="34" customWidth="1"/>
    <col min="15" max="15" width="10.6640625" style="34" bestFit="1" customWidth="1"/>
    <col min="16" max="19" width="9.77734375" style="34" customWidth="1"/>
    <col min="20" max="21" width="15.77734375" style="34" customWidth="1"/>
    <col min="22" max="22" width="21.6640625" style="34" customWidth="1"/>
    <col min="23" max="23" width="17.33203125" style="34" customWidth="1"/>
    <col min="24" max="25" width="9.109375" style="34" hidden="1" customWidth="1"/>
    <col min="26" max="26" width="9.77734375" style="34" hidden="1" customWidth="1"/>
    <col min="27" max="28" width="9.109375" style="34" hidden="1" customWidth="1"/>
    <col min="29" max="29" width="13.109375" style="115" hidden="1" customWidth="1"/>
    <col min="30" max="30" width="13.88671875" style="51" hidden="1" customWidth="1"/>
    <col min="31" max="16384" width="9.109375" style="34"/>
  </cols>
  <sheetData>
    <row r="2" spans="1:30" ht="29.4" x14ac:dyDescent="0.45">
      <c r="B2" s="35"/>
      <c r="L2" s="36"/>
      <c r="M2" s="37"/>
      <c r="N2" s="36"/>
      <c r="O2" s="37"/>
      <c r="P2" s="36"/>
      <c r="Q2" s="37"/>
    </row>
    <row r="3" spans="1:30" ht="17.399999999999999" x14ac:dyDescent="0.3">
      <c r="F3" s="38"/>
      <c r="G3" s="38"/>
      <c r="H3" s="38"/>
      <c r="I3" s="38"/>
      <c r="J3" s="38"/>
      <c r="K3" s="38"/>
    </row>
    <row r="4" spans="1:30" x14ac:dyDescent="0.25">
      <c r="H4" s="123" t="s">
        <v>24</v>
      </c>
      <c r="I4" s="123"/>
      <c r="J4" s="123"/>
      <c r="K4" s="123"/>
      <c r="L4" s="123"/>
      <c r="M4" s="123"/>
    </row>
    <row r="5" spans="1:30" s="48" customFormat="1" ht="43.2" customHeight="1" x14ac:dyDescent="0.3">
      <c r="H5" s="50" t="str">
        <f>IF(info!R2="","-",info!R2)</f>
        <v>Criterio 1</v>
      </c>
      <c r="I5" s="50" t="str">
        <f>IF(info!R3="","-",info!R3)</f>
        <v>Criterio 2</v>
      </c>
      <c r="J5" s="50" t="str">
        <f>IF(info!R4="","-",info!R4)</f>
        <v>Criterio 3</v>
      </c>
      <c r="K5" s="50" t="str">
        <f>IF(info!R5="","-",info!R5)</f>
        <v>Criterio 4</v>
      </c>
      <c r="L5" s="50" t="str">
        <f>IF(info!R6="","-",info!R6)</f>
        <v>Criterio 5</v>
      </c>
      <c r="M5" s="50" t="str">
        <f>IF(info!R7="","-",info!R7)</f>
        <v>Criterio 6</v>
      </c>
      <c r="O5" s="51"/>
      <c r="R5" s="52"/>
      <c r="S5" s="52"/>
      <c r="T5" s="52"/>
      <c r="U5" s="52"/>
      <c r="V5" s="52"/>
      <c r="W5" s="52"/>
      <c r="AC5" s="51"/>
      <c r="AD5" s="51"/>
    </row>
    <row r="6" spans="1:30" s="48" customFormat="1" hidden="1" x14ac:dyDescent="0.25">
      <c r="H6" s="49">
        <f>info!S2</f>
        <v>3</v>
      </c>
      <c r="I6" s="49">
        <f>info!S3</f>
        <v>2</v>
      </c>
      <c r="J6" s="49">
        <f>info!S4</f>
        <v>2</v>
      </c>
      <c r="K6" s="49">
        <f>info!S5</f>
        <v>3</v>
      </c>
      <c r="L6" s="49">
        <f>info!S6</f>
        <v>1</v>
      </c>
      <c r="M6" s="49">
        <f>info!S7</f>
        <v>1</v>
      </c>
      <c r="N6" s="49">
        <f>SUM(H6:M6)</f>
        <v>12</v>
      </c>
      <c r="AC6" s="51"/>
      <c r="AD6" s="51"/>
    </row>
    <row r="7" spans="1:30" s="40" customFormat="1" ht="45" customHeight="1" x14ac:dyDescent="0.2">
      <c r="A7" s="39" t="s">
        <v>50</v>
      </c>
      <c r="B7" s="39" t="s">
        <v>30</v>
      </c>
      <c r="C7" s="39" t="s">
        <v>31</v>
      </c>
      <c r="D7" s="39" t="s">
        <v>138</v>
      </c>
      <c r="E7" s="39" t="s">
        <v>33</v>
      </c>
      <c r="F7" s="39" t="s">
        <v>34</v>
      </c>
      <c r="G7" s="39" t="s">
        <v>35</v>
      </c>
      <c r="H7" s="39" t="s">
        <v>44</v>
      </c>
      <c r="I7" s="39" t="s">
        <v>45</v>
      </c>
      <c r="J7" s="39" t="s">
        <v>46</v>
      </c>
      <c r="K7" s="39" t="s">
        <v>47</v>
      </c>
      <c r="L7" s="39" t="s">
        <v>48</v>
      </c>
      <c r="M7" s="39" t="s">
        <v>49</v>
      </c>
      <c r="N7" s="39" t="s">
        <v>40</v>
      </c>
      <c r="O7" s="39" t="s">
        <v>51</v>
      </c>
      <c r="P7" s="39" t="s">
        <v>28</v>
      </c>
      <c r="Q7" s="39" t="s">
        <v>1</v>
      </c>
      <c r="R7" s="39" t="s">
        <v>53</v>
      </c>
      <c r="S7" s="39" t="s">
        <v>52</v>
      </c>
      <c r="T7" s="39" t="s">
        <v>36</v>
      </c>
      <c r="U7" s="39" t="s">
        <v>37</v>
      </c>
      <c r="V7" s="39" t="s">
        <v>38</v>
      </c>
      <c r="W7" s="39" t="s">
        <v>39</v>
      </c>
      <c r="X7" s="39" t="s">
        <v>56</v>
      </c>
      <c r="Y7" s="39" t="s">
        <v>97</v>
      </c>
      <c r="Z7" s="39" t="s">
        <v>67</v>
      </c>
      <c r="AA7" s="39" t="s">
        <v>104</v>
      </c>
      <c r="AB7" s="39" t="s">
        <v>110</v>
      </c>
      <c r="AC7" s="39" t="s">
        <v>116</v>
      </c>
      <c r="AD7" s="114" t="s">
        <v>153</v>
      </c>
    </row>
    <row r="8" spans="1:30" ht="25.05" customHeight="1" x14ac:dyDescent="0.25">
      <c r="A8" s="53" t="str">
        <f>IF(A7="#",TEXT(1,"000"),TEXT(A7+1,"000"))</f>
        <v>001</v>
      </c>
      <c r="B8" s="53">
        <f>IFERROR(WEEKNUM(JOURNAL[[#This Row],[Fecha]],1),"")</f>
        <v>6</v>
      </c>
      <c r="C8" s="104">
        <v>45693</v>
      </c>
      <c r="D8" s="105" t="s">
        <v>142</v>
      </c>
      <c r="E8" s="106">
        <v>0.42708333333333331</v>
      </c>
      <c r="F8" s="106">
        <v>0.43888888888888888</v>
      </c>
      <c r="G8" s="54">
        <f>IF(JOURNAL[[#This Row],[Hora de Salida]]&lt;JOURNAL[[#This Row],[Hora de Entrada]],(JOURNAL[[#This Row],[Hora de Salida]]+1)-JOURNAL[[#This Row],[Hora de Entrada]],JOURNAL[[#This Row],[Hora de Salida]]-JOURNAL[[#This Row],[Hora de Entrada]])</f>
        <v>1.1805555555555569E-2</v>
      </c>
      <c r="H8" s="41" t="s">
        <v>2</v>
      </c>
      <c r="I8" s="41" t="s">
        <v>2</v>
      </c>
      <c r="J8" s="41" t="s">
        <v>3</v>
      </c>
      <c r="K8" s="41" t="s">
        <v>2</v>
      </c>
      <c r="L8" s="41" t="s">
        <v>2</v>
      </c>
      <c r="M8" s="41" t="s">
        <v>3</v>
      </c>
      <c r="N8" s="45">
        <f>IF(AND(ISBLANK(JOURNAL[[#This Row],[Criterio 1]]),ISBLANK(JOURNAL[[#This Row],[Criterio 2]]),ISBLANK(JOURNAL[[#This Row],[Criterio 3]]),ISBLANK(JOURNAL[[#This Row],[Criterio 4]]),ISBLANK(JOURNAL[[#This Row],[Criterio 5]]),ISBLANK(JOURNAL[[#This Row],[Criterio 6]])),"",((IF($H$6&lt;&gt;"",(COUNTIF(JOURNAL[[#This Row],[Criterio 1]],"si")*$H$6),0))+(IF($I$6&lt;&gt;"",(COUNTIF(JOURNAL[[#This Row],[Criterio 2]],"si")*$I$6),0))+(IF($J$6&lt;&gt;"",(COUNTIF(JOURNAL[[#This Row],[Criterio 3]],"si")*$J$6),0))+(IF($K$6&lt;&gt;"",(COUNTIF(JOURNAL[[#This Row],[Criterio 4]],"si")*$K$6),0))+(IF($L$6&lt;&gt;"",(COUNTIF(JOURNAL[[#This Row],[Criterio 5]],"si")*$L$6),0))+(IF($M$6&lt;&gt;"",(COUNTIF(JOURNAL[[#This Row],[Criterio 6]],"si")*$M$6),0)))/$N$6)</f>
        <v>0.75</v>
      </c>
      <c r="O8" s="129">
        <v>-155</v>
      </c>
      <c r="P8" s="41"/>
      <c r="Q8" s="44">
        <f>IF(JOURNAL[[#This Row],[Resultado ($)]]="","",JOURNAL[[#This Row],[Resultado ($)]]/CUENTA!$B$11)</f>
        <v>-1.5499999999999999E-3</v>
      </c>
      <c r="R8" s="44">
        <f>IF(JOURNAL[[#This Row],[Resultado ($)]]="","",IF(ISNUMBER(R7),R7+Q8,Q8))</f>
        <v>-1.5499999999999999E-3</v>
      </c>
      <c r="S8" s="44" cm="1">
        <f t="array" ref="S8">IF(JOURNAL[[#This Row],[Resultado ($)]]="","",IF(COUNT($R$8:R8&lt;2),R8, R8-MAX($R$8:R8)))</f>
        <v>-1.5499999999999999E-3</v>
      </c>
      <c r="T8" s="42" t="s">
        <v>144</v>
      </c>
      <c r="U8" s="42"/>
      <c r="V8" s="42"/>
      <c r="W8" s="43"/>
      <c r="X8" s="46" t="str">
        <f>IF(C8="","",TEXT(JOURNAL[[#This Row],[Fecha]],"dddd"))</f>
        <v>miércoles</v>
      </c>
      <c r="Y8" s="46" t="str">
        <f>IF(D8="","",TEXT(JOURNAL[[#This Row],[Fecha]],"mmm"))</f>
        <v>feb</v>
      </c>
      <c r="Z8" s="46" t="str">
        <f>IF(C8="","",TEXT(JOURNAL[[#This Row],[Fecha]],"yyyy"))</f>
        <v>2025</v>
      </c>
      <c r="AA8" s="47" t="str">
        <f>IF(JOURNAL[[#This Row],[Resultado ($)]]="","",IF(CUENTA!$E$19,JOURNAL[[#This Row],[AUXILIAR BE]],JOURNAL[[#This Row],[TP,SL o BE]]))</f>
        <v>SL</v>
      </c>
      <c r="AB8" s="47" t="str">
        <f>IF(JOURNAL[[#This Row],[Resultado ($)]]="","",IF(AND(JOURNAL[[#This Row],[Resultado ($)]]&gt;=-CUENTA!$E$20,JOURNAL[[#This Row],[Resultado ($)]]&lt;=CUENTA!$E$20),"BE",IF(JOURNAL[[#This Row],[Resultado ($)]]&gt;0,"TP","SL")))</f>
        <v>SL</v>
      </c>
      <c r="AC8" s="116" t="str">
        <f>IF(JOURNAL[[#This Row],[Duracion]]&lt;info!$AA$1,info!$Z$1,IF(AND(JOURNAL[[#This Row],[Duracion]]&lt;info!$AA$2,JOURNAL[[#This Row],[Duracion]]&gt;=info!$AA$1),info!$Z$2,"Swing Trader"))</f>
        <v>Intraday</v>
      </c>
      <c r="AD8" s="117">
        <f>TIME(HOUR(JOURNAL[[#This Row],[Hora de Entrada]]),0,0)</f>
        <v>0.41666666666666669</v>
      </c>
    </row>
    <row r="9" spans="1:30" ht="25.05" customHeight="1" x14ac:dyDescent="0.25">
      <c r="A9" s="53" t="str">
        <f t="shared" ref="A9" si="0">IF(A8="#",TEXT(1,"000"),TEXT(A8+1,"000"))</f>
        <v>002</v>
      </c>
      <c r="B9" s="53">
        <f>IFERROR(WEEKNUM(JOURNAL[[#This Row],[Fecha]],1),"")</f>
        <v>8</v>
      </c>
      <c r="C9" s="104">
        <v>45705</v>
      </c>
      <c r="D9" s="107" t="s">
        <v>143</v>
      </c>
      <c r="E9" s="106">
        <v>0.39583333333333331</v>
      </c>
      <c r="F9" s="106">
        <v>0.46180555555555558</v>
      </c>
      <c r="G9" s="54">
        <f>IF(JOURNAL[[#This Row],[Hora de Salida]]&lt;JOURNAL[[#This Row],[Hora de Entrada]],(JOURNAL[[#This Row],[Hora de Salida]]+1)-JOURNAL[[#This Row],[Hora de Entrada]],JOURNAL[[#This Row],[Hora de Salida]]-JOURNAL[[#This Row],[Hora de Entrada]])</f>
        <v>6.5972222222222265E-2</v>
      </c>
      <c r="H9" s="41" t="s">
        <v>2</v>
      </c>
      <c r="I9" s="41" t="s">
        <v>2</v>
      </c>
      <c r="J9" s="41" t="s">
        <v>2</v>
      </c>
      <c r="K9" s="41" t="s">
        <v>2</v>
      </c>
      <c r="L9" s="41" t="s">
        <v>2</v>
      </c>
      <c r="M9" s="41" t="s">
        <v>2</v>
      </c>
      <c r="N9" s="45">
        <f>IF(AND(ISBLANK(JOURNAL[[#This Row],[Criterio 1]]),ISBLANK(JOURNAL[[#This Row],[Criterio 2]]),ISBLANK(JOURNAL[[#This Row],[Criterio 3]]),ISBLANK(JOURNAL[[#This Row],[Criterio 4]]),ISBLANK(JOURNAL[[#This Row],[Criterio 5]]),ISBLANK(JOURNAL[[#This Row],[Criterio 6]])),"",((IF($H$6&lt;&gt;"",(COUNTIF(JOURNAL[[#This Row],[Criterio 1]],"si")*$H$6),0))+(IF($I$6&lt;&gt;"",(COUNTIF(JOURNAL[[#This Row],[Criterio 2]],"si")*$I$6),0))+(IF($J$6&lt;&gt;"",(COUNTIF(JOURNAL[[#This Row],[Criterio 3]],"si")*$J$6),0))+(IF($K$6&lt;&gt;"",(COUNTIF(JOURNAL[[#This Row],[Criterio 4]],"si")*$K$6),0))+(IF($L$6&lt;&gt;"",(COUNTIF(JOURNAL[[#This Row],[Criterio 5]],"si")*$L$6),0))+(IF($M$6&lt;&gt;"",(COUNTIF(JOURNAL[[#This Row],[Criterio 6]],"si")*$M$6),0)))/$N$6)</f>
        <v>1</v>
      </c>
      <c r="O9" s="129">
        <v>2150.5</v>
      </c>
      <c r="P9" s="102"/>
      <c r="Q9" s="44">
        <f>IF(JOURNAL[[#This Row],[Resultado ($)]]="","",JOURNAL[[#This Row],[Resultado ($)]]/CUENTA!$B$11)</f>
        <v>2.1505E-2</v>
      </c>
      <c r="R9" s="44">
        <f>IF(JOURNAL[[#This Row],[Resultado ($)]]="","",IF(ISNUMBER(R8),R8+Q9,Q9))</f>
        <v>1.9955000000000001E-2</v>
      </c>
      <c r="S9" s="44" cm="1">
        <f t="array" ref="S9">IF(JOURNAL[[#This Row],[Resultado ($)]]="","",IF(COUNT($R$8:R9&lt;2),R9, R9-MAX($R$8:R9)))</f>
        <v>0</v>
      </c>
      <c r="T9" s="42"/>
      <c r="U9" s="42"/>
      <c r="V9" s="42"/>
      <c r="W9" s="42"/>
      <c r="X9" s="47" t="str">
        <f>IF(C9="","",TEXT(JOURNAL[[#This Row],[Fecha]],"dddd"))</f>
        <v>lunes</v>
      </c>
      <c r="Y9" s="46" t="str">
        <f>IF(D9="","",TEXT(JOURNAL[[#This Row],[Fecha]],"mmm"))</f>
        <v>feb</v>
      </c>
      <c r="Z9" s="47" t="str">
        <f>IF(C9="","",TEXT(JOURNAL[[#This Row],[Fecha]],"yyyy"))</f>
        <v>2025</v>
      </c>
      <c r="AA9" s="103" t="str">
        <f>IF(JOURNAL[[#This Row],[Resultado ($)]]="","",IF(CUENTA!$E$19,JOURNAL[[#This Row],[AUXILIAR BE]],JOURNAL[[#This Row],[TP,SL o BE]]))</f>
        <v>TP</v>
      </c>
      <c r="AB9" s="103" t="str">
        <f>IF(JOURNAL[[#This Row],[Resultado ($)]]="","",IF(AND(JOURNAL[[#This Row],[Resultado ($)]]&gt;=-CUENTA!$E$20,JOURNAL[[#This Row],[Resultado ($)]]&lt;=CUENTA!$E$20),"BE",IF(JOURNAL[[#This Row],[Resultado ($)]]&gt;0,"TP","SL")))</f>
        <v>TP</v>
      </c>
      <c r="AC9" s="118" t="str">
        <f>IF(JOURNAL[[#This Row],[Duracion]]&lt;info!$AA$1,info!$Z$1,IF(AND(JOURNAL[[#This Row],[Duracion]]&lt;info!$AA$2,JOURNAL[[#This Row],[Duracion]]&gt;=info!$AA$1),info!$Z$2,"Swing Trader"))</f>
        <v>Intraday</v>
      </c>
      <c r="AD9" s="117">
        <f>TIME(HOUR(JOURNAL[[#This Row],[Hora de Entrada]]),0,0)</f>
        <v>0.375</v>
      </c>
    </row>
    <row r="10" spans="1:30" ht="25.05" customHeight="1" x14ac:dyDescent="0.25"/>
    <row r="11" spans="1:30" ht="25.05" customHeight="1" x14ac:dyDescent="0.25"/>
    <row r="12" spans="1:30" ht="25.05" customHeight="1" x14ac:dyDescent="0.25"/>
    <row r="13" spans="1:30" ht="25.05" customHeight="1" x14ac:dyDescent="0.25"/>
    <row r="14" spans="1:30" ht="25.05" customHeight="1" x14ac:dyDescent="0.25"/>
    <row r="15" spans="1:30" ht="25.05" customHeight="1" x14ac:dyDescent="0.25"/>
    <row r="16" spans="1:30" ht="25.05" customHeight="1" x14ac:dyDescent="0.25"/>
    <row r="17" ht="25.05" customHeight="1" x14ac:dyDescent="0.25"/>
    <row r="18" ht="25.05" customHeight="1" x14ac:dyDescent="0.25"/>
    <row r="19" ht="25.05" customHeight="1" x14ac:dyDescent="0.25"/>
    <row r="20" ht="25.05" customHeight="1" x14ac:dyDescent="0.25"/>
    <row r="21" ht="25.05" customHeight="1" x14ac:dyDescent="0.25"/>
    <row r="22" ht="25.05" customHeight="1" x14ac:dyDescent="0.25"/>
    <row r="23" ht="25.05" customHeight="1" x14ac:dyDescent="0.25"/>
    <row r="24" ht="25.05" customHeight="1" x14ac:dyDescent="0.25"/>
    <row r="25" ht="25.05" customHeight="1" x14ac:dyDescent="0.25"/>
    <row r="26" ht="25.05" customHeight="1" x14ac:dyDescent="0.25"/>
    <row r="27" ht="25.05" customHeight="1" x14ac:dyDescent="0.25"/>
    <row r="28" ht="25.05" customHeight="1" x14ac:dyDescent="0.25"/>
    <row r="29" ht="25.05" customHeight="1" x14ac:dyDescent="0.25"/>
    <row r="30" ht="25.05" customHeight="1" x14ac:dyDescent="0.25"/>
    <row r="31" ht="25.05" customHeight="1" x14ac:dyDescent="0.25"/>
    <row r="32" ht="25.05" customHeight="1" x14ac:dyDescent="0.25"/>
    <row r="33" ht="25.05" customHeight="1" x14ac:dyDescent="0.25"/>
    <row r="34" ht="25.05" customHeight="1" x14ac:dyDescent="0.25"/>
    <row r="35" ht="25.05" customHeight="1" x14ac:dyDescent="0.25"/>
    <row r="36" ht="25.05" customHeight="1" x14ac:dyDescent="0.25"/>
    <row r="37" ht="25.05" customHeight="1" x14ac:dyDescent="0.25"/>
    <row r="38" ht="25.05" customHeight="1" x14ac:dyDescent="0.25"/>
    <row r="39" ht="25.05" customHeight="1" x14ac:dyDescent="0.25"/>
    <row r="40" ht="25.05" customHeight="1" x14ac:dyDescent="0.25"/>
    <row r="41" ht="25.05" customHeight="1" x14ac:dyDescent="0.25"/>
    <row r="42" ht="25.05" customHeight="1" x14ac:dyDescent="0.25"/>
    <row r="43" ht="25.05" customHeight="1" x14ac:dyDescent="0.25"/>
    <row r="44" ht="25.05" customHeight="1" x14ac:dyDescent="0.25"/>
    <row r="45" ht="25.05" customHeight="1" x14ac:dyDescent="0.25"/>
    <row r="46" ht="25.05" customHeight="1" x14ac:dyDescent="0.25"/>
    <row r="47" ht="25.05" customHeight="1" x14ac:dyDescent="0.25"/>
    <row r="48" ht="25.05" customHeight="1" x14ac:dyDescent="0.25"/>
    <row r="49" ht="25.05" customHeight="1" x14ac:dyDescent="0.25"/>
    <row r="50" ht="25.05" customHeight="1" x14ac:dyDescent="0.25"/>
    <row r="51" ht="25.05" customHeight="1" x14ac:dyDescent="0.25"/>
    <row r="52" ht="25.05" customHeight="1" x14ac:dyDescent="0.25"/>
    <row r="53" ht="25.05" customHeight="1" x14ac:dyDescent="0.25"/>
    <row r="54" ht="25.05" customHeight="1" x14ac:dyDescent="0.25"/>
    <row r="55" ht="25.05" customHeight="1" x14ac:dyDescent="0.25"/>
    <row r="56" ht="25.05" customHeight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H4:M4"/>
  </mergeCells>
  <phoneticPr fontId="5" type="noConversion"/>
  <conditionalFormatting sqref="H8:M9">
    <cfRule type="cellIs" dxfId="42" priority="46" operator="equal">
      <formula>"SI"</formula>
    </cfRule>
  </conditionalFormatting>
  <conditionalFormatting sqref="H8:M9">
    <cfRule type="cellIs" dxfId="41" priority="45" operator="equal">
      <formula>"NO"</formula>
    </cfRule>
  </conditionalFormatting>
  <conditionalFormatting sqref="O2">
    <cfRule type="cellIs" dxfId="40" priority="43" operator="lessThan">
      <formula>0</formula>
    </cfRule>
    <cfRule type="cellIs" dxfId="39" priority="44" operator="greaterThan">
      <formula>0</formula>
    </cfRule>
  </conditionalFormatting>
  <conditionalFormatting sqref="M8:M9">
    <cfRule type="expression" dxfId="38" priority="42">
      <formula>$M$6=""</formula>
    </cfRule>
  </conditionalFormatting>
  <conditionalFormatting sqref="H8:H9">
    <cfRule type="expression" dxfId="37" priority="41">
      <formula>$H$6=""</formula>
    </cfRule>
  </conditionalFormatting>
  <conditionalFormatting sqref="I8:I9">
    <cfRule type="expression" dxfId="36" priority="40">
      <formula>$I$6=""</formula>
    </cfRule>
  </conditionalFormatting>
  <conditionalFormatting sqref="H9:M9 J8:J9">
    <cfRule type="expression" dxfId="35" priority="39">
      <formula>$J$6=""</formula>
    </cfRule>
  </conditionalFormatting>
  <conditionalFormatting sqref="K8:K9">
    <cfRule type="expression" dxfId="34" priority="38">
      <formula>$K$6=""</formula>
    </cfRule>
  </conditionalFormatting>
  <conditionalFormatting sqref="L8:L9">
    <cfRule type="expression" dxfId="33" priority="37">
      <formula>$L$6=""</formula>
    </cfRule>
  </conditionalFormatting>
  <conditionalFormatting sqref="K8">
    <cfRule type="expression" dxfId="32" priority="25">
      <formula>$I$6=""</formula>
    </cfRule>
  </conditionalFormatting>
  <conditionalFormatting sqref="M8">
    <cfRule type="expression" dxfId="31" priority="24">
      <formula>$I$6=""</formula>
    </cfRule>
  </conditionalFormatting>
  <conditionalFormatting sqref="L8">
    <cfRule type="expression" dxfId="30" priority="17">
      <formula>$J$6=""</formula>
    </cfRule>
  </conditionalFormatting>
  <dataValidations count="1">
    <dataValidation type="textLength" operator="lessThan" allowBlank="1" showInputMessage="1" showErrorMessage="1" errorTitle="Maximo de 20 caracteres" sqref="T8:U9" xr:uid="{3589DFBB-904E-46D8-9E86-68C81BAB8937}">
      <formula1>20</formula1>
    </dataValidation>
  </dataValidations>
  <pageMargins left="0.7" right="0.7" top="0.75" bottom="0.75" header="0.3" footer="0.3"/>
  <pageSetup orientation="portrait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id="{259E162C-C318-4A67-B765-707BFD06D2F0}">
            <xm:f>CUENTA!$E$19</xm:f>
            <x14:dxf>
              <font>
                <color rgb="FF1F7A8C"/>
              </font>
              <fill>
                <patternFill>
                  <bgColor rgb="FF1F7A8C"/>
                </patternFill>
              </fill>
            </x14:dxf>
          </x14:cfRule>
          <xm:sqref>P8:P9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617C31-35A8-474B-AEB7-EA42243D93E5}">
          <x14:formula1>
            <xm:f>info!$F$2:$F$3</xm:f>
          </x14:formula1>
          <xm:sqref>H8:M9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9DC2-1086-4FFC-94FA-F9D2A5C3B40A}">
  <sheetPr codeName="Hoja3"/>
  <dimension ref="A26"/>
  <sheetViews>
    <sheetView showGridLines="0" showRowColHeaders="0" zoomScale="150" zoomScaleNormal="150" workbookViewId="0">
      <selection activeCell="A31" sqref="A31"/>
    </sheetView>
  </sheetViews>
  <sheetFormatPr baseColWidth="10" defaultRowHeight="14.4" x14ac:dyDescent="0.3"/>
  <cols>
    <col min="1" max="1" width="2.77734375" style="10" customWidth="1"/>
    <col min="2" max="12" width="11.77734375" style="10" customWidth="1"/>
    <col min="13" max="13" width="2.77734375" style="10" customWidth="1"/>
    <col min="14" max="16384" width="11.5546875" style="10"/>
  </cols>
  <sheetData>
    <row r="26" spans="1:1" x14ac:dyDescent="0.3">
      <c r="A26" s="25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344-86D7-44CE-B096-B3945B617DF4}">
  <sheetPr codeName="Hoja6"/>
  <dimension ref="B2:N34"/>
  <sheetViews>
    <sheetView showGridLines="0" showRowColHeaders="0" zoomScale="90" zoomScaleNormal="90" workbookViewId="0">
      <selection activeCell="N29" sqref="N29"/>
    </sheetView>
  </sheetViews>
  <sheetFormatPr baseColWidth="10" defaultRowHeight="13.8" x14ac:dyDescent="0.25"/>
  <cols>
    <col min="1" max="1" width="2.109375" style="48" customWidth="1"/>
    <col min="2" max="2" width="14.21875" style="48" bestFit="1" customWidth="1"/>
    <col min="3" max="3" width="8" style="48" customWidth="1"/>
    <col min="4" max="5" width="8.33203125" style="48" customWidth="1"/>
    <col min="6" max="12" width="20.77734375" style="48" customWidth="1"/>
    <col min="13" max="13" width="4.33203125" style="48" customWidth="1"/>
    <col min="14" max="14" width="22.77734375" style="82" customWidth="1"/>
    <col min="15" max="16384" width="11.5546875" style="48"/>
  </cols>
  <sheetData>
    <row r="2" spans="2:14" x14ac:dyDescent="0.25">
      <c r="C2" s="126"/>
      <c r="D2" s="126"/>
      <c r="E2" s="126"/>
      <c r="F2" s="126"/>
      <c r="G2" s="126"/>
    </row>
    <row r="3" spans="2:14" x14ac:dyDescent="0.25">
      <c r="C3" s="126"/>
      <c r="D3" s="126"/>
      <c r="E3" s="126"/>
      <c r="F3" s="126"/>
      <c r="G3" s="126"/>
    </row>
    <row r="4" spans="2:14" ht="24.6" x14ac:dyDescent="0.4">
      <c r="C4" s="83"/>
      <c r="D4" s="83"/>
      <c r="E4" s="83"/>
      <c r="F4" s="83"/>
      <c r="G4" s="83"/>
    </row>
    <row r="5" spans="2:14" ht="24.6" x14ac:dyDescent="0.4">
      <c r="C5" s="83"/>
      <c r="D5" s="83"/>
      <c r="E5" s="83"/>
      <c r="F5" s="83"/>
      <c r="G5" s="83"/>
    </row>
    <row r="6" spans="2:14" ht="23.4" customHeight="1" x14ac:dyDescent="0.25">
      <c r="F6" s="124" t="str">
        <f>UPPER(TEXT(DATE(C14,C15,1),"mmmm"))</f>
        <v>MAYO</v>
      </c>
      <c r="G6" s="124"/>
      <c r="H6" s="124"/>
      <c r="I6" s="124"/>
      <c r="J6" s="124"/>
      <c r="K6" s="124"/>
      <c r="L6" s="124"/>
    </row>
    <row r="7" spans="2:14" ht="25.8" customHeight="1" x14ac:dyDescent="0.25">
      <c r="F7" s="84" t="s">
        <v>122</v>
      </c>
      <c r="G7" s="84" t="s">
        <v>118</v>
      </c>
      <c r="H7" s="84" t="s">
        <v>119</v>
      </c>
      <c r="I7" s="84" t="s">
        <v>123</v>
      </c>
      <c r="J7" s="84" t="s">
        <v>120</v>
      </c>
      <c r="K7" s="84" t="s">
        <v>121</v>
      </c>
      <c r="L7" s="84" t="s">
        <v>124</v>
      </c>
      <c r="N7" s="84" t="s">
        <v>125</v>
      </c>
    </row>
    <row r="8" spans="2:14" ht="15" customHeight="1" x14ac:dyDescent="0.3">
      <c r="C8" s="85">
        <f>DATE(C14,C15,1)</f>
        <v>45778</v>
      </c>
      <c r="F8" s="86">
        <f>DATE(C14,C15,1)-WEEKDAY(DATE(C14,C15,1),1)+1</f>
        <v>45774</v>
      </c>
      <c r="G8" s="86">
        <f>F8+1</f>
        <v>45775</v>
      </c>
      <c r="H8" s="86">
        <f t="shared" ref="H8:L8" si="0">G8+1</f>
        <v>45776</v>
      </c>
      <c r="I8" s="86">
        <f t="shared" si="0"/>
        <v>45777</v>
      </c>
      <c r="J8" s="86">
        <f t="shared" si="0"/>
        <v>45778</v>
      </c>
      <c r="K8" s="86">
        <f t="shared" si="0"/>
        <v>45779</v>
      </c>
      <c r="L8" s="86">
        <f t="shared" si="0"/>
        <v>45780</v>
      </c>
      <c r="N8" s="87">
        <f>WEEKNUM(F8,1)</f>
        <v>18</v>
      </c>
    </row>
    <row r="9" spans="2:14" ht="18" customHeight="1" x14ac:dyDescent="0.25">
      <c r="F9" s="89" t="str">
        <f>IF(COUNTIF(JOURNAL[Fecha],CALENDARIO!F8),IF(COUNTIF(JOURNAL[Fecha],CALENDARIO!F8)&gt;1,COUNTIF(JOURNAL[Fecha],CALENDARIO!F8)&amp;" operaciones",COUNTIF(JOURNAL[Fecha],CALENDARIO!F8)&amp;" operación"),"")</f>
        <v/>
      </c>
      <c r="G9" s="88" t="str">
        <f>IF(COUNTIF(JOURNAL[Fecha],CALENDARIO!G8),IF(COUNTIF(JOURNAL[Fecha],CALENDARIO!G8)&gt;1,COUNTIF(JOURNAL[Fecha],CALENDARIO!G8)&amp;" operaciones",COUNTIF(JOURNAL[Fecha],CALENDARIO!G8)&amp;" operación"),"")</f>
        <v/>
      </c>
      <c r="H9" s="88" t="str">
        <f>IF(COUNTIF(JOURNAL[Fecha],CALENDARIO!H8),IF(COUNTIF(JOURNAL[Fecha],CALENDARIO!H8)&gt;1,COUNTIF(JOURNAL[Fecha],CALENDARIO!H8)&amp;" operaciones",COUNTIF(JOURNAL[Fecha],CALENDARIO!H8)&amp;" operación"),"")</f>
        <v/>
      </c>
      <c r="I9" s="88" t="str">
        <f>IF(COUNTIF(JOURNAL[Fecha],CALENDARIO!I8),IF(COUNTIF(JOURNAL[Fecha],CALENDARIO!I8)&gt;1,COUNTIF(JOURNAL[Fecha],CALENDARIO!I8)&amp;" operaciones",COUNTIF(JOURNAL[Fecha],CALENDARIO!I8)&amp;" operación"),"")</f>
        <v/>
      </c>
      <c r="J9" s="88" t="str">
        <f>IF(COUNTIF(JOURNAL[Fecha],CALENDARIO!J8),IF(COUNTIF(JOURNAL[Fecha],CALENDARIO!J8)&gt;1,COUNTIF(JOURNAL[Fecha],CALENDARIO!J8)&amp;" operaciones",COUNTIF(JOURNAL[Fecha],CALENDARIO!J8)&amp;" operación"),"")</f>
        <v/>
      </c>
      <c r="K9" s="88" t="str">
        <f>IF(COUNTIF(JOURNAL[Fecha],CALENDARIO!K8),IF(COUNTIF(JOURNAL[Fecha],CALENDARIO!K8)&gt;1,COUNTIF(JOURNAL[Fecha],CALENDARIO!K8)&amp;" operaciones",COUNTIF(JOURNAL[Fecha],CALENDARIO!K8)&amp;" operación"),"")</f>
        <v/>
      </c>
      <c r="L9" s="89" t="str">
        <f>IF(COUNTIF(JOURNAL[Fecha],CALENDARIO!L8),IF(COUNTIF(JOURNAL[Fecha],CALENDARIO!L8)&gt;1,COUNTIF(JOURNAL[Fecha],CALENDARIO!L8)&amp;" operaciones",COUNTIF(JOURNAL[Fecha],CALENDARIO!L8)&amp;" operación"),"")</f>
        <v/>
      </c>
      <c r="N9" s="90" t="str">
        <f>IF(COUNTIFS(JOURNAL[Semana],CALENDARIO!N8,JOURNAL[Año],CALENDARIO!$C$14),IF(COUNTIFS(JOURNAL[Semana],CALENDARIO!N8,JOURNAL[Año],CALENDARIO!$C$14)&gt;1,COUNTIFS(JOURNAL[Semana],CALENDARIO!N8,JOURNAL[Año],CALENDARIO!$C$14)&amp;" operaciones",COUNTIF(JOURNAL[Semana],N8)&amp;" operación"),"")</f>
        <v/>
      </c>
    </row>
    <row r="10" spans="2:14" ht="18" customHeight="1" x14ac:dyDescent="0.25">
      <c r="B10" s="125"/>
      <c r="C10" s="125"/>
      <c r="F10" s="92" t="str">
        <f>IF(COUNTIF(JOURNAL[Fecha],CALENDARIO!F8),SUMIF(JOURNAL[Fecha],CALENDARIO!F8,JOURNAL[Resultado ($)]),"")</f>
        <v/>
      </c>
      <c r="G10" s="91" t="str">
        <f>IF(COUNTIF(JOURNAL[Fecha],CALENDARIO!G8),SUMIF(JOURNAL[Fecha],CALENDARIO!G8,JOURNAL[Resultado ($)]),"")</f>
        <v/>
      </c>
      <c r="H10" s="91" t="str">
        <f>IF(COUNTIF(JOURNAL[Fecha],CALENDARIO!H8),SUMIF(JOURNAL[Fecha],CALENDARIO!H8,JOURNAL[Resultado ($)]),"")</f>
        <v/>
      </c>
      <c r="I10" s="91" t="str">
        <f>IF(COUNTIF(JOURNAL[Fecha],CALENDARIO!I8),SUMIF(JOURNAL[Fecha],CALENDARIO!I8,JOURNAL[Resultado ($)]),"")</f>
        <v/>
      </c>
      <c r="J10" s="91" t="str">
        <f>IF(COUNTIF(JOURNAL[Fecha],CALENDARIO!J8),SUMIF(JOURNAL[Fecha],CALENDARIO!J8,JOURNAL[Resultado ($)]),"")</f>
        <v/>
      </c>
      <c r="K10" s="91" t="str">
        <f>IF(COUNTIF(JOURNAL[Fecha],CALENDARIO!K8),SUMIF(JOURNAL[Fecha],CALENDARIO!K8,JOURNAL[Resultado ($)]),"")</f>
        <v/>
      </c>
      <c r="L10" s="92" t="str">
        <f>IF(COUNTIF(JOURNAL[Fecha],CALENDARIO!L8),SUMIF(JOURNAL[Fecha],CALENDARIO!L8,JOURNAL[Resultado ($)]),"")</f>
        <v/>
      </c>
      <c r="N10" s="93" t="str">
        <f>IF(COUNTIFS(JOURNAL[Semana],CALENDARIO!N8,JOURNAL[Año],CALENDARIO!$C$14),SUMIFS(JOURNAL[Resultado ($)],JOURNAL[Semana],CALENDARIO!N8,JOURNAL[Año],CALENDARIO!$C$14),"")</f>
        <v/>
      </c>
    </row>
    <row r="11" spans="2:14" ht="18" customHeight="1" x14ac:dyDescent="0.25">
      <c r="B11" s="125"/>
      <c r="C11" s="125"/>
      <c r="F11" s="95" t="str">
        <f>IF(COUNTIF(JOURNAL[Fecha],CALENDARIO!F8),IF(COUNTIFS(JOURNAL[Fecha],CALENDARIO!F8,JOURNAL[Resultado ($)],"&gt;0")&gt;0,COUNTIFS(JOURNAL[Fecha],CALENDARIO!F8,JOURNAL[Resultado ($)],"&gt;0")/COUNTIF(JOURNAL[Fecha],CALENDARIO!F8),"0%"),"")</f>
        <v/>
      </c>
      <c r="G11" s="94" t="str">
        <f>IF(COUNTIF(JOURNAL[Fecha],CALENDARIO!G8),IF(COUNTIFS(JOURNAL[Fecha],CALENDARIO!G8,JOURNAL[Resultado ($)],"&gt;0")&gt;0,COUNTIFS(JOURNAL[Fecha],CALENDARIO!G8,JOURNAL[Resultado ($)],"&gt;0")/COUNTIF(JOURNAL[Fecha],CALENDARIO!G8),"0%"),"")</f>
        <v/>
      </c>
      <c r="H11" s="94" t="str">
        <f>IF(COUNTIF(JOURNAL[Fecha],CALENDARIO!H8),IF(COUNTIFS(JOURNAL[Fecha],CALENDARIO!H8,JOURNAL[Resultado ($)],"&gt;0")&gt;0,COUNTIFS(JOURNAL[Fecha],CALENDARIO!H8,JOURNAL[Resultado ($)],"&gt;0")/COUNTIF(JOURNAL[Fecha],CALENDARIO!H8),"0%"),"")</f>
        <v/>
      </c>
      <c r="I11" s="94" t="str">
        <f>IF(COUNTIF(JOURNAL[Fecha],CALENDARIO!I8),IF(COUNTIFS(JOURNAL[Fecha],CALENDARIO!I8,JOURNAL[Resultado ($)],"&gt;0")&gt;0,COUNTIFS(JOURNAL[Fecha],CALENDARIO!I8,JOURNAL[Resultado ($)],"&gt;0")/COUNTIF(JOURNAL[Fecha],CALENDARIO!I8),"0%"),"")</f>
        <v/>
      </c>
      <c r="J11" s="94" t="str">
        <f>IF(COUNTIF(JOURNAL[Fecha],CALENDARIO!J8),IF(COUNTIFS(JOURNAL[Fecha],CALENDARIO!J8,JOURNAL[Resultado ($)],"&gt;0")&gt;0,COUNTIFS(JOURNAL[Fecha],CALENDARIO!J8,JOURNAL[Resultado ($)],"&gt;0")/COUNTIF(JOURNAL[Fecha],CALENDARIO!J8),"0%"),"")</f>
        <v/>
      </c>
      <c r="K11" s="94" t="str">
        <f>IF(COUNTIF(JOURNAL[Fecha],CALENDARIO!K8),IF(COUNTIFS(JOURNAL[Fecha],CALENDARIO!K8,JOURNAL[Resultado ($)],"&gt;0")&gt;0,COUNTIFS(JOURNAL[Fecha],CALENDARIO!K8,JOURNAL[Resultado ($)],"&gt;0")/COUNTIF(JOURNAL[Fecha],CALENDARIO!K8),"0%"),"")</f>
        <v/>
      </c>
      <c r="L11" s="95" t="str">
        <f>IF(COUNTIF(JOURNAL[Fecha],CALENDARIO!L8),IF(COUNTIFS(JOURNAL[Fecha],CALENDARIO!L8,JOURNAL[Resultado ($)],"&gt;0")&gt;0,COUNTIFS(JOURNAL[Fecha],CALENDARIO!L8,JOURNAL[Resultado ($)],"&gt;0")/COUNTIF(JOURNAL[Fecha],CALENDARIO!L8),"0%"),"")</f>
        <v/>
      </c>
      <c r="N11" s="96" t="str">
        <f>IF(COUNTIFS(JOURNAL[Semana],CALENDARIO!N8,JOURNAL[Año],CALENDARIO!$C$14),IF(COUNTIFS(JOURNAL[Semana],CALENDARIO!N8,JOURNAL[Año],CALENDARIO!$C$14,JOURNAL[Resultado ($)],"&gt;0")&gt;0,COUNTIFS(JOURNAL[Semana],CALENDARIO!N8,JOURNAL[Año],CALENDARIO!$C$14,JOURNAL[Resultado ($)],"&gt;0")/COUNTIFS(JOURNAL[Semana],CALENDARIO!N8,JOURNAL[Año],CALENDARIO!$C$14),"0%"),"")</f>
        <v/>
      </c>
    </row>
    <row r="12" spans="2:14" ht="15" customHeight="1" x14ac:dyDescent="0.3">
      <c r="B12" s="125"/>
      <c r="C12" s="125"/>
      <c r="F12" s="86">
        <f>L8+1</f>
        <v>45781</v>
      </c>
      <c r="G12" s="86">
        <f>F12+1</f>
        <v>45782</v>
      </c>
      <c r="H12" s="86">
        <f t="shared" ref="H12:L28" si="1">G12+1</f>
        <v>45783</v>
      </c>
      <c r="I12" s="86">
        <f t="shared" si="1"/>
        <v>45784</v>
      </c>
      <c r="J12" s="86">
        <f t="shared" si="1"/>
        <v>45785</v>
      </c>
      <c r="K12" s="86">
        <f t="shared" si="1"/>
        <v>45786</v>
      </c>
      <c r="L12" s="86">
        <f t="shared" si="1"/>
        <v>45787</v>
      </c>
      <c r="N12" s="87">
        <f>WEEKNUM(F12,1)</f>
        <v>19</v>
      </c>
    </row>
    <row r="13" spans="2:14" ht="18" customHeight="1" x14ac:dyDescent="0.25">
      <c r="F13" s="89" t="str">
        <f>IF(COUNTIF(JOURNAL[Fecha],CALENDARIO!F12),IF(COUNTIF(JOURNAL[Fecha],CALENDARIO!F12)&gt;1,COUNTIF(JOURNAL[Fecha],CALENDARIO!F12)&amp;" operaciones",COUNTIF(JOURNAL[Fecha],CALENDARIO!F12)&amp;" operación"),"")</f>
        <v/>
      </c>
      <c r="G13" s="88" t="str">
        <f>IF(COUNTIF(JOURNAL[Fecha],CALENDARIO!G12),IF(COUNTIF(JOURNAL[Fecha],CALENDARIO!G12)&gt;1,COUNTIF(JOURNAL[Fecha],CALENDARIO!G12)&amp;" operaciones",COUNTIF(JOURNAL[Fecha],CALENDARIO!G12)&amp;" operación"),"")</f>
        <v/>
      </c>
      <c r="H13" s="88" t="str">
        <f>IF(COUNTIF(JOURNAL[Fecha],CALENDARIO!H12),IF(COUNTIF(JOURNAL[Fecha],CALENDARIO!H12)&gt;1,COUNTIF(JOURNAL[Fecha],CALENDARIO!H12)&amp;" operaciones",COUNTIF(JOURNAL[Fecha],CALENDARIO!H12)&amp;" operación"),"")</f>
        <v/>
      </c>
      <c r="I13" s="88" t="str">
        <f>IF(COUNTIF(JOURNAL[Fecha],CALENDARIO!I12),IF(COUNTIF(JOURNAL[Fecha],CALENDARIO!I12)&gt;1,COUNTIF(JOURNAL[Fecha],CALENDARIO!I12)&amp;" operaciones",COUNTIF(JOURNAL[Fecha],CALENDARIO!I12)&amp;" operación"),"")</f>
        <v/>
      </c>
      <c r="J13" s="88" t="str">
        <f>IF(COUNTIF(JOURNAL[Fecha],CALENDARIO!J12),IF(COUNTIF(JOURNAL[Fecha],CALENDARIO!J12)&gt;1,COUNTIF(JOURNAL[Fecha],CALENDARIO!J12)&amp;" operaciones",COUNTIF(JOURNAL[Fecha],CALENDARIO!J12)&amp;" operación"),"")</f>
        <v/>
      </c>
      <c r="K13" s="88" t="str">
        <f>IF(COUNTIF(JOURNAL[Fecha],CALENDARIO!K12),IF(COUNTIF(JOURNAL[Fecha],CALENDARIO!K12)&gt;1,COUNTIF(JOURNAL[Fecha],CALENDARIO!K12)&amp;" operaciones",COUNTIF(JOURNAL[Fecha],CALENDARIO!K12)&amp;" operación"),"")</f>
        <v/>
      </c>
      <c r="L13" s="89" t="str">
        <f>IF(COUNTIF(JOURNAL[Fecha],CALENDARIO!L12),IF(COUNTIF(JOURNAL[Fecha],CALENDARIO!L12)&gt;1,COUNTIF(JOURNAL[Fecha],CALENDARIO!L12)&amp;" operaciones",COUNTIF(JOURNAL[Fecha],CALENDARIO!L12)&amp;" operación"),"")</f>
        <v/>
      </c>
      <c r="N13" s="90" t="str">
        <f>IF(COUNTIFS(JOURNAL[Semana],CALENDARIO!N12,JOURNAL[Año],CALENDARIO!$C$14),IF(COUNTIFS(JOURNAL[Semana],CALENDARIO!N12,JOURNAL[Año],CALENDARIO!$C$14)&gt;1,COUNTIFS(JOURNAL[Semana],CALENDARIO!N12,JOURNAL[Año],CALENDARIO!$C$14)&amp;" operaciones",COUNTIF(JOURNAL[Semana],N12)&amp;" operación"),"")</f>
        <v/>
      </c>
    </row>
    <row r="14" spans="2:14" ht="18" customHeight="1" x14ac:dyDescent="0.25">
      <c r="B14" s="97" t="s">
        <v>67</v>
      </c>
      <c r="C14" s="100">
        <v>2025</v>
      </c>
      <c r="F14" s="92" t="str">
        <f>IF(COUNTIF(JOURNAL[Fecha],CALENDARIO!F12),SUMIF(JOURNAL[Fecha],CALENDARIO!F12,JOURNAL[Resultado ($)]),"")</f>
        <v/>
      </c>
      <c r="G14" s="91" t="str">
        <f>IF(COUNTIF(JOURNAL[Fecha],CALENDARIO!G12),SUMIF(JOURNAL[Fecha],CALENDARIO!G12,JOURNAL[Resultado ($)]),"")</f>
        <v/>
      </c>
      <c r="H14" s="91" t="str">
        <f>IF(COUNTIF(JOURNAL[Fecha],CALENDARIO!H12),SUMIF(JOURNAL[Fecha],CALENDARIO!H12,JOURNAL[Resultado ($)]),"")</f>
        <v/>
      </c>
      <c r="I14" s="91" t="str">
        <f>IF(COUNTIF(JOURNAL[Fecha],CALENDARIO!I12),SUMIF(JOURNAL[Fecha],CALENDARIO!I12,JOURNAL[Resultado ($)]),"")</f>
        <v/>
      </c>
      <c r="J14" s="91" t="str">
        <f>IF(COUNTIF(JOURNAL[Fecha],CALENDARIO!J12),SUMIF(JOURNAL[Fecha],CALENDARIO!J12,JOURNAL[Resultado ($)]),"")</f>
        <v/>
      </c>
      <c r="K14" s="91" t="str">
        <f>IF(COUNTIF(JOURNAL[Fecha],CALENDARIO!K12),SUMIF(JOURNAL[Fecha],CALENDARIO!K12,JOURNAL[Resultado ($)]),"")</f>
        <v/>
      </c>
      <c r="L14" s="92" t="str">
        <f>IF(COUNTIF(JOURNAL[Fecha],CALENDARIO!L12),SUMIF(JOURNAL[Fecha],CALENDARIO!L12,JOURNAL[Resultado ($)]),"")</f>
        <v/>
      </c>
      <c r="N14" s="93" t="str">
        <f>IF(COUNTIFS(JOURNAL[Semana],CALENDARIO!N12,JOURNAL[Año],CALENDARIO!$C$14),SUMIFS(JOURNAL[Resultado ($)],JOURNAL[Semana],CALENDARIO!N12,JOURNAL[Año],CALENDARIO!$C$14),"")</f>
        <v/>
      </c>
    </row>
    <row r="15" spans="2:14" ht="18" customHeight="1" x14ac:dyDescent="0.25">
      <c r="B15" s="97" t="s">
        <v>97</v>
      </c>
      <c r="C15" s="101">
        <v>5</v>
      </c>
      <c r="F15" s="95" t="str">
        <f>IF(COUNTIF(JOURNAL[Fecha],CALENDARIO!F12),IF(COUNTIFS(JOURNAL[Fecha],CALENDARIO!F12,JOURNAL[Resultado ($)],"&gt;0")&gt;0,COUNTIFS(JOURNAL[Fecha],CALENDARIO!F12,JOURNAL[Resultado ($)],"&gt;0")/COUNTIF(JOURNAL[Fecha],CALENDARIO!F12),"0%"),"")</f>
        <v/>
      </c>
      <c r="G15" s="94" t="str">
        <f>IF(COUNTIF(JOURNAL[Fecha],CALENDARIO!G12),IF(COUNTIFS(JOURNAL[Fecha],CALENDARIO!G12,JOURNAL[Resultado ($)],"&gt;0")&gt;0,COUNTIFS(JOURNAL[Fecha],CALENDARIO!G12,JOURNAL[Resultado ($)],"&gt;0")/COUNTIF(JOURNAL[Fecha],CALENDARIO!G12),"0%"),"")</f>
        <v/>
      </c>
      <c r="H15" s="94" t="str">
        <f>IF(COUNTIF(JOURNAL[Fecha],CALENDARIO!H12),IF(COUNTIFS(JOURNAL[Fecha],CALENDARIO!H12,JOURNAL[Resultado ($)],"&gt;0")&gt;0,COUNTIFS(JOURNAL[Fecha],CALENDARIO!H12,JOURNAL[Resultado ($)],"&gt;0")/COUNTIF(JOURNAL[Fecha],CALENDARIO!H12),"0%"),"")</f>
        <v/>
      </c>
      <c r="I15" s="94" t="str">
        <f>IF(COUNTIF(JOURNAL[Fecha],CALENDARIO!I12),IF(COUNTIFS(JOURNAL[Fecha],CALENDARIO!I12,JOURNAL[Resultado ($)],"&gt;0")&gt;0,COUNTIFS(JOURNAL[Fecha],CALENDARIO!I12,JOURNAL[Resultado ($)],"&gt;0")/COUNTIF(JOURNAL[Fecha],CALENDARIO!I12),"0%"),"")</f>
        <v/>
      </c>
      <c r="J15" s="94" t="str">
        <f>IF(COUNTIF(JOURNAL[Fecha],CALENDARIO!J12),IF(COUNTIFS(JOURNAL[Fecha],CALENDARIO!J12,JOURNAL[Resultado ($)],"&gt;0")&gt;0,COUNTIFS(JOURNAL[Fecha],CALENDARIO!J12,JOURNAL[Resultado ($)],"&gt;0")/COUNTIF(JOURNAL[Fecha],CALENDARIO!J12),"0%"),"")</f>
        <v/>
      </c>
      <c r="K15" s="94" t="str">
        <f>IF(COUNTIF(JOURNAL[Fecha],CALENDARIO!K12),IF(COUNTIFS(JOURNAL[Fecha],CALENDARIO!K12,JOURNAL[Resultado ($)],"&gt;0")&gt;0,COUNTIFS(JOURNAL[Fecha],CALENDARIO!K12,JOURNAL[Resultado ($)],"&gt;0")/COUNTIF(JOURNAL[Fecha],CALENDARIO!K12),"0%"),"")</f>
        <v/>
      </c>
      <c r="L15" s="95" t="str">
        <f>IF(COUNTIF(JOURNAL[Fecha],CALENDARIO!L12),IF(COUNTIFS(JOURNAL[Fecha],CALENDARIO!L12,JOURNAL[Resultado ($)],"&gt;0")&gt;0,COUNTIFS(JOURNAL[Fecha],CALENDARIO!L12,JOURNAL[Resultado ($)],"&gt;0")/COUNTIF(JOURNAL[Fecha],CALENDARIO!L12),"0%"),"")</f>
        <v/>
      </c>
      <c r="N15" s="96" t="str">
        <f>IF(COUNTIFS(JOURNAL[Semana],CALENDARIO!N12,JOURNAL[Año],CALENDARIO!$C$14),IF(COUNTIFS(JOURNAL[Semana],CALENDARIO!N12,JOURNAL[Año],CALENDARIO!$C$14,JOURNAL[Resultado ($)],"&gt;0")&gt;0,COUNTIFS(JOURNAL[Semana],CALENDARIO!N12,JOURNAL[Año],CALENDARIO!$C$14,JOURNAL[Resultado ($)],"&gt;0")/COUNTIFS(JOURNAL[Semana],CALENDARIO!N12,JOURNAL[Año],CALENDARIO!$C$14),"0%"),"")</f>
        <v/>
      </c>
    </row>
    <row r="16" spans="2:14" ht="15" customHeight="1" x14ac:dyDescent="0.3">
      <c r="F16" s="86">
        <f>L12+1</f>
        <v>45788</v>
      </c>
      <c r="G16" s="86">
        <f>F16+1</f>
        <v>45789</v>
      </c>
      <c r="H16" s="86">
        <f t="shared" si="1"/>
        <v>45790</v>
      </c>
      <c r="I16" s="86">
        <f t="shared" si="1"/>
        <v>45791</v>
      </c>
      <c r="J16" s="86">
        <f t="shared" si="1"/>
        <v>45792</v>
      </c>
      <c r="K16" s="86">
        <f t="shared" si="1"/>
        <v>45793</v>
      </c>
      <c r="L16" s="86">
        <f t="shared" si="1"/>
        <v>45794</v>
      </c>
      <c r="N16" s="87">
        <f>WEEKNUM(F16,1)</f>
        <v>20</v>
      </c>
    </row>
    <row r="17" spans="2:14" ht="18" customHeight="1" x14ac:dyDescent="0.25">
      <c r="F17" s="89" t="str">
        <f>IF(COUNTIF(JOURNAL[Fecha],CALENDARIO!F16),IF(COUNTIF(JOURNAL[Fecha],CALENDARIO!F16)&gt;1,COUNTIF(JOURNAL[Fecha],CALENDARIO!F16)&amp;" operaciones",COUNTIF(JOURNAL[Fecha],CALENDARIO!F16)&amp;" operación"),"")</f>
        <v/>
      </c>
      <c r="G17" s="88" t="str">
        <f>IF(COUNTIF(JOURNAL[Fecha],CALENDARIO!G16),IF(COUNTIF(JOURNAL[Fecha],CALENDARIO!G16)&gt;1,COUNTIF(JOURNAL[Fecha],CALENDARIO!G16)&amp;" operaciones",COUNTIF(JOURNAL[Fecha],CALENDARIO!G16)&amp;" operación"),"")</f>
        <v/>
      </c>
      <c r="H17" s="88" t="str">
        <f>IF(COUNTIF(JOURNAL[Fecha],CALENDARIO!H16),IF(COUNTIF(JOURNAL[Fecha],CALENDARIO!H16)&gt;1,COUNTIF(JOURNAL[Fecha],CALENDARIO!H16)&amp;" operaciones",COUNTIF(JOURNAL[Fecha],CALENDARIO!H16)&amp;" operación"),"")</f>
        <v/>
      </c>
      <c r="I17" s="88" t="str">
        <f>IF(COUNTIF(JOURNAL[Fecha],CALENDARIO!I16),IF(COUNTIF(JOURNAL[Fecha],CALENDARIO!I16)&gt;1,COUNTIF(JOURNAL[Fecha],CALENDARIO!I16)&amp;" operaciones",COUNTIF(JOURNAL[Fecha],CALENDARIO!I16)&amp;" operación"),"")</f>
        <v/>
      </c>
      <c r="J17" s="88" t="str">
        <f>IF(COUNTIF(JOURNAL[Fecha],CALENDARIO!J16),IF(COUNTIF(JOURNAL[Fecha],CALENDARIO!J16)&gt;1,COUNTIF(JOURNAL[Fecha],CALENDARIO!J16)&amp;" operaciones",COUNTIF(JOURNAL[Fecha],CALENDARIO!J16)&amp;" operación"),"")</f>
        <v/>
      </c>
      <c r="K17" s="88" t="str">
        <f>IF(COUNTIF(JOURNAL[Fecha],CALENDARIO!K16),IF(COUNTIF(JOURNAL[Fecha],CALENDARIO!K16)&gt;1,COUNTIF(JOURNAL[Fecha],CALENDARIO!K16)&amp;" operaciones",COUNTIF(JOURNAL[Fecha],CALENDARIO!K16)&amp;" operación"),"")</f>
        <v/>
      </c>
      <c r="L17" s="89" t="str">
        <f>IF(COUNTIF(JOURNAL[Fecha],CALENDARIO!L16),IF(COUNTIF(JOURNAL[Fecha],CALENDARIO!L16)&gt;1,COUNTIF(JOURNAL[Fecha],CALENDARIO!L16)&amp;" operaciones",COUNTIF(JOURNAL[Fecha],CALENDARIO!L16)&amp;" operación"),"")</f>
        <v/>
      </c>
      <c r="N17" s="90" t="str">
        <f>IF(COUNTIFS(JOURNAL[Semana],CALENDARIO!N16,JOURNAL[Año],CALENDARIO!$C$14),IF(COUNTIFS(JOURNAL[Semana],CALENDARIO!N16,JOURNAL[Año],CALENDARIO!$C$14)&gt;1,COUNTIFS(JOURNAL[Semana],CALENDARIO!N16,JOURNAL[Año],CALENDARIO!$C$14)&amp;" operaciones",COUNTIF(JOURNAL[Semana],N16)&amp;" operación"),"")</f>
        <v/>
      </c>
    </row>
    <row r="18" spans="2:14" ht="18" customHeight="1" x14ac:dyDescent="0.25">
      <c r="F18" s="92" t="str">
        <f>IF(COUNTIF(JOURNAL[Fecha],CALENDARIO!F16),SUMIF(JOURNAL[Fecha],CALENDARIO!F16,JOURNAL[Resultado ($)]),"")</f>
        <v/>
      </c>
      <c r="G18" s="91" t="str">
        <f>IF(COUNTIF(JOURNAL[Fecha],CALENDARIO!G16),SUMIF(JOURNAL[Fecha],CALENDARIO!G16,JOURNAL[Resultado ($)]),"")</f>
        <v/>
      </c>
      <c r="H18" s="91" t="str">
        <f>IF(COUNTIF(JOURNAL[Fecha],CALENDARIO!H16),SUMIF(JOURNAL[Fecha],CALENDARIO!H16,JOURNAL[Resultado ($)]),"")</f>
        <v/>
      </c>
      <c r="I18" s="91" t="str">
        <f>IF(COUNTIF(JOURNAL[Fecha],CALENDARIO!I16),SUMIF(JOURNAL[Fecha],CALENDARIO!I16,JOURNAL[Resultado ($)]),"")</f>
        <v/>
      </c>
      <c r="J18" s="91" t="str">
        <f>IF(COUNTIF(JOURNAL[Fecha],CALENDARIO!J16),SUMIF(JOURNAL[Fecha],CALENDARIO!J16,JOURNAL[Resultado ($)]),"")</f>
        <v/>
      </c>
      <c r="K18" s="91" t="str">
        <f>IF(COUNTIF(JOURNAL[Fecha],CALENDARIO!K16),SUMIF(JOURNAL[Fecha],CALENDARIO!K16,JOURNAL[Resultado ($)]),"")</f>
        <v/>
      </c>
      <c r="L18" s="92" t="str">
        <f>IF(COUNTIF(JOURNAL[Fecha],CALENDARIO!L16),SUMIF(JOURNAL[Fecha],CALENDARIO!L16,JOURNAL[Resultado ($)]),"")</f>
        <v/>
      </c>
      <c r="N18" s="93" t="str">
        <f>IF(COUNTIFS(JOURNAL[Semana],CALENDARIO!N16,JOURNAL[Año],CALENDARIO!$C$14),SUMIFS(JOURNAL[Resultado ($)],JOURNAL[Semana],CALENDARIO!N16,JOURNAL[Año],CALENDARIO!$C$14),"")</f>
        <v/>
      </c>
    </row>
    <row r="19" spans="2:14" ht="18" customHeight="1" x14ac:dyDescent="0.3">
      <c r="B19" s="98"/>
      <c r="F19" s="95" t="str">
        <f>IF(COUNTIF(JOURNAL[Fecha],CALENDARIO!F16),IF(COUNTIFS(JOURNAL[Fecha],CALENDARIO!F16,JOURNAL[Resultado ($)],"&gt;0")&gt;0,COUNTIFS(JOURNAL[Fecha],CALENDARIO!F16,JOURNAL[Resultado ($)],"&gt;0")/COUNTIF(JOURNAL[Fecha],CALENDARIO!F16),"0%"),"")</f>
        <v/>
      </c>
      <c r="G19" s="94" t="str">
        <f>IF(COUNTIF(JOURNAL[Fecha],CALENDARIO!G16),IF(COUNTIFS(JOURNAL[Fecha],CALENDARIO!G16,JOURNAL[Resultado ($)],"&gt;0")&gt;0,COUNTIFS(JOURNAL[Fecha],CALENDARIO!G16,JOURNAL[Resultado ($)],"&gt;0")/COUNTIF(JOURNAL[Fecha],CALENDARIO!G16),"0%"),"")</f>
        <v/>
      </c>
      <c r="H19" s="94" t="str">
        <f>IF(COUNTIF(JOURNAL[Fecha],CALENDARIO!H16),IF(COUNTIFS(JOURNAL[Fecha],CALENDARIO!H16,JOURNAL[Resultado ($)],"&gt;0")&gt;0,COUNTIFS(JOURNAL[Fecha],CALENDARIO!H16,JOURNAL[Resultado ($)],"&gt;0")/COUNTIF(JOURNAL[Fecha],CALENDARIO!H16),"0%"),"")</f>
        <v/>
      </c>
      <c r="I19" s="94" t="str">
        <f>IF(COUNTIF(JOURNAL[Fecha],CALENDARIO!I16),IF(COUNTIFS(JOURNAL[Fecha],CALENDARIO!I16,JOURNAL[Resultado ($)],"&gt;0")&gt;0,COUNTIFS(JOURNAL[Fecha],CALENDARIO!I16,JOURNAL[Resultado ($)],"&gt;0")/COUNTIF(JOURNAL[Fecha],CALENDARIO!I16),"0%"),"")</f>
        <v/>
      </c>
      <c r="J19" s="94" t="str">
        <f>IF(COUNTIF(JOURNAL[Fecha],CALENDARIO!J16),IF(COUNTIFS(JOURNAL[Fecha],CALENDARIO!J16,JOURNAL[Resultado ($)],"&gt;0")&gt;0,COUNTIFS(JOURNAL[Fecha],CALENDARIO!J16,JOURNAL[Resultado ($)],"&gt;0")/COUNTIF(JOURNAL[Fecha],CALENDARIO!J16),"0%"),"")</f>
        <v/>
      </c>
      <c r="K19" s="94" t="str">
        <f>IF(COUNTIF(JOURNAL[Fecha],CALENDARIO!K16),IF(COUNTIFS(JOURNAL[Fecha],CALENDARIO!K16,JOURNAL[Resultado ($)],"&gt;0")&gt;0,COUNTIFS(JOURNAL[Fecha],CALENDARIO!K16,JOURNAL[Resultado ($)],"&gt;0")/COUNTIF(JOURNAL[Fecha],CALENDARIO!K16),"0%"),"")</f>
        <v/>
      </c>
      <c r="L19" s="95" t="str">
        <f>IF(COUNTIF(JOURNAL[Fecha],CALENDARIO!L16),IF(COUNTIFS(JOURNAL[Fecha],CALENDARIO!L16,JOURNAL[Resultado ($)],"&gt;0")&gt;0,COUNTIFS(JOURNAL[Fecha],CALENDARIO!L16,JOURNAL[Resultado ($)],"&gt;0")/COUNTIF(JOURNAL[Fecha],CALENDARIO!L16),"0%"),"")</f>
        <v/>
      </c>
      <c r="N19" s="96" t="str">
        <f>IF(COUNTIFS(JOURNAL[Semana],CALENDARIO!N16,JOURNAL[Año],CALENDARIO!$C$14),IF(COUNTIFS(JOURNAL[Semana],CALENDARIO!N16,JOURNAL[Año],CALENDARIO!$C$14,JOURNAL[Resultado ($)],"&gt;0")&gt;0,COUNTIFS(JOURNAL[Semana],CALENDARIO!N16,JOURNAL[Año],CALENDARIO!$C$14,JOURNAL[Resultado ($)],"&gt;0")/COUNTIFS(JOURNAL[Semana],CALENDARIO!N16,JOURNAL[Año],CALENDARIO!$C$14),"0%"),"")</f>
        <v/>
      </c>
    </row>
    <row r="20" spans="2:14" ht="15" customHeight="1" x14ac:dyDescent="0.3">
      <c r="F20" s="86">
        <f>L16+1</f>
        <v>45795</v>
      </c>
      <c r="G20" s="86">
        <f>F20+1</f>
        <v>45796</v>
      </c>
      <c r="H20" s="86">
        <f t="shared" si="1"/>
        <v>45797</v>
      </c>
      <c r="I20" s="86">
        <f t="shared" si="1"/>
        <v>45798</v>
      </c>
      <c r="J20" s="86">
        <f t="shared" si="1"/>
        <v>45799</v>
      </c>
      <c r="K20" s="86">
        <f t="shared" si="1"/>
        <v>45800</v>
      </c>
      <c r="L20" s="86">
        <f t="shared" si="1"/>
        <v>45801</v>
      </c>
      <c r="N20" s="87">
        <f>WEEKNUM(F20,1)</f>
        <v>21</v>
      </c>
    </row>
    <row r="21" spans="2:14" ht="18" customHeight="1" x14ac:dyDescent="0.3">
      <c r="B21" s="69"/>
      <c r="D21" s="99"/>
      <c r="F21" s="89" t="str">
        <f>IF(COUNTIF(JOURNAL[Fecha],CALENDARIO!F20),IF(COUNTIF(JOURNAL[Fecha],CALENDARIO!F20)&gt;1,COUNTIF(JOURNAL[Fecha],CALENDARIO!F20)&amp;" operaciones",COUNTIF(JOURNAL[Fecha],CALENDARIO!F20)&amp;" operación"),"")</f>
        <v/>
      </c>
      <c r="G21" s="88" t="str">
        <f>IF(COUNTIF(JOURNAL[Fecha],CALENDARIO!G20),IF(COUNTIF(JOURNAL[Fecha],CALENDARIO!G20)&gt;1,COUNTIF(JOURNAL[Fecha],CALENDARIO!G20)&amp;" operaciones",COUNTIF(JOURNAL[Fecha],CALENDARIO!G20)&amp;" operación"),"")</f>
        <v/>
      </c>
      <c r="H21" s="88" t="str">
        <f>IF(COUNTIF(JOURNAL[Fecha],CALENDARIO!H20),IF(COUNTIF(JOURNAL[Fecha],CALENDARIO!H20)&gt;1,COUNTIF(JOURNAL[Fecha],CALENDARIO!H20)&amp;" operaciones",COUNTIF(JOURNAL[Fecha],CALENDARIO!H20)&amp;" operación"),"")</f>
        <v/>
      </c>
      <c r="I21" s="88" t="str">
        <f>IF(COUNTIF(JOURNAL[Fecha],CALENDARIO!I20),IF(COUNTIF(JOURNAL[Fecha],CALENDARIO!I20)&gt;1,COUNTIF(JOURNAL[Fecha],CALENDARIO!I20)&amp;" operaciones",COUNTIF(JOURNAL[Fecha],CALENDARIO!I20)&amp;" operación"),"")</f>
        <v/>
      </c>
      <c r="J21" s="88" t="str">
        <f>IF(COUNTIF(JOURNAL[Fecha],CALENDARIO!J20),IF(COUNTIF(JOURNAL[Fecha],CALENDARIO!J20)&gt;1,COUNTIF(JOURNAL[Fecha],CALENDARIO!J20)&amp;" operaciones",COUNTIF(JOURNAL[Fecha],CALENDARIO!J20)&amp;" operación"),"")</f>
        <v/>
      </c>
      <c r="K21" s="88" t="str">
        <f>IF(COUNTIF(JOURNAL[Fecha],CALENDARIO!K20),IF(COUNTIF(JOURNAL[Fecha],CALENDARIO!K20)&gt;1,COUNTIF(JOURNAL[Fecha],CALENDARIO!K20)&amp;" operaciones",COUNTIF(JOURNAL[Fecha],CALENDARIO!K20)&amp;" operación"),"")</f>
        <v/>
      </c>
      <c r="L21" s="89" t="str">
        <f>IF(COUNTIF(JOURNAL[Fecha],CALENDARIO!L20),IF(COUNTIF(JOURNAL[Fecha],CALENDARIO!L20)&gt;1,COUNTIF(JOURNAL[Fecha],CALENDARIO!L20)&amp;" operaciones",COUNTIF(JOURNAL[Fecha],CALENDARIO!L20)&amp;" operación"),"")</f>
        <v/>
      </c>
      <c r="N21" s="90" t="str">
        <f>IF(COUNTIFS(JOURNAL[Semana],CALENDARIO!N20,JOURNAL[Año],CALENDARIO!$C$14),IF(COUNTIFS(JOURNAL[Semana],CALENDARIO!N20,JOURNAL[Año],CALENDARIO!$C$14)&gt;1,COUNTIFS(JOURNAL[Semana],CALENDARIO!N20,JOURNAL[Año],CALENDARIO!$C$14)&amp;" operaciones",COUNTIF(JOURNAL[Semana],N20)&amp;" operación"),"")</f>
        <v/>
      </c>
    </row>
    <row r="22" spans="2:14" ht="18" customHeight="1" x14ac:dyDescent="0.3">
      <c r="B22" s="69"/>
      <c r="D22" s="99"/>
      <c r="F22" s="92" t="str">
        <f>IF(COUNTIF(JOURNAL[Fecha],CALENDARIO!F20),SUMIF(JOURNAL[Fecha],CALENDARIO!F20,JOURNAL[Resultado ($)]),"")</f>
        <v/>
      </c>
      <c r="G22" s="91" t="str">
        <f>IF(COUNTIF(JOURNAL[Fecha],CALENDARIO!G20),SUMIF(JOURNAL[Fecha],CALENDARIO!G20,JOURNAL[Resultado ($)]),"")</f>
        <v/>
      </c>
      <c r="H22" s="91" t="str">
        <f>IF(COUNTIF(JOURNAL[Fecha],CALENDARIO!H20),SUMIF(JOURNAL[Fecha],CALENDARIO!H20,JOURNAL[Resultado ($)]),"")</f>
        <v/>
      </c>
      <c r="I22" s="91" t="str">
        <f>IF(COUNTIF(JOURNAL[Fecha],CALENDARIO!I20),SUMIF(JOURNAL[Fecha],CALENDARIO!I20,JOURNAL[Resultado ($)]),"")</f>
        <v/>
      </c>
      <c r="J22" s="91" t="str">
        <f>IF(COUNTIF(JOURNAL[Fecha],CALENDARIO!J20),SUMIF(JOURNAL[Fecha],CALENDARIO!J20,JOURNAL[Resultado ($)]),"")</f>
        <v/>
      </c>
      <c r="K22" s="91" t="str">
        <f>IF(COUNTIF(JOURNAL[Fecha],CALENDARIO!K20),SUMIF(JOURNAL[Fecha],CALENDARIO!K20,JOURNAL[Resultado ($)]),"")</f>
        <v/>
      </c>
      <c r="L22" s="92" t="str">
        <f>IF(COUNTIF(JOURNAL[Fecha],CALENDARIO!L20),SUMIF(JOURNAL[Fecha],CALENDARIO!L20,JOURNAL[Resultado ($)]),"")</f>
        <v/>
      </c>
      <c r="N22" s="93" t="str">
        <f>IF(COUNTIFS(JOURNAL[Semana],CALENDARIO!N20,JOURNAL[Año],CALENDARIO!$C$14),SUMIFS(JOURNAL[Resultado ($)],JOURNAL[Semana],CALENDARIO!N20,JOURNAL[Año],CALENDARIO!$C$14),"")</f>
        <v/>
      </c>
    </row>
    <row r="23" spans="2:14" ht="18" customHeight="1" x14ac:dyDescent="0.3">
      <c r="B23" s="69"/>
      <c r="D23" s="99"/>
      <c r="F23" s="95" t="str">
        <f>IF(COUNTIF(JOURNAL[Fecha],CALENDARIO!F20),IF(COUNTIFS(JOURNAL[Fecha],CALENDARIO!F20,JOURNAL[Resultado ($)],"&gt;0")&gt;0,COUNTIFS(JOURNAL[Fecha],CALENDARIO!F20,JOURNAL[Resultado ($)],"&gt;0")/COUNTIF(JOURNAL[Fecha],CALENDARIO!F20),"0%"),"")</f>
        <v/>
      </c>
      <c r="G23" s="94" t="str">
        <f>IF(COUNTIF(JOURNAL[Fecha],CALENDARIO!G20),IF(COUNTIFS(JOURNAL[Fecha],CALENDARIO!G20,JOURNAL[Resultado ($)],"&gt;0")&gt;0,COUNTIFS(JOURNAL[Fecha],CALENDARIO!G20,JOURNAL[Resultado ($)],"&gt;0")/COUNTIF(JOURNAL[Fecha],CALENDARIO!G20),"0%"),"")</f>
        <v/>
      </c>
      <c r="H23" s="94" t="str">
        <f>IF(COUNTIF(JOURNAL[Fecha],CALENDARIO!H20),IF(COUNTIFS(JOURNAL[Fecha],CALENDARIO!H20,JOURNAL[Resultado ($)],"&gt;0")&gt;0,COUNTIFS(JOURNAL[Fecha],CALENDARIO!H20,JOURNAL[Resultado ($)],"&gt;0")/COUNTIF(JOURNAL[Fecha],CALENDARIO!H20),"0%"),"")</f>
        <v/>
      </c>
      <c r="I23" s="94" t="str">
        <f>IF(COUNTIF(JOURNAL[Fecha],CALENDARIO!I20),IF(COUNTIFS(JOURNAL[Fecha],CALENDARIO!I20,JOURNAL[Resultado ($)],"&gt;0")&gt;0,COUNTIFS(JOURNAL[Fecha],CALENDARIO!I20,JOURNAL[Resultado ($)],"&gt;0")/COUNTIF(JOURNAL[Fecha],CALENDARIO!I20),"0%"),"")</f>
        <v/>
      </c>
      <c r="J23" s="94" t="str">
        <f>IF(COUNTIF(JOURNAL[Fecha],CALENDARIO!J20),IF(COUNTIFS(JOURNAL[Fecha],CALENDARIO!J20,JOURNAL[Resultado ($)],"&gt;0")&gt;0,COUNTIFS(JOURNAL[Fecha],CALENDARIO!J20,JOURNAL[Resultado ($)],"&gt;0")/COUNTIF(JOURNAL[Fecha],CALENDARIO!J20),"0%"),"")</f>
        <v/>
      </c>
      <c r="K23" s="94" t="str">
        <f>IF(COUNTIF(JOURNAL[Fecha],CALENDARIO!K20),IF(COUNTIFS(JOURNAL[Fecha],CALENDARIO!K20,JOURNAL[Resultado ($)],"&gt;0")&gt;0,COUNTIFS(JOURNAL[Fecha],CALENDARIO!K20,JOURNAL[Resultado ($)],"&gt;0")/COUNTIF(JOURNAL[Fecha],CALENDARIO!K20),"0%"),"")</f>
        <v/>
      </c>
      <c r="L23" s="95" t="str">
        <f>IF(COUNTIF(JOURNAL[Fecha],CALENDARIO!L20),IF(COUNTIFS(JOURNAL[Fecha],CALENDARIO!L20,JOURNAL[Resultado ($)],"&gt;0")&gt;0,COUNTIFS(JOURNAL[Fecha],CALENDARIO!L20,JOURNAL[Resultado ($)],"&gt;0")/COUNTIF(JOURNAL[Fecha],CALENDARIO!L20),"0%"),"")</f>
        <v/>
      </c>
      <c r="N23" s="96" t="str">
        <f>IF(COUNTIFS(JOURNAL[Semana],CALENDARIO!N20,JOURNAL[Año],CALENDARIO!$C$14),IF(COUNTIFS(JOURNAL[Semana],CALENDARIO!N20,JOURNAL[Año],CALENDARIO!$C$14,JOURNAL[Resultado ($)],"&gt;0")&gt;0,COUNTIFS(JOURNAL[Semana],CALENDARIO!N20,JOURNAL[Año],CALENDARIO!$C$14,JOURNAL[Resultado ($)],"&gt;0")/COUNTIFS(JOURNAL[Semana],CALENDARIO!N20,JOURNAL[Año],CALENDARIO!$C$14),"0%"),"")</f>
        <v/>
      </c>
    </row>
    <row r="24" spans="2:14" ht="15" customHeight="1" x14ac:dyDescent="0.3">
      <c r="B24" s="69"/>
      <c r="D24" s="99"/>
      <c r="F24" s="86">
        <f>L20+1</f>
        <v>45802</v>
      </c>
      <c r="G24" s="86">
        <f>F24+1</f>
        <v>45803</v>
      </c>
      <c r="H24" s="86">
        <f t="shared" si="1"/>
        <v>45804</v>
      </c>
      <c r="I24" s="86">
        <f t="shared" si="1"/>
        <v>45805</v>
      </c>
      <c r="J24" s="86">
        <f t="shared" si="1"/>
        <v>45806</v>
      </c>
      <c r="K24" s="86">
        <f t="shared" si="1"/>
        <v>45807</v>
      </c>
      <c r="L24" s="86">
        <f t="shared" si="1"/>
        <v>45808</v>
      </c>
      <c r="N24" s="87">
        <f>WEEKNUM(F24,1)</f>
        <v>22</v>
      </c>
    </row>
    <row r="25" spans="2:14" ht="18" customHeight="1" x14ac:dyDescent="0.25">
      <c r="F25" s="89" t="str">
        <f>IF(COUNTIF(JOURNAL[Fecha],CALENDARIO!F24),IF(COUNTIF(JOURNAL[Fecha],CALENDARIO!F24)&gt;1,COUNTIF(JOURNAL[Fecha],CALENDARIO!F24)&amp;" operaciones",COUNTIF(JOURNAL[Fecha],CALENDARIO!F24)&amp;" operación"),"")</f>
        <v/>
      </c>
      <c r="G25" s="88" t="str">
        <f>IF(COUNTIF(JOURNAL[Fecha],CALENDARIO!G24),IF(COUNTIF(JOURNAL[Fecha],CALENDARIO!G24)&gt;1,COUNTIF(JOURNAL[Fecha],CALENDARIO!G24)&amp;" operaciones",COUNTIF(JOURNAL[Fecha],CALENDARIO!G24)&amp;" operación"),"")</f>
        <v/>
      </c>
      <c r="H25" s="88" t="str">
        <f>IF(COUNTIF(JOURNAL[Fecha],CALENDARIO!H24),IF(COUNTIF(JOURNAL[Fecha],CALENDARIO!H24)&gt;1,COUNTIF(JOURNAL[Fecha],CALENDARIO!H24)&amp;" operaciones",COUNTIF(JOURNAL[Fecha],CALENDARIO!H24)&amp;" operación"),"")</f>
        <v/>
      </c>
      <c r="I25" s="88" t="str">
        <f>IF(COUNTIF(JOURNAL[Fecha],CALENDARIO!I24),IF(COUNTIF(JOURNAL[Fecha],CALENDARIO!I24)&gt;1,COUNTIF(JOURNAL[Fecha],CALENDARIO!I24)&amp;" operaciones",COUNTIF(JOURNAL[Fecha],CALENDARIO!I24)&amp;" operación"),"")</f>
        <v/>
      </c>
      <c r="J25" s="88" t="str">
        <f>IF(COUNTIF(JOURNAL[Fecha],CALENDARIO!J24),IF(COUNTIF(JOURNAL[Fecha],CALENDARIO!J24)&gt;1,COUNTIF(JOURNAL[Fecha],CALENDARIO!J24)&amp;" operaciones",COUNTIF(JOURNAL[Fecha],CALENDARIO!J24)&amp;" operación"),"")</f>
        <v/>
      </c>
      <c r="K25" s="88" t="str">
        <f>IF(COUNTIF(JOURNAL[Fecha],CALENDARIO!K24),IF(COUNTIF(JOURNAL[Fecha],CALENDARIO!K24)&gt;1,COUNTIF(JOURNAL[Fecha],CALENDARIO!K24)&amp;" operaciones",COUNTIF(JOURNAL[Fecha],CALENDARIO!K24)&amp;" operación"),"")</f>
        <v/>
      </c>
      <c r="L25" s="89" t="str">
        <f>IF(COUNTIF(JOURNAL[Fecha],CALENDARIO!L24),IF(COUNTIF(JOURNAL[Fecha],CALENDARIO!L24)&gt;1,COUNTIF(JOURNAL[Fecha],CALENDARIO!L24)&amp;" operaciones",COUNTIF(JOURNAL[Fecha],CALENDARIO!L24)&amp;" operación"),"")</f>
        <v/>
      </c>
      <c r="N25" s="90" t="str">
        <f>IF(COUNTIFS(JOURNAL[Semana],CALENDARIO!N24,JOURNAL[Año],CALENDARIO!$C$14),IF(COUNTIFS(JOURNAL[Semana],CALENDARIO!N24,JOURNAL[Año],CALENDARIO!$C$14)&gt;1,COUNTIFS(JOURNAL[Semana],CALENDARIO!N24,JOURNAL[Año],CALENDARIO!$C$14)&amp;" operaciones",COUNTIF(JOURNAL[Semana],N24)&amp;" operación"),"")</f>
        <v/>
      </c>
    </row>
    <row r="26" spans="2:14" ht="18" customHeight="1" x14ac:dyDescent="0.25">
      <c r="F26" s="92" t="str">
        <f>IF(COUNTIF(JOURNAL[Fecha],CALENDARIO!F24),SUMIF(JOURNAL[Fecha],CALENDARIO!F24,JOURNAL[Resultado ($)]),"")</f>
        <v/>
      </c>
      <c r="G26" s="91" t="str">
        <f>IF(COUNTIF(JOURNAL[Fecha],CALENDARIO!G24),SUMIF(JOURNAL[Fecha],CALENDARIO!G24,JOURNAL[Resultado ($)]),"")</f>
        <v/>
      </c>
      <c r="H26" s="91" t="str">
        <f>IF(COUNTIF(JOURNAL[Fecha],CALENDARIO!H24),SUMIF(JOURNAL[Fecha],CALENDARIO!H24,JOURNAL[Resultado ($)]),"")</f>
        <v/>
      </c>
      <c r="I26" s="91" t="str">
        <f>IF(COUNTIF(JOURNAL[Fecha],CALENDARIO!I24),SUMIF(JOURNAL[Fecha],CALENDARIO!I24,JOURNAL[Resultado ($)]),"")</f>
        <v/>
      </c>
      <c r="J26" s="91" t="str">
        <f>IF(COUNTIF(JOURNAL[Fecha],CALENDARIO!J24),SUMIF(JOURNAL[Fecha],CALENDARIO!J24,JOURNAL[Resultado ($)]),"")</f>
        <v/>
      </c>
      <c r="K26" s="91" t="str">
        <f>IF(COUNTIF(JOURNAL[Fecha],CALENDARIO!K24),SUMIF(JOURNAL[Fecha],CALENDARIO!K24,JOURNAL[Resultado ($)]),"")</f>
        <v/>
      </c>
      <c r="L26" s="92" t="str">
        <f>IF(COUNTIF(JOURNAL[Fecha],CALENDARIO!L24),SUMIF(JOURNAL[Fecha],CALENDARIO!L24,JOURNAL[Resultado ($)]),"")</f>
        <v/>
      </c>
      <c r="N26" s="93" t="str">
        <f>IF(COUNTIFS(JOURNAL[Semana],CALENDARIO!N24,JOURNAL[Año],CALENDARIO!$C$14),SUMIFS(JOURNAL[Resultado ($)],JOURNAL[Semana],CALENDARIO!N24,JOURNAL[Año],CALENDARIO!$C$14),"")</f>
        <v/>
      </c>
    </row>
    <row r="27" spans="2:14" ht="18" customHeight="1" x14ac:dyDescent="0.25">
      <c r="F27" s="95" t="str">
        <f>IF(COUNTIF(JOURNAL[Fecha],CALENDARIO!F24),IF(COUNTIFS(JOURNAL[Fecha],CALENDARIO!F24,JOURNAL[Resultado ($)],"&gt;0")&gt;0,COUNTIFS(JOURNAL[Fecha],CALENDARIO!F24,JOURNAL[Resultado ($)],"&gt;0")/COUNTIF(JOURNAL[Fecha],CALENDARIO!F24),"0%"),"")</f>
        <v/>
      </c>
      <c r="G27" s="94" t="str">
        <f>IF(COUNTIF(JOURNAL[Fecha],CALENDARIO!G24),IF(COUNTIFS(JOURNAL[Fecha],CALENDARIO!G24,JOURNAL[Resultado ($)],"&gt;0")&gt;0,COUNTIFS(JOURNAL[Fecha],CALENDARIO!G24,JOURNAL[Resultado ($)],"&gt;0")/COUNTIF(JOURNAL[Fecha],CALENDARIO!G24),"0%"),"")</f>
        <v/>
      </c>
      <c r="H27" s="94" t="str">
        <f>IF(COUNTIF(JOURNAL[Fecha],CALENDARIO!H24),IF(COUNTIFS(JOURNAL[Fecha],CALENDARIO!H24,JOURNAL[Resultado ($)],"&gt;0")&gt;0,COUNTIFS(JOURNAL[Fecha],CALENDARIO!H24,JOURNAL[Resultado ($)],"&gt;0")/COUNTIF(JOURNAL[Fecha],CALENDARIO!H24),"0%"),"")</f>
        <v/>
      </c>
      <c r="I27" s="94" t="str">
        <f>IF(COUNTIF(JOURNAL[Fecha],CALENDARIO!I24),IF(COUNTIFS(JOURNAL[Fecha],CALENDARIO!I24,JOURNAL[Resultado ($)],"&gt;0")&gt;0,COUNTIFS(JOURNAL[Fecha],CALENDARIO!I24,JOURNAL[Resultado ($)],"&gt;0")/COUNTIF(JOURNAL[Fecha],CALENDARIO!I24),"0%"),"")</f>
        <v/>
      </c>
      <c r="J27" s="94" t="str">
        <f>IF(COUNTIF(JOURNAL[Fecha],CALENDARIO!J24),IF(COUNTIFS(JOURNAL[Fecha],CALENDARIO!J24,JOURNAL[Resultado ($)],"&gt;0")&gt;0,COUNTIFS(JOURNAL[Fecha],CALENDARIO!J24,JOURNAL[Resultado ($)],"&gt;0")/COUNTIF(JOURNAL[Fecha],CALENDARIO!J24),"0%"),"")</f>
        <v/>
      </c>
      <c r="K27" s="94" t="str">
        <f>IF(COUNTIF(JOURNAL[Fecha],CALENDARIO!K24),IF(COUNTIFS(JOURNAL[Fecha],CALENDARIO!K24,JOURNAL[Resultado ($)],"&gt;0")&gt;0,COUNTIFS(JOURNAL[Fecha],CALENDARIO!K24,JOURNAL[Resultado ($)],"&gt;0")/COUNTIF(JOURNAL[Fecha],CALENDARIO!K24),"0%"),"")</f>
        <v/>
      </c>
      <c r="L27" s="95" t="str">
        <f>IF(COUNTIF(JOURNAL[Fecha],CALENDARIO!L24),IF(COUNTIFS(JOURNAL[Fecha],CALENDARIO!L24,JOURNAL[Resultado ($)],"&gt;0")&gt;0,COUNTIFS(JOURNAL[Fecha],CALENDARIO!L24,JOURNAL[Resultado ($)],"&gt;0")/COUNTIF(JOURNAL[Fecha],CALENDARIO!L24),"0%"),"")</f>
        <v/>
      </c>
      <c r="N27" s="96" t="str">
        <f>IF(COUNTIFS(JOURNAL[Semana],CALENDARIO!N24,JOURNAL[Año],CALENDARIO!$C$14),IF(COUNTIFS(JOURNAL[Semana],CALENDARIO!N24,JOURNAL[Año],CALENDARIO!$C$14,JOURNAL[Resultado ($)],"&gt;0")&gt;0,COUNTIFS(JOURNAL[Semana],CALENDARIO!N24,JOURNAL[Año],CALENDARIO!$C$14,JOURNAL[Resultado ($)],"&gt;0")/COUNTIFS(JOURNAL[Semana],CALENDARIO!N24,JOURNAL[Año],CALENDARIO!$C$14),"0%"),"")</f>
        <v/>
      </c>
    </row>
    <row r="28" spans="2:14" ht="15" customHeight="1" x14ac:dyDescent="0.3">
      <c r="F28" s="86">
        <f>L24+1</f>
        <v>45809</v>
      </c>
      <c r="G28" s="86">
        <f>F28+1</f>
        <v>45810</v>
      </c>
      <c r="H28" s="86">
        <f t="shared" si="1"/>
        <v>45811</v>
      </c>
      <c r="I28" s="86">
        <f t="shared" si="1"/>
        <v>45812</v>
      </c>
      <c r="J28" s="86">
        <f t="shared" si="1"/>
        <v>45813</v>
      </c>
      <c r="K28" s="86">
        <f t="shared" si="1"/>
        <v>45814</v>
      </c>
      <c r="L28" s="86">
        <f t="shared" si="1"/>
        <v>45815</v>
      </c>
      <c r="N28" s="87">
        <f>WEEKNUM(F28,1)</f>
        <v>23</v>
      </c>
    </row>
    <row r="29" spans="2:14" ht="18" customHeight="1" x14ac:dyDescent="0.25">
      <c r="F29" s="89" t="str">
        <f>IF(COUNTIF(JOURNAL[Fecha],CALENDARIO!F28),IF(COUNTIF(JOURNAL[Fecha],CALENDARIO!F28)&gt;1,COUNTIF(JOURNAL[Fecha],CALENDARIO!F28)&amp;" operaciones",COUNTIF(JOURNAL[Fecha],CALENDARIO!F28)&amp;" operación"),"")</f>
        <v/>
      </c>
      <c r="G29" s="88" t="str">
        <f>IF(COUNTIF(JOURNAL[Fecha],CALENDARIO!G28),IF(COUNTIF(JOURNAL[Fecha],CALENDARIO!G28)&gt;1,COUNTIF(JOURNAL[Fecha],CALENDARIO!G28)&amp;" operaciones",COUNTIF(JOURNAL[Fecha],CALENDARIO!G28)&amp;" operación"),"")</f>
        <v/>
      </c>
      <c r="H29" s="88" t="str">
        <f>IF(COUNTIF(JOURNAL[Fecha],CALENDARIO!H28),IF(COUNTIF(JOURNAL[Fecha],CALENDARIO!H28)&gt;1,COUNTIF(JOURNAL[Fecha],CALENDARIO!H28)&amp;" operaciones",COUNTIF(JOURNAL[Fecha],CALENDARIO!H28)&amp;" operación"),"")</f>
        <v/>
      </c>
      <c r="I29" s="88" t="str">
        <f>IF(COUNTIF(JOURNAL[Fecha],CALENDARIO!I28),IF(COUNTIF(JOURNAL[Fecha],CALENDARIO!I28)&gt;1,COUNTIF(JOURNAL[Fecha],CALENDARIO!I28)&amp;" operaciones",COUNTIF(JOURNAL[Fecha],CALENDARIO!I28)&amp;" operación"),"")</f>
        <v/>
      </c>
      <c r="J29" s="88" t="str">
        <f>IF(COUNTIF(JOURNAL[Fecha],CALENDARIO!J28),IF(COUNTIF(JOURNAL[Fecha],CALENDARIO!J28)&gt;1,COUNTIF(JOURNAL[Fecha],CALENDARIO!J28)&amp;" operaciones",COUNTIF(JOURNAL[Fecha],CALENDARIO!J28)&amp;" operación"),"")</f>
        <v/>
      </c>
      <c r="K29" s="88" t="str">
        <f>IF(COUNTIF(JOURNAL[Fecha],CALENDARIO!K28),IF(COUNTIF(JOURNAL[Fecha],CALENDARIO!K28)&gt;1,COUNTIF(JOURNAL[Fecha],CALENDARIO!K28)&amp;" operaciones",COUNTIF(JOURNAL[Fecha],CALENDARIO!K28)&amp;" operación"),"")</f>
        <v/>
      </c>
      <c r="L29" s="89" t="str">
        <f>IF(COUNTIF(JOURNAL[Fecha],CALENDARIO!L28),IF(COUNTIF(JOURNAL[Fecha],CALENDARIO!L28)&gt;1,COUNTIF(JOURNAL[Fecha],CALENDARIO!L28)&amp;" operaciones",COUNTIF(JOURNAL[Fecha],CALENDARIO!L28)&amp;" operación"),"")</f>
        <v/>
      </c>
      <c r="N29" s="90" t="str">
        <f>IF(COUNTIFS(JOURNAL[Semana],CALENDARIO!N28,JOURNAL[Año],CALENDARIO!$C$14),IF(COUNTIFS(JOURNAL[Semana],CALENDARIO!N28,JOURNAL[Año],CALENDARIO!$C$14)&gt;1,COUNTIFS(JOURNAL[Semana],CALENDARIO!N28,JOURNAL[Año],CALENDARIO!$C$14)&amp;" operaciones",COUNTIF(JOURNAL[Semana],N28)&amp;" operación"),"")</f>
        <v/>
      </c>
    </row>
    <row r="30" spans="2:14" ht="18" customHeight="1" x14ac:dyDescent="0.25">
      <c r="F30" s="92" t="str">
        <f>IF(COUNTIF(JOURNAL[Fecha],CALENDARIO!F28),SUMIF(JOURNAL[Fecha],CALENDARIO!F28,JOURNAL[Resultado ($)]),"")</f>
        <v/>
      </c>
      <c r="G30" s="91" t="str">
        <f>IF(COUNTIF(JOURNAL[Fecha],CALENDARIO!G28),SUMIF(JOURNAL[Fecha],CALENDARIO!G28,JOURNAL[Resultado ($)]),"")</f>
        <v/>
      </c>
      <c r="H30" s="91" t="str">
        <f>IF(COUNTIF(JOURNAL[Fecha],CALENDARIO!H28),SUMIF(JOURNAL[Fecha],CALENDARIO!H28,JOURNAL[Resultado ($)]),"")</f>
        <v/>
      </c>
      <c r="I30" s="91" t="str">
        <f>IF(COUNTIF(JOURNAL[Fecha],CALENDARIO!I28),SUMIF(JOURNAL[Fecha],CALENDARIO!I28,JOURNAL[Resultado ($)]),"")</f>
        <v/>
      </c>
      <c r="J30" s="91" t="str">
        <f>IF(COUNTIF(JOURNAL[Fecha],CALENDARIO!J28),SUMIF(JOURNAL[Fecha],CALENDARIO!J28,JOURNAL[Resultado ($)]),"")</f>
        <v/>
      </c>
      <c r="K30" s="91" t="str">
        <f>IF(COUNTIF(JOURNAL[Fecha],CALENDARIO!K28),SUMIF(JOURNAL[Fecha],CALENDARIO!K28,JOURNAL[Resultado ($)]),"")</f>
        <v/>
      </c>
      <c r="L30" s="92" t="str">
        <f>IF(COUNTIF(JOURNAL[Fecha],CALENDARIO!L28),SUMIF(JOURNAL[Fecha],CALENDARIO!L28,JOURNAL[Resultado ($)]),"")</f>
        <v/>
      </c>
      <c r="N30" s="93" t="str">
        <f>IF(COUNTIFS(JOURNAL[Semana],CALENDARIO!N28,JOURNAL[Año],CALENDARIO!$C$14),SUMIFS(JOURNAL[Resultado ($)],JOURNAL[Semana],CALENDARIO!N28,JOURNAL[Año],CALENDARIO!$C$14),"")</f>
        <v/>
      </c>
    </row>
    <row r="31" spans="2:14" ht="18" customHeight="1" x14ac:dyDescent="0.25">
      <c r="F31" s="95" t="str">
        <f>IF(COUNTIF(JOURNAL[Fecha],CALENDARIO!F28),IF(COUNTIFS(JOURNAL[Fecha],CALENDARIO!F28,JOURNAL[Resultado ($)],"&gt;0")&gt;0,COUNTIFS(JOURNAL[Fecha],CALENDARIO!F28,JOURNAL[Resultado ($)],"&gt;0")/COUNTIF(JOURNAL[Fecha],CALENDARIO!F28),"0%"),"")</f>
        <v/>
      </c>
      <c r="G31" s="94" t="str">
        <f>IF(COUNTIF(JOURNAL[Fecha],CALENDARIO!G28),IF(COUNTIFS(JOURNAL[Fecha],CALENDARIO!G28,JOURNAL[Resultado ($)],"&gt;0")&gt;0,COUNTIFS(JOURNAL[Fecha],CALENDARIO!G28,JOURNAL[Resultado ($)],"&gt;0")/COUNTIF(JOURNAL[Fecha],CALENDARIO!G28),"0%"),"")</f>
        <v/>
      </c>
      <c r="H31" s="94" t="str">
        <f>IF(COUNTIF(JOURNAL[Fecha],CALENDARIO!H28),IF(COUNTIFS(JOURNAL[Fecha],CALENDARIO!H28,JOURNAL[Resultado ($)],"&gt;0")&gt;0,COUNTIFS(JOURNAL[Fecha],CALENDARIO!H28,JOURNAL[Resultado ($)],"&gt;0")/COUNTIF(JOURNAL[Fecha],CALENDARIO!H28),"0%"),"")</f>
        <v/>
      </c>
      <c r="I31" s="94" t="str">
        <f>IF(COUNTIF(JOURNAL[Fecha],CALENDARIO!I28),IF(COUNTIFS(JOURNAL[Fecha],CALENDARIO!I28,JOURNAL[Resultado ($)],"&gt;0")&gt;0,COUNTIFS(JOURNAL[Fecha],CALENDARIO!I28,JOURNAL[Resultado ($)],"&gt;0")/COUNTIF(JOURNAL[Fecha],CALENDARIO!I28),"0%"),"")</f>
        <v/>
      </c>
      <c r="J31" s="94" t="str">
        <f>IF(COUNTIF(JOURNAL[Fecha],CALENDARIO!J28),IF(COUNTIFS(JOURNAL[Fecha],CALENDARIO!J28,JOURNAL[Resultado ($)],"&gt;0")&gt;0,COUNTIFS(JOURNAL[Fecha],CALENDARIO!J28,JOURNAL[Resultado ($)],"&gt;0")/COUNTIF(JOURNAL[Fecha],CALENDARIO!J28),"0%"),"")</f>
        <v/>
      </c>
      <c r="K31" s="94" t="str">
        <f>IF(COUNTIF(JOURNAL[Fecha],CALENDARIO!K28),IF(COUNTIFS(JOURNAL[Fecha],CALENDARIO!K28,JOURNAL[Resultado ($)],"&gt;0")&gt;0,COUNTIFS(JOURNAL[Fecha],CALENDARIO!K28,JOURNAL[Resultado ($)],"&gt;0")/COUNTIF(JOURNAL[Fecha],CALENDARIO!K28),"0%"),"")</f>
        <v/>
      </c>
      <c r="L31" s="95" t="str">
        <f>IF(COUNTIF(JOURNAL[Fecha],CALENDARIO!L28),IF(COUNTIFS(JOURNAL[Fecha],CALENDARIO!L28,JOURNAL[Resultado ($)],"&gt;0")&gt;0,COUNTIFS(JOURNAL[Fecha],CALENDARIO!L28,JOURNAL[Resultado ($)],"&gt;0")/COUNTIF(JOURNAL[Fecha],CALENDARIO!L28),"0%"),"")</f>
        <v/>
      </c>
      <c r="N31" s="96" t="str">
        <f>IF(COUNTIFS(JOURNAL[Semana],CALENDARIO!N28,JOURNAL[Año],CALENDARIO!$C$14),IF(COUNTIFS(JOURNAL[Semana],CALENDARIO!N28,JOURNAL[Año],CALENDARIO!$C$14,JOURNAL[Resultado ($)],"&gt;0")&gt;0,COUNTIFS(JOURNAL[Semana],CALENDARIO!N28,JOURNAL[Año],CALENDARIO!$C$14,JOURNAL[Resultado ($)],"&gt;0")/COUNTIFS(JOURNAL[Semana],CALENDARIO!N28,JOURNAL[Año],CALENDARIO!$C$14),"0%"),"")</f>
        <v/>
      </c>
    </row>
    <row r="32" spans="2:14" ht="18" customHeight="1" x14ac:dyDescent="0.25"/>
    <row r="33" ht="18" customHeight="1" x14ac:dyDescent="0.25"/>
    <row r="34" ht="18" customHeight="1" x14ac:dyDescent="0.25"/>
  </sheetData>
  <sheetProtection algorithmName="SHA-512" hashValue="4T1VDEZHoMfBV9iB2q1Ijy07iHdg4E5Nvy9l0PPibov90AbS4ICyx4G9qsX5qg7ZVAjHnq4eLf/Vq78hD9DUnA==" saltValue="8GWqoJhzxJ/PP5QcDC6lQA==" spinCount="100000" sheet="1" objects="1" scenarios="1"/>
  <mergeCells count="3">
    <mergeCell ref="F6:L6"/>
    <mergeCell ref="B10:C12"/>
    <mergeCell ref="C2:G3"/>
  </mergeCells>
  <phoneticPr fontId="5" type="noConversion"/>
  <conditionalFormatting sqref="F8:L8 F12:L12 F16:L16 F20:L20 F24:L24 F28:L28">
    <cfRule type="cellIs" dxfId="28" priority="83" operator="greaterThan">
      <formula>EOMONTH($C$8,0)</formula>
    </cfRule>
    <cfRule type="cellIs" dxfId="27" priority="84" operator="lessThan">
      <formula>$C$8</formula>
    </cfRule>
    <cfRule type="expression" priority="85">
      <formula>$C$8</formula>
    </cfRule>
  </conditionalFormatting>
  <conditionalFormatting sqref="G10:L10">
    <cfRule type="cellIs" dxfId="26" priority="81" operator="lessThan">
      <formula>0</formula>
    </cfRule>
    <cfRule type="cellIs" dxfId="25" priority="82" operator="greaterThan">
      <formula>0</formula>
    </cfRule>
  </conditionalFormatting>
  <conditionalFormatting sqref="F18:G18 I18:L18">
    <cfRule type="cellIs" dxfId="24" priority="77" operator="lessThan">
      <formula>0</formula>
    </cfRule>
    <cfRule type="cellIs" dxfId="23" priority="78" operator="greaterThan">
      <formula>0</formula>
    </cfRule>
  </conditionalFormatting>
  <conditionalFormatting sqref="F14:L14">
    <cfRule type="cellIs" dxfId="22" priority="32" operator="lessThan">
      <formula>0</formula>
    </cfRule>
    <cfRule type="cellIs" dxfId="21" priority="33" operator="greaterThan">
      <formula>0</formula>
    </cfRule>
  </conditionalFormatting>
  <conditionalFormatting sqref="F22:L22">
    <cfRule type="cellIs" dxfId="20" priority="30" operator="lessThan">
      <formula>0</formula>
    </cfRule>
    <cfRule type="cellIs" dxfId="19" priority="31" operator="greaterThan">
      <formula>0</formula>
    </cfRule>
  </conditionalFormatting>
  <conditionalFormatting sqref="F26:L26">
    <cfRule type="cellIs" dxfId="18" priority="28" operator="lessThan">
      <formula>0</formula>
    </cfRule>
    <cfRule type="cellIs" dxfId="17" priority="29" operator="greaterThan">
      <formula>0</formula>
    </cfRule>
  </conditionalFormatting>
  <conditionalFormatting sqref="F30:L30">
    <cfRule type="cellIs" dxfId="16" priority="26" operator="lessThan">
      <formula>0</formula>
    </cfRule>
    <cfRule type="cellIs" dxfId="15" priority="27" operator="greaterThan">
      <formula>0</formula>
    </cfRule>
  </conditionalFormatting>
  <conditionalFormatting sqref="N10">
    <cfRule type="cellIs" dxfId="14" priority="24" operator="lessThan">
      <formula>0</formula>
    </cfRule>
    <cfRule type="cellIs" dxfId="13" priority="25" operator="greaterThan">
      <formula>0</formula>
    </cfRule>
  </conditionalFormatting>
  <conditionalFormatting sqref="N14">
    <cfRule type="cellIs" dxfId="12" priority="12" operator="lessThan">
      <formula>0</formula>
    </cfRule>
    <cfRule type="cellIs" dxfId="11" priority="13" operator="greaterThan">
      <formula>0</formula>
    </cfRule>
  </conditionalFormatting>
  <conditionalFormatting sqref="N18">
    <cfRule type="cellIs" dxfId="10" priority="10" operator="lessThan">
      <formula>0</formula>
    </cfRule>
    <cfRule type="cellIs" dxfId="9" priority="11" operator="greaterThan">
      <formula>0</formula>
    </cfRule>
  </conditionalFormatting>
  <conditionalFormatting sqref="N22">
    <cfRule type="cellIs" dxfId="8" priority="8" operator="lessThan">
      <formula>0</formula>
    </cfRule>
    <cfRule type="cellIs" dxfId="7" priority="9" operator="greaterThan">
      <formula>0</formula>
    </cfRule>
  </conditionalFormatting>
  <conditionalFormatting sqref="N26">
    <cfRule type="cellIs" dxfId="6" priority="6" operator="lessThan">
      <formula>0</formula>
    </cfRule>
    <cfRule type="cellIs" dxfId="5" priority="7" operator="greaterThan">
      <formula>0</formula>
    </cfRule>
  </conditionalFormatting>
  <conditionalFormatting sqref="N30">
    <cfRule type="cellIs" dxfId="4" priority="4" operator="lessThan">
      <formula>0</formula>
    </cfRule>
    <cfRule type="cellIs" dxfId="3" priority="5" operator="greaterThan">
      <formula>0</formula>
    </cfRule>
  </conditionalFormatting>
  <conditionalFormatting sqref="H18">
    <cfRule type="cellIs" dxfId="2" priority="2" operator="lessThan">
      <formula>0</formula>
    </cfRule>
    <cfRule type="cellIs" dxfId="1" priority="3" operator="greaterThan">
      <formula>0</formula>
    </cfRule>
  </conditionalFormatting>
  <dataValidations count="1">
    <dataValidation type="list" allowBlank="1" showInputMessage="1" showErrorMessage="1" sqref="C15" xr:uid="{640E3659-13C9-4853-A13A-BB0B0A4FDCD3}">
      <formula1>"1,2,3,4,5,6,7,8,9,10,11,12"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3653-074F-4A6E-86E5-1592E679E400}">
  <sheetPr codeName="Hoja4"/>
  <dimension ref="B1:FF683"/>
  <sheetViews>
    <sheetView zoomScale="90" zoomScaleNormal="90" workbookViewId="0">
      <selection activeCell="L53" sqref="L53"/>
    </sheetView>
  </sheetViews>
  <sheetFormatPr baseColWidth="10" defaultRowHeight="14.4" x14ac:dyDescent="0.3"/>
  <cols>
    <col min="1" max="1" width="3.44140625" customWidth="1"/>
    <col min="2" max="2" width="9.88671875" bestFit="1" customWidth="1"/>
    <col min="3" max="3" width="7" bestFit="1" customWidth="1"/>
    <col min="4" max="4" width="6.44140625" bestFit="1" customWidth="1"/>
    <col min="5" max="5" width="7.5546875" bestFit="1" customWidth="1"/>
    <col min="6" max="6" width="6.44140625" bestFit="1" customWidth="1"/>
    <col min="7" max="7" width="2.77734375" customWidth="1"/>
    <col min="8" max="8" width="7.21875" bestFit="1" customWidth="1"/>
    <col min="9" max="9" width="2.77734375" customWidth="1"/>
    <col min="10" max="10" width="7.77734375" bestFit="1" customWidth="1"/>
    <col min="11" max="11" width="8.6640625" bestFit="1" customWidth="1"/>
    <col min="12" max="12" width="2.77734375" customWidth="1"/>
    <col min="13" max="13" width="20.77734375" bestFit="1" customWidth="1"/>
    <col min="14" max="14" width="2.77734375" customWidth="1"/>
    <col min="15" max="15" width="17.5546875" style="6" bestFit="1" customWidth="1"/>
    <col min="16" max="16" width="10.5546875" bestFit="1" customWidth="1"/>
    <col min="17" max="18" width="6.21875" customWidth="1"/>
    <col min="19" max="19" width="2.77734375" customWidth="1"/>
    <col min="20" max="20" width="12.33203125" bestFit="1" customWidth="1"/>
    <col min="21" max="21" width="7.109375" bestFit="1" customWidth="1"/>
    <col min="22" max="22" width="2.77734375" customWidth="1"/>
    <col min="23" max="23" width="4.5546875" bestFit="1" customWidth="1"/>
    <col min="24" max="24" width="14.6640625" bestFit="1" customWidth="1"/>
    <col min="25" max="25" width="2.77734375" customWidth="1"/>
    <col min="26" max="26" width="14.33203125" bestFit="1" customWidth="1"/>
    <col min="27" max="27" width="2.77734375" customWidth="1"/>
    <col min="28" max="28" width="13.88671875" bestFit="1" customWidth="1"/>
    <col min="29" max="29" width="2.77734375" customWidth="1"/>
    <col min="30" max="30" width="8.21875" bestFit="1" customWidth="1"/>
    <col min="31" max="31" width="15.88671875" bestFit="1" customWidth="1"/>
    <col min="32" max="32" width="2.77734375" customWidth="1"/>
    <col min="33" max="33" width="16.88671875" bestFit="1" customWidth="1"/>
    <col min="34" max="34" width="9.77734375" bestFit="1" customWidth="1"/>
    <col min="35" max="35" width="2.77734375" customWidth="1"/>
    <col min="36" max="36" width="14.44140625" bestFit="1" customWidth="1"/>
    <col min="37" max="37" width="9.77734375" bestFit="1" customWidth="1"/>
    <col min="38" max="38" width="2.77734375" customWidth="1"/>
    <col min="39" max="39" width="4.109375" bestFit="1" customWidth="1"/>
    <col min="40" max="40" width="7.21875" customWidth="1"/>
    <col min="41" max="41" width="5.5546875" bestFit="1" customWidth="1"/>
    <col min="42" max="42" width="2.77734375" customWidth="1"/>
    <col min="43" max="43" width="18.21875" bestFit="1" customWidth="1"/>
    <col min="44" max="44" width="7.5546875" bestFit="1" customWidth="1"/>
    <col min="45" max="45" width="2.77734375" customWidth="1"/>
    <col min="46" max="46" width="4.44140625" bestFit="1" customWidth="1"/>
    <col min="47" max="47" width="7.109375" bestFit="1" customWidth="1"/>
    <col min="48" max="48" width="6.109375" bestFit="1" customWidth="1"/>
    <col min="49" max="49" width="3.33203125" customWidth="1"/>
    <col min="50" max="50" width="4.109375" bestFit="1" customWidth="1"/>
    <col min="51" max="51" width="8.109375" bestFit="1" customWidth="1"/>
    <col min="52" max="53" width="12.88671875" customWidth="1"/>
    <col min="54" max="54" width="2.77734375" customWidth="1"/>
    <col min="55" max="55" width="4.44140625" bestFit="1" customWidth="1"/>
    <col min="56" max="56" width="7.21875" bestFit="1" customWidth="1"/>
    <col min="57" max="57" width="6.109375" bestFit="1" customWidth="1"/>
    <col min="58" max="58" width="2.77734375" customWidth="1"/>
    <col min="59" max="59" width="4.109375" bestFit="1" customWidth="1"/>
    <col min="60" max="60" width="3.77734375" bestFit="1" customWidth="1"/>
    <col min="61" max="61" width="9.33203125" bestFit="1" customWidth="1"/>
    <col min="62" max="62" width="12.88671875" bestFit="1" customWidth="1"/>
    <col min="63" max="63" width="2.77734375" customWidth="1"/>
    <col min="64" max="64" width="68.77734375" style="27" customWidth="1"/>
    <col min="65" max="65" width="53.44140625" style="24" customWidth="1"/>
    <col min="66" max="66" width="64.44140625" style="24" customWidth="1"/>
    <col min="67" max="67" width="2.77734375" customWidth="1"/>
    <col min="68" max="68" width="8.21875" bestFit="1" customWidth="1"/>
    <col min="69" max="69" width="7.109375" bestFit="1" customWidth="1"/>
    <col min="70" max="70" width="2.77734375" customWidth="1"/>
    <col min="71" max="71" width="8.109375" bestFit="1" customWidth="1"/>
    <col min="72" max="72" width="6.109375" bestFit="1" customWidth="1"/>
    <col min="73" max="73" width="2.77734375" customWidth="1"/>
    <col min="74" max="74" width="8.6640625" bestFit="1" customWidth="1"/>
    <col min="75" max="75" width="7.109375" bestFit="1" customWidth="1"/>
    <col min="76" max="77" width="3.109375" bestFit="1" customWidth="1"/>
    <col min="78" max="78" width="5.88671875" bestFit="1" customWidth="1"/>
    <col min="79" max="79" width="3.88671875" bestFit="1" customWidth="1"/>
    <col min="80" max="80" width="2.77734375" customWidth="1"/>
    <col min="81" max="81" width="8.6640625" bestFit="1" customWidth="1"/>
    <col min="82" max="82" width="6.109375" bestFit="1" customWidth="1"/>
    <col min="83" max="84" width="3.109375" bestFit="1" customWidth="1"/>
    <col min="85" max="85" width="4.77734375" bestFit="1" customWidth="1"/>
    <col min="86" max="86" width="3.88671875" bestFit="1" customWidth="1"/>
    <col min="87" max="87" width="2.77734375" customWidth="1"/>
    <col min="88" max="88" width="7.21875" bestFit="1" customWidth="1"/>
    <col min="89" max="89" width="4.109375" bestFit="1" customWidth="1"/>
    <col min="90" max="90" width="3" bestFit="1" customWidth="1"/>
    <col min="91" max="91" width="3.33203125" bestFit="1" customWidth="1"/>
    <col min="92" max="92" width="3.77734375" bestFit="1" customWidth="1"/>
    <col min="93" max="93" width="2.77734375" customWidth="1"/>
    <col min="94" max="94" width="6.77734375" bestFit="1" customWidth="1"/>
    <col min="95" max="95" width="4.109375" bestFit="1" customWidth="1"/>
    <col min="96" max="96" width="3" bestFit="1" customWidth="1"/>
    <col min="97" max="97" width="3.33203125" bestFit="1" customWidth="1"/>
    <col min="98" max="98" width="3.77734375" bestFit="1" customWidth="1"/>
    <col min="99" max="99" width="2.77734375" customWidth="1"/>
    <col min="100" max="100" width="6.77734375" bestFit="1" customWidth="1"/>
    <col min="101" max="101" width="4.109375" bestFit="1" customWidth="1"/>
    <col min="102" max="102" width="3" bestFit="1" customWidth="1"/>
    <col min="103" max="103" width="3.33203125" bestFit="1" customWidth="1"/>
    <col min="104" max="104" width="3.77734375" bestFit="1" customWidth="1"/>
    <col min="105" max="105" width="2.77734375" customWidth="1"/>
    <col min="106" max="106" width="6.77734375" bestFit="1" customWidth="1"/>
    <col min="107" max="107" width="4.109375" bestFit="1" customWidth="1"/>
    <col min="108" max="108" width="3" bestFit="1" customWidth="1"/>
    <col min="109" max="109" width="3.33203125" bestFit="1" customWidth="1"/>
    <col min="110" max="110" width="3.77734375" bestFit="1" customWidth="1"/>
    <col min="111" max="111" width="2.77734375" customWidth="1"/>
    <col min="112" max="112" width="6.77734375" bestFit="1" customWidth="1"/>
    <col min="113" max="113" width="4.109375" bestFit="1" customWidth="1"/>
    <col min="114" max="114" width="3" bestFit="1" customWidth="1"/>
    <col min="115" max="115" width="3.33203125" bestFit="1" customWidth="1"/>
    <col min="116" max="116" width="3.77734375" bestFit="1" customWidth="1"/>
    <col min="117" max="117" width="2.77734375" customWidth="1"/>
    <col min="118" max="118" width="6.77734375" bestFit="1" customWidth="1"/>
    <col min="119" max="119" width="4.109375" bestFit="1" customWidth="1"/>
    <col min="120" max="120" width="3" bestFit="1" customWidth="1"/>
    <col min="121" max="121" width="3.33203125" bestFit="1" customWidth="1"/>
    <col min="122" max="122" width="3.77734375" bestFit="1" customWidth="1"/>
    <col min="123" max="123" width="2.77734375" customWidth="1"/>
    <col min="124" max="124" width="8.6640625" customWidth="1"/>
    <col min="125" max="125" width="39.77734375" bestFit="1" customWidth="1"/>
    <col min="126" max="126" width="5.6640625" customWidth="1"/>
    <col min="127" max="127" width="7.6640625" customWidth="1"/>
    <col min="128" max="128" width="4.5546875" customWidth="1"/>
    <col min="129" max="129" width="8.5546875" bestFit="1" customWidth="1"/>
    <col min="130" max="130" width="2.77734375" customWidth="1"/>
    <col min="131" max="131" width="3.33203125" bestFit="1" customWidth="1"/>
    <col min="132" max="132" width="24.109375" bestFit="1" customWidth="1"/>
    <col min="133" max="133" width="4.109375" bestFit="1" customWidth="1"/>
    <col min="134" max="134" width="3.21875" bestFit="1" customWidth="1"/>
    <col min="135" max="137" width="5.44140625" bestFit="1" customWidth="1"/>
    <col min="138" max="138" width="21.44140625" bestFit="1" customWidth="1"/>
    <col min="139" max="139" width="4.109375" bestFit="1" customWidth="1"/>
    <col min="140" max="140" width="3.21875" bestFit="1" customWidth="1"/>
    <col min="141" max="143" width="5.44140625" bestFit="1" customWidth="1"/>
    <col min="144" max="144" width="2.77734375" customWidth="1"/>
    <col min="145" max="145" width="17.5546875" bestFit="1" customWidth="1"/>
    <col min="146" max="146" width="20.88671875" bestFit="1" customWidth="1"/>
    <col min="147" max="147" width="2.77734375" customWidth="1"/>
    <col min="148" max="148" width="10.44140625" bestFit="1" customWidth="1"/>
    <col min="149" max="149" width="7.109375" bestFit="1" customWidth="1"/>
    <col min="150" max="150" width="2.77734375" customWidth="1"/>
    <col min="151" max="151" width="17.5546875" bestFit="1" customWidth="1"/>
    <col min="152" max="152" width="20.88671875" bestFit="1" customWidth="1"/>
    <col min="153" max="153" width="2.77734375" customWidth="1"/>
    <col min="154" max="154" width="11.109375" bestFit="1" customWidth="1"/>
    <col min="155" max="155" width="2.77734375" customWidth="1"/>
    <col min="156" max="156" width="17.5546875" bestFit="1" customWidth="1"/>
    <col min="157" max="157" width="4.109375" bestFit="1" customWidth="1"/>
    <col min="158" max="158" width="3" bestFit="1" customWidth="1"/>
    <col min="159" max="159" width="3.33203125" bestFit="1" customWidth="1"/>
    <col min="160" max="160" width="2.21875" bestFit="1" customWidth="1"/>
    <col min="161" max="161" width="17.5546875" bestFit="1" customWidth="1"/>
    <col min="162" max="162" width="20.88671875" bestFit="1" customWidth="1"/>
  </cols>
  <sheetData>
    <row r="1" spans="2:162" x14ac:dyDescent="0.3">
      <c r="O1"/>
    </row>
    <row r="2" spans="2:162" x14ac:dyDescent="0.3">
      <c r="B2" s="1" t="s">
        <v>78</v>
      </c>
      <c r="C2" s="1" t="s">
        <v>78</v>
      </c>
      <c r="H2" t="s">
        <v>98</v>
      </c>
      <c r="J2" t="s">
        <v>63</v>
      </c>
      <c r="K2" t="s">
        <v>64</v>
      </c>
      <c r="M2" t="s">
        <v>65</v>
      </c>
      <c r="O2"/>
      <c r="T2" s="1" t="s">
        <v>79</v>
      </c>
      <c r="U2" t="s">
        <v>85</v>
      </c>
      <c r="W2" s="1" t="s">
        <v>50</v>
      </c>
      <c r="X2" t="s">
        <v>111</v>
      </c>
      <c r="Z2" t="s">
        <v>71</v>
      </c>
      <c r="AB2" t="s">
        <v>72</v>
      </c>
      <c r="AD2" s="1" t="s">
        <v>32</v>
      </c>
      <c r="AE2" t="s">
        <v>139</v>
      </c>
      <c r="AG2" s="1" t="s">
        <v>37</v>
      </c>
      <c r="AH2" t="s">
        <v>99</v>
      </c>
      <c r="AJ2" s="1" t="s">
        <v>36</v>
      </c>
      <c r="AK2" t="s">
        <v>100</v>
      </c>
      <c r="AM2" s="1" t="s">
        <v>78</v>
      </c>
      <c r="AN2" t="s">
        <v>98</v>
      </c>
      <c r="AQ2" t="s">
        <v>81</v>
      </c>
      <c r="AT2" s="1" t="s">
        <v>78</v>
      </c>
      <c r="AU2" t="s">
        <v>83</v>
      </c>
      <c r="AV2" t="s">
        <v>84</v>
      </c>
      <c r="AX2" s="14" t="s">
        <v>50</v>
      </c>
      <c r="AY2" s="14" t="s">
        <v>32</v>
      </c>
      <c r="AZ2" s="15" t="s">
        <v>79</v>
      </c>
      <c r="BA2" s="15" t="s">
        <v>40</v>
      </c>
      <c r="BC2" s="1" t="s">
        <v>78</v>
      </c>
      <c r="BD2" s="17" t="s">
        <v>83</v>
      </c>
      <c r="BE2" s="22" t="s">
        <v>84</v>
      </c>
      <c r="BG2" s="14" t="s">
        <v>50</v>
      </c>
      <c r="BH2" s="14" t="s">
        <v>32</v>
      </c>
      <c r="BI2" s="15" t="s">
        <v>79</v>
      </c>
      <c r="BJ2" s="15" t="s">
        <v>40</v>
      </c>
      <c r="BL2" s="27" t="str">
        <f>IF(BP8=BS8,"- Los pares utilizados han tenido el mismo rendimiento de "&amp;TEXT(BQ8,"$#.#"),"- El par con el MEJOR rendimiento ha sido "&amp;BP8&amp;" con "&amp;TEXT(BQ8,"$#.#")&amp;IF(BQ8&gt;=0," de ganancia."," de perdida."))</f>
        <v>- El par con el MEJOR rendimiento ha sido GBPUSD con $2.151 de ganancia.</v>
      </c>
      <c r="BP2" s="1" t="s">
        <v>140</v>
      </c>
      <c r="BQ2" s="17" t="s">
        <v>85</v>
      </c>
      <c r="BS2" s="1" t="s">
        <v>32</v>
      </c>
      <c r="BT2" t="s">
        <v>85</v>
      </c>
      <c r="BV2" s="1" t="s">
        <v>86</v>
      </c>
      <c r="BW2" t="s">
        <v>85</v>
      </c>
      <c r="BX2" t="s">
        <v>87</v>
      </c>
      <c r="BY2" t="s">
        <v>88</v>
      </c>
      <c r="BZ2" t="s">
        <v>89</v>
      </c>
      <c r="CA2" t="s">
        <v>129</v>
      </c>
      <c r="CC2" s="1" t="s">
        <v>86</v>
      </c>
      <c r="CD2" t="s">
        <v>85</v>
      </c>
      <c r="CE2" t="s">
        <v>87</v>
      </c>
      <c r="CF2" t="s">
        <v>88</v>
      </c>
      <c r="CG2" s="22" t="s">
        <v>89</v>
      </c>
      <c r="CH2" t="s">
        <v>129</v>
      </c>
      <c r="EB2" s="1" t="s">
        <v>76</v>
      </c>
      <c r="EC2" s="1" t="s">
        <v>78</v>
      </c>
      <c r="EH2" s="1" t="s">
        <v>77</v>
      </c>
      <c r="EI2" s="1" t="s">
        <v>78</v>
      </c>
      <c r="EO2" s="1" t="s">
        <v>4</v>
      </c>
      <c r="EP2" t="s">
        <v>90</v>
      </c>
      <c r="EU2" s="1" t="s">
        <v>4</v>
      </c>
      <c r="EV2" t="s">
        <v>90</v>
      </c>
      <c r="EX2" t="s">
        <v>113</v>
      </c>
      <c r="EZ2" s="1" t="s">
        <v>98</v>
      </c>
      <c r="FA2" s="1" t="s">
        <v>78</v>
      </c>
      <c r="FE2" s="1" t="s">
        <v>4</v>
      </c>
      <c r="FF2" t="s">
        <v>90</v>
      </c>
    </row>
    <row r="3" spans="2:162" x14ac:dyDescent="0.3">
      <c r="B3" s="1" t="s">
        <v>134</v>
      </c>
      <c r="C3" t="s">
        <v>27</v>
      </c>
      <c r="D3" t="s">
        <v>26</v>
      </c>
      <c r="H3" s="16">
        <v>2</v>
      </c>
      <c r="J3" s="3">
        <v>9.9775000000000003E-3</v>
      </c>
      <c r="K3" s="17">
        <v>997.75</v>
      </c>
      <c r="M3" s="18">
        <v>3.888888888888889E-2</v>
      </c>
      <c r="O3" s="1" t="s">
        <v>4</v>
      </c>
      <c r="P3" t="s">
        <v>133</v>
      </c>
      <c r="T3" s="4" t="s">
        <v>27</v>
      </c>
      <c r="U3" s="17">
        <v>-155</v>
      </c>
      <c r="W3" s="4" t="s">
        <v>141</v>
      </c>
      <c r="X3" s="3">
        <v>-1.5499999999999999E-3</v>
      </c>
      <c r="Z3" s="3">
        <v>1.9955000000000001E-2</v>
      </c>
      <c r="AB3" s="3">
        <v>-1.5499999999999999E-3</v>
      </c>
      <c r="AD3" s="4" t="s">
        <v>142</v>
      </c>
      <c r="AE3" s="16">
        <v>1</v>
      </c>
      <c r="AG3" s="4" t="s">
        <v>75</v>
      </c>
      <c r="AH3" s="16"/>
      <c r="AJ3" s="4" t="s">
        <v>144</v>
      </c>
      <c r="AK3" s="16">
        <v>1</v>
      </c>
      <c r="AM3" s="4" t="s">
        <v>27</v>
      </c>
      <c r="AN3" s="16">
        <v>1</v>
      </c>
      <c r="AQ3" s="3">
        <v>0.875</v>
      </c>
      <c r="AT3" s="4" t="s">
        <v>146</v>
      </c>
      <c r="AU3" s="17">
        <v>2150.5</v>
      </c>
      <c r="AV3" s="22">
        <v>1</v>
      </c>
      <c r="AX3" t="str">
        <f>IF(AT3=0,"",AT3)</f>
        <v>002</v>
      </c>
      <c r="AY3" t="str">
        <f>IF(AX3="","",IF(VLOOKUP(AX3,JOURNAL[],4,0)=0,"",VLOOKUP(AX3,JOURNAL[],4,0)))</f>
        <v>GBPUSD</v>
      </c>
      <c r="AZ3" s="17">
        <f>IF(AU3="","",AU3)</f>
        <v>2150.5</v>
      </c>
      <c r="BA3" s="23">
        <f>IF(AV3=0,"",AV3)</f>
        <v>1</v>
      </c>
      <c r="BC3" s="4" t="s">
        <v>141</v>
      </c>
      <c r="BD3" s="29">
        <v>-155</v>
      </c>
      <c r="BE3" s="22">
        <v>0.75</v>
      </c>
      <c r="BG3" t="str">
        <f>IF(BC3=0,"",BC3)</f>
        <v>001</v>
      </c>
      <c r="BH3" t="str">
        <f>IF(BG3="","",IF(VLOOKUP(BG3,JOURNAL[],4,0)=0,"",VLOOKUP(BG3,JOURNAL[],4,0)))</f>
        <v>EURUSD</v>
      </c>
      <c r="BI3" s="17">
        <f>IF(BD3="","",BD3)</f>
        <v>-155</v>
      </c>
      <c r="BJ3" s="23">
        <f>IF(BE3=0,"",BE3)</f>
        <v>0.75</v>
      </c>
      <c r="BL3" s="27" t="str">
        <f>IF(BP8=BS8,"","- El par con el PEOR rendimiento ha sido "&amp;BS8&amp;" con "&amp;TEXT(BT8,"$#.#")&amp;IF(BT8&gt;=0," de ganancia."," de perdida."))</f>
        <v>- El par con el PEOR rendimiento ha sido EURUSD con -$155 de perdida.</v>
      </c>
      <c r="BP3" s="4" t="s">
        <v>143</v>
      </c>
      <c r="BQ3" s="17">
        <v>2150.5</v>
      </c>
      <c r="BS3" s="4" t="s">
        <v>142</v>
      </c>
      <c r="BT3" s="17">
        <v>-155</v>
      </c>
      <c r="BV3" s="4">
        <v>8</v>
      </c>
      <c r="BW3" s="17">
        <v>2150.5</v>
      </c>
      <c r="BX3" s="16"/>
      <c r="BY3" s="16"/>
      <c r="BZ3" s="22">
        <v>1</v>
      </c>
      <c r="CA3" s="16">
        <v>1</v>
      </c>
      <c r="CC3" s="4">
        <v>6</v>
      </c>
      <c r="CD3" s="17">
        <v>-155</v>
      </c>
      <c r="CE3" s="16">
        <v>1</v>
      </c>
      <c r="CF3" s="16"/>
      <c r="CG3" s="22">
        <v>0.75</v>
      </c>
      <c r="CH3" s="16">
        <v>1</v>
      </c>
      <c r="CJ3" s="1" t="s">
        <v>98</v>
      </c>
      <c r="CK3" s="1" t="s">
        <v>78</v>
      </c>
      <c r="CP3" s="1" t="s">
        <v>129</v>
      </c>
      <c r="CQ3" s="1" t="s">
        <v>78</v>
      </c>
      <c r="CV3" s="1" t="s">
        <v>129</v>
      </c>
      <c r="CW3" s="1" t="s">
        <v>78</v>
      </c>
      <c r="DB3" s="1" t="s">
        <v>129</v>
      </c>
      <c r="DC3" s="1" t="s">
        <v>78</v>
      </c>
      <c r="DH3" s="1" t="s">
        <v>129</v>
      </c>
      <c r="DI3" s="1" t="s">
        <v>78</v>
      </c>
      <c r="DN3" s="1" t="s">
        <v>129</v>
      </c>
      <c r="DO3" s="1" t="s">
        <v>78</v>
      </c>
      <c r="DT3" s="60" t="s">
        <v>91</v>
      </c>
      <c r="DU3" s="61" t="s">
        <v>93</v>
      </c>
      <c r="DV3" s="61" t="s">
        <v>131</v>
      </c>
      <c r="DW3" s="61" t="s">
        <v>132</v>
      </c>
      <c r="DX3" s="61" t="s">
        <v>26</v>
      </c>
      <c r="DY3" s="62" t="s">
        <v>105</v>
      </c>
      <c r="EB3" s="1" t="s">
        <v>4</v>
      </c>
      <c r="EC3" t="s">
        <v>27</v>
      </c>
      <c r="ED3" t="s">
        <v>26</v>
      </c>
      <c r="EE3" t="s">
        <v>96</v>
      </c>
      <c r="EH3" s="1" t="s">
        <v>4</v>
      </c>
      <c r="EI3" t="s">
        <v>27</v>
      </c>
      <c r="EJ3" t="s">
        <v>26</v>
      </c>
      <c r="EK3" t="s">
        <v>96</v>
      </c>
      <c r="EO3" s="4" t="s">
        <v>143</v>
      </c>
      <c r="EP3" s="17">
        <v>2150.5</v>
      </c>
      <c r="ER3" s="1" t="s">
        <v>104</v>
      </c>
      <c r="ES3" t="s">
        <v>78</v>
      </c>
      <c r="EU3" s="4" t="s">
        <v>145</v>
      </c>
      <c r="EV3" s="17">
        <v>1995.5</v>
      </c>
      <c r="EX3" s="3">
        <v>-1.5499999999999999E-3</v>
      </c>
      <c r="EZ3" s="1" t="s">
        <v>4</v>
      </c>
      <c r="FA3" t="s">
        <v>26</v>
      </c>
      <c r="FB3" t="s">
        <v>27</v>
      </c>
      <c r="FE3" s="119">
        <v>0.375</v>
      </c>
      <c r="FF3" s="17">
        <v>2150.5</v>
      </c>
    </row>
    <row r="4" spans="2:162" x14ac:dyDescent="0.3">
      <c r="B4" s="4" t="s">
        <v>58</v>
      </c>
      <c r="C4" s="3">
        <v>-1.5499999999999999E-3</v>
      </c>
      <c r="D4" s="3"/>
      <c r="H4" s="16"/>
      <c r="J4" s="3"/>
      <c r="K4" s="17"/>
      <c r="M4" s="18"/>
      <c r="O4" s="4" t="s">
        <v>145</v>
      </c>
      <c r="P4" s="3">
        <v>1.9955000000000001E-2</v>
      </c>
      <c r="R4" s="3"/>
      <c r="T4" s="4" t="s">
        <v>26</v>
      </c>
      <c r="U4" s="17">
        <v>2150.5</v>
      </c>
      <c r="W4" s="4" t="s">
        <v>146</v>
      </c>
      <c r="X4" s="3">
        <v>1.9955000000000001E-2</v>
      </c>
      <c r="Z4" s="3"/>
      <c r="AD4" s="4" t="s">
        <v>143</v>
      </c>
      <c r="AE4" s="16">
        <v>1</v>
      </c>
      <c r="AJ4" s="4" t="s">
        <v>75</v>
      </c>
      <c r="AK4" s="16"/>
      <c r="AM4" s="4" t="s">
        <v>26</v>
      </c>
      <c r="AN4" s="16">
        <v>1</v>
      </c>
      <c r="AT4" s="4" t="s">
        <v>141</v>
      </c>
      <c r="AU4" s="17">
        <v>-155</v>
      </c>
      <c r="AV4" s="22">
        <v>0.75</v>
      </c>
      <c r="AX4" t="str">
        <f t="shared" ref="AX4:AX7" si="0">IF(AT4=0,"",AT4)</f>
        <v>001</v>
      </c>
      <c r="AY4" t="str">
        <f>IF(AX4="","",IF(VLOOKUP(AX4,JOURNAL[],4,0)=0,"",VLOOKUP(AX4,JOURNAL[],4,0)))</f>
        <v>EURUSD</v>
      </c>
      <c r="AZ4" s="17">
        <f t="shared" ref="AZ4:AZ7" si="1">IF(AU4="","",AU4)</f>
        <v>-155</v>
      </c>
      <c r="BA4" s="23">
        <f t="shared" ref="BA4:BA7" si="2">IF(AV4=0,"",AV4)</f>
        <v>0.75</v>
      </c>
      <c r="BC4" s="4" t="s">
        <v>146</v>
      </c>
      <c r="BD4" s="29">
        <v>2150.5</v>
      </c>
      <c r="BE4" s="22">
        <v>1</v>
      </c>
      <c r="BG4" t="str">
        <f t="shared" ref="BG4:BG7" si="3">IF(BC4=0,"",BC4)</f>
        <v>002</v>
      </c>
      <c r="BH4" t="str">
        <f>IF(BG4="","",IF(VLOOKUP(BG4,JOURNAL[],4,0)=0,"",VLOOKUP(BG4,JOURNAL[],4,0)))</f>
        <v>GBPUSD</v>
      </c>
      <c r="BI4" s="17">
        <f t="shared" ref="BI4:BI7" si="4">IF(BD4="","",BD4)</f>
        <v>2150.5</v>
      </c>
      <c r="BJ4" s="23">
        <f t="shared" ref="BJ4:BJ7" si="5">IF(BE4=0,"",BE4)</f>
        <v>1</v>
      </c>
      <c r="BL4" s="27" t="str">
        <f>IF(BV6=CC6,"- Las semanas han tenido el mismo rendimiento","- La semana con el MEJOR rendimiento ha sido la semana #"&amp;BV6&amp;" con "&amp;TEXT(BW6,"$#.#")&amp;IF(BW6&gt;=0," de ganancia."," de perdida,")&amp;" En la que realizaste "&amp;CA6&amp;" operaciones, "&amp;IF(SUM(BX6:BY6)&gt;0," cometiste "&amp;SUM(BX6:BY6)&amp;" fallas tecnica(s) y/o emocional(es)","no cometiste fallas,")&amp;" y tuviste un "&amp;TEXT(BZ6,"0%")&amp;" de cumplimiento con la estrategia.")</f>
        <v>- La semana con el MEJOR rendimiento ha sido la semana #8 con $2.151 de ganancia. En la que realizaste 1 operaciones, no cometiste fallas, y tuviste un 100% de cumplimiento con la estrategia.</v>
      </c>
      <c r="CJ4" s="1" t="s">
        <v>128</v>
      </c>
      <c r="CK4" t="s">
        <v>26</v>
      </c>
      <c r="CL4" t="s">
        <v>27</v>
      </c>
      <c r="CP4" s="1" t="s">
        <v>130</v>
      </c>
      <c r="CQ4" t="s">
        <v>26</v>
      </c>
      <c r="CR4" t="s">
        <v>27</v>
      </c>
      <c r="CV4" s="1" t="s">
        <v>130</v>
      </c>
      <c r="CW4" t="s">
        <v>26</v>
      </c>
      <c r="CX4" t="s">
        <v>27</v>
      </c>
      <c r="DB4" s="1" t="s">
        <v>130</v>
      </c>
      <c r="DC4" t="s">
        <v>26</v>
      </c>
      <c r="DD4" t="s">
        <v>27</v>
      </c>
      <c r="DH4" s="1" t="s">
        <v>130</v>
      </c>
      <c r="DI4" t="s">
        <v>26</v>
      </c>
      <c r="DJ4" t="s">
        <v>27</v>
      </c>
      <c r="DN4" s="1" t="s">
        <v>130</v>
      </c>
      <c r="DO4" t="s">
        <v>26</v>
      </c>
      <c r="DP4" t="s">
        <v>27</v>
      </c>
      <c r="DT4" s="58" t="s">
        <v>44</v>
      </c>
      <c r="DU4" s="56" t="str">
        <f>VLOOKUP(DT4,Tabla10[],2,0)</f>
        <v>Criterio 1</v>
      </c>
      <c r="DV4" s="56">
        <f>CL10</f>
        <v>2</v>
      </c>
      <c r="DW4" s="57">
        <f t="shared" ref="DW4:DW9" si="6">IF(DV4="","",DV4/$H$3)</f>
        <v>1</v>
      </c>
      <c r="DX4" s="56">
        <f>CK10</f>
        <v>1</v>
      </c>
      <c r="DY4" s="59">
        <f t="shared" ref="DY4:DY9" si="7">IF(DV4="","",IF(DX4="","",DX4/DV4))</f>
        <v>0.5</v>
      </c>
      <c r="EB4" s="4" t="s">
        <v>75</v>
      </c>
      <c r="EC4" s="16"/>
      <c r="ED4" s="16"/>
      <c r="EE4" s="16"/>
      <c r="EH4" s="4" t="s">
        <v>75</v>
      </c>
      <c r="EI4" s="16"/>
      <c r="EJ4" s="16"/>
      <c r="EK4" s="16"/>
      <c r="EO4" s="4" t="s">
        <v>142</v>
      </c>
      <c r="EP4" s="17">
        <v>-155</v>
      </c>
      <c r="ER4" t="s">
        <v>27</v>
      </c>
      <c r="ES4" s="17">
        <v>-155</v>
      </c>
      <c r="EU4" s="30">
        <v>6</v>
      </c>
      <c r="EV4" s="17">
        <v>-155</v>
      </c>
      <c r="EZ4" s="4" t="s">
        <v>115</v>
      </c>
      <c r="FA4" s="16">
        <v>1</v>
      </c>
      <c r="FB4" s="16">
        <v>1</v>
      </c>
      <c r="FE4" s="119">
        <v>0.41666666666666669</v>
      </c>
      <c r="FF4" s="17">
        <v>-155</v>
      </c>
    </row>
    <row r="5" spans="2:162" x14ac:dyDescent="0.3">
      <c r="B5" s="4" t="s">
        <v>25</v>
      </c>
      <c r="C5" s="3"/>
      <c r="D5" s="3">
        <v>2.1505E-2</v>
      </c>
      <c r="H5" s="15" t="s">
        <v>61</v>
      </c>
      <c r="J5" s="15" t="s">
        <v>62</v>
      </c>
      <c r="M5" s="15" t="s">
        <v>66</v>
      </c>
      <c r="O5" s="30" t="s">
        <v>147</v>
      </c>
      <c r="P5" s="3">
        <v>1.9955000000000001E-2</v>
      </c>
      <c r="R5" s="3"/>
      <c r="Z5" s="15" t="s">
        <v>73</v>
      </c>
      <c r="AB5" s="15" t="s">
        <v>74</v>
      </c>
      <c r="AX5" t="str">
        <f t="shared" si="0"/>
        <v/>
      </c>
      <c r="AY5" t="str">
        <f>IF(AX5="","",IF(VLOOKUP(AX5,JOURNAL[],4,0)=0,"",VLOOKUP(AX5,JOURNAL[],4,0)))</f>
        <v/>
      </c>
      <c r="AZ5" s="17" t="str">
        <f t="shared" si="1"/>
        <v/>
      </c>
      <c r="BA5" s="23" t="str">
        <f t="shared" si="2"/>
        <v/>
      </c>
      <c r="BG5" t="str">
        <f t="shared" si="3"/>
        <v/>
      </c>
      <c r="BH5" t="str">
        <f>IF(BG5="","",IF(VLOOKUP(BG5,JOURNAL[],4,0)=0,"",VLOOKUP(BG5,JOURNAL[],4,0)))</f>
        <v/>
      </c>
      <c r="BI5" s="17" t="str">
        <f t="shared" si="4"/>
        <v/>
      </c>
      <c r="BJ5" s="23" t="str">
        <f t="shared" si="5"/>
        <v/>
      </c>
      <c r="BL5" s="27" t="str">
        <f>IF(BV6=CC6,"","- La semana con el PEOR rendimiento ha sido la semana #"&amp;CC6&amp;" con "&amp;TEXT(CD6,"$#.#")&amp;IF(CD6&gt;=0," de ganancia."," de perdida.")&amp;" En la que realizaste "&amp;CH6&amp;" operaciones, "&amp;IF(SUM(CE6:CF6)&gt;0," cometiste "&amp;SUM(CE6:CF6)&amp;" fallas tecnica(s) y/o emocional(es)","no cometiste fallas,")&amp;" y tuviste un "&amp;TEXT(CG6,"0%")&amp;" de cumplimiento con la estrategia.")</f>
        <v>- La semana con el PEOR rendimiento ha sido la semana #6 con -$155 de perdida. En la que realizaste 1 operaciones,  cometiste 1 fallas tecnica(s) y/o emocional(es) y tuviste un 75% de cumplimiento con la estrategia.</v>
      </c>
      <c r="CJ5" s="4" t="s">
        <v>2</v>
      </c>
      <c r="CK5" s="16">
        <v>1</v>
      </c>
      <c r="CL5" s="16">
        <v>1</v>
      </c>
      <c r="CP5" s="4" t="s">
        <v>2</v>
      </c>
      <c r="CQ5" s="16">
        <v>1</v>
      </c>
      <c r="CR5" s="16">
        <v>1</v>
      </c>
      <c r="CV5" s="4" t="s">
        <v>2</v>
      </c>
      <c r="CW5" s="16">
        <v>1</v>
      </c>
      <c r="CX5" s="16"/>
      <c r="DB5" s="4" t="s">
        <v>2</v>
      </c>
      <c r="DC5" s="16">
        <v>1</v>
      </c>
      <c r="DD5" s="16">
        <v>1</v>
      </c>
      <c r="DH5" s="4" t="s">
        <v>2</v>
      </c>
      <c r="DI5" s="16">
        <v>1</v>
      </c>
      <c r="DJ5" s="16">
        <v>1</v>
      </c>
      <c r="DN5" s="4" t="s">
        <v>2</v>
      </c>
      <c r="DO5" s="16">
        <v>1</v>
      </c>
      <c r="DP5" s="16"/>
      <c r="DT5" s="58" t="s">
        <v>45</v>
      </c>
      <c r="DU5" s="56" t="str">
        <f>VLOOKUP(DT5,Tabla10[],2,0)</f>
        <v>Criterio 2</v>
      </c>
      <c r="DV5" s="56">
        <f>CR10</f>
        <v>2</v>
      </c>
      <c r="DW5" s="57">
        <f t="shared" si="6"/>
        <v>1</v>
      </c>
      <c r="DX5" s="56">
        <f>CQ10</f>
        <v>1</v>
      </c>
      <c r="DY5" s="59">
        <f t="shared" si="7"/>
        <v>0.5</v>
      </c>
      <c r="EH5" s="4" t="s">
        <v>144</v>
      </c>
      <c r="EI5" s="16">
        <v>1</v>
      </c>
      <c r="EJ5" s="16"/>
      <c r="EK5" s="16">
        <v>1</v>
      </c>
      <c r="ER5" t="s">
        <v>26</v>
      </c>
      <c r="ES5" s="17">
        <v>2150.5</v>
      </c>
      <c r="EU5" s="30">
        <v>8</v>
      </c>
      <c r="EV5" s="17">
        <v>2150.5</v>
      </c>
    </row>
    <row r="6" spans="2:162" x14ac:dyDescent="0.3">
      <c r="H6">
        <f>$H$3</f>
        <v>2</v>
      </c>
      <c r="J6" t="str">
        <f>TEXT(GETPIVOTDATA("Prom ($)",$J$2),"$#.##")&amp;" │ "&amp;TEXT(GETPIVOTDATA("Prom %",$J$2),"0,00%")</f>
        <v>$998 │ 1,00%</v>
      </c>
      <c r="M6" s="18" t="str">
        <f>TEXT(M3,"[m]")&amp;" min"</f>
        <v>56 min</v>
      </c>
      <c r="O6"/>
      <c r="Z6" s="13">
        <f>$Z$3</f>
        <v>1.9955000000000001E-2</v>
      </c>
      <c r="AB6" s="13">
        <f>$AB$3</f>
        <v>-1.5499999999999999E-3</v>
      </c>
      <c r="AX6" t="str">
        <f t="shared" si="0"/>
        <v/>
      </c>
      <c r="AY6" t="str">
        <f>IF(AX6="","",IF(VLOOKUP(AX6,JOURNAL[],4,0)=0,"",VLOOKUP(AX6,JOURNAL[],4,0)))</f>
        <v/>
      </c>
      <c r="AZ6" s="17" t="str">
        <f t="shared" si="1"/>
        <v/>
      </c>
      <c r="BA6" s="23" t="str">
        <f t="shared" si="2"/>
        <v/>
      </c>
      <c r="BG6" t="str">
        <f t="shared" si="3"/>
        <v/>
      </c>
      <c r="BH6" t="str">
        <f>IF(BG6="","",IF(VLOOKUP(BG6,JOURNAL[],4,0)=0,"",VLOOKUP(BG6,JOURNAL[],4,0)))</f>
        <v/>
      </c>
      <c r="BI6" s="17" t="str">
        <f t="shared" si="4"/>
        <v/>
      </c>
      <c r="BJ6" s="23" t="str">
        <f t="shared" si="5"/>
        <v/>
      </c>
      <c r="BL6" s="27" t="str">
        <f>IF(DU12=DU14,"- Los criterios de estrategia han sido utilizados la misma cantidad de veces","- El criterio de estrategia mas utilizado ha sido "&amp;DU12&amp;", el cual se ha utilizado en un "&amp;TEXT(DV12,"0%")&amp;" de las operaciones, y ha tenido un "&amp;TEXT(DW12,"0%")&amp;" de Win Rate")</f>
        <v>- El criterio de estrategia mas utilizado ha sido Criterio 1, el cual se ha utilizado en un 100% de las operaciones, y ha tenido un 50% de Win Rate</v>
      </c>
      <c r="BP6" s="4"/>
      <c r="BQ6" s="17"/>
      <c r="BV6">
        <f t="shared" ref="BV6:CA6" si="8">BV3</f>
        <v>8</v>
      </c>
      <c r="BW6" s="17">
        <f t="shared" si="8"/>
        <v>2150.5</v>
      </c>
      <c r="BX6" s="16">
        <f t="shared" si="8"/>
        <v>0</v>
      </c>
      <c r="BY6" s="16">
        <f t="shared" si="8"/>
        <v>0</v>
      </c>
      <c r="BZ6" s="22">
        <f t="shared" si="8"/>
        <v>1</v>
      </c>
      <c r="CA6" s="68">
        <f t="shared" si="8"/>
        <v>1</v>
      </c>
      <c r="CC6">
        <f t="shared" ref="CC6:CH6" si="9">CC3</f>
        <v>6</v>
      </c>
      <c r="CD6" s="17">
        <f t="shared" si="9"/>
        <v>-155</v>
      </c>
      <c r="CE6">
        <f t="shared" si="9"/>
        <v>1</v>
      </c>
      <c r="CF6">
        <f t="shared" si="9"/>
        <v>0</v>
      </c>
      <c r="CG6" s="22">
        <f t="shared" si="9"/>
        <v>0.75</v>
      </c>
      <c r="CH6">
        <f t="shared" si="9"/>
        <v>1</v>
      </c>
      <c r="CV6" s="4" t="s">
        <v>3</v>
      </c>
      <c r="CW6" s="16"/>
      <c r="CX6" s="16">
        <v>1</v>
      </c>
      <c r="DN6" s="4" t="s">
        <v>3</v>
      </c>
      <c r="DO6" s="16"/>
      <c r="DP6" s="16">
        <v>1</v>
      </c>
      <c r="DT6" s="58" t="s">
        <v>46</v>
      </c>
      <c r="DU6" s="56" t="str">
        <f>VLOOKUP(DT6,Tabla10[],2,0)</f>
        <v>Criterio 3</v>
      </c>
      <c r="DV6" s="56">
        <f>CX10</f>
        <v>1</v>
      </c>
      <c r="DW6" s="57">
        <f t="shared" si="6"/>
        <v>0.5</v>
      </c>
      <c r="DX6" s="56">
        <f>CW10</f>
        <v>1</v>
      </c>
      <c r="DY6" s="59">
        <f t="shared" si="7"/>
        <v>1</v>
      </c>
    </row>
    <row r="7" spans="2:162" x14ac:dyDescent="0.3">
      <c r="O7"/>
      <c r="T7" s="4"/>
      <c r="U7" s="17"/>
      <c r="Z7" s="13"/>
      <c r="AB7" s="13"/>
      <c r="AX7" t="str">
        <f t="shared" si="0"/>
        <v/>
      </c>
      <c r="AY7" t="str">
        <f>IF(AX7="","",IF(VLOOKUP(AX7,JOURNAL[],4,0)=0,"",VLOOKUP(AX7,JOURNAL[],4,0)))</f>
        <v/>
      </c>
      <c r="AZ7" s="17" t="str">
        <f t="shared" si="1"/>
        <v/>
      </c>
      <c r="BA7" s="23" t="str">
        <f t="shared" si="2"/>
        <v/>
      </c>
      <c r="BG7" t="str">
        <f t="shared" si="3"/>
        <v/>
      </c>
      <c r="BH7" t="str">
        <f>IF(BG7="","",IF(VLOOKUP(BG7,JOURNAL[],4,0)=0,"",VLOOKUP(BG7,JOURNAL[],4,0)))</f>
        <v/>
      </c>
      <c r="BI7" s="17" t="str">
        <f t="shared" si="4"/>
        <v/>
      </c>
      <c r="BJ7" s="23" t="str">
        <f t="shared" si="5"/>
        <v/>
      </c>
      <c r="BL7" s="27" t="str">
        <f>IF(DV14=0,"- El criterio de estrategia menos utilizado ha sido "&amp;DU14&amp;", el cual no ha sido utilizado.",IF(DU12=DU14,"","- El criterio de estrategia menos utilizado ha sido "&amp;DU14&amp;", el cual se ha utilizado en un "&amp;TEXT(DV14,"0%")&amp;" de las operaciones, y ha tenido un "&amp;TEXT(DW14,"0%")&amp;" de Win Rate, se recomienda evaluar su importancia en la estrategia"))</f>
        <v>- El criterio de estrategia menos utilizado ha sido Criterio 3, el cual se ha utilizado en un 50% de las operaciones, y ha tenido un 100% de Win Rate, se recomienda evaluar su importancia en la estrategia</v>
      </c>
      <c r="BP7" s="4"/>
      <c r="BQ7" s="17"/>
      <c r="BS7" s="4"/>
      <c r="BT7" s="17"/>
      <c r="DT7" s="58" t="s">
        <v>47</v>
      </c>
      <c r="DU7" s="56" t="str">
        <f>VLOOKUP(DT7,Tabla10[],2,0)</f>
        <v>Criterio 4</v>
      </c>
      <c r="DV7" s="56">
        <f>DD10</f>
        <v>2</v>
      </c>
      <c r="DW7" s="57">
        <f t="shared" si="6"/>
        <v>1</v>
      </c>
      <c r="DX7" s="56">
        <f>DC10</f>
        <v>1</v>
      </c>
      <c r="DY7" s="59">
        <f t="shared" si="7"/>
        <v>0.5</v>
      </c>
    </row>
    <row r="8" spans="2:162" x14ac:dyDescent="0.3">
      <c r="O8"/>
      <c r="T8" s="14" t="s">
        <v>68</v>
      </c>
      <c r="U8" s="15" t="s">
        <v>69</v>
      </c>
      <c r="Z8" t="str">
        <f>Z5&amp;": "&amp;TEXT(Z6,"0,00%")</f>
        <v>MAX: 2,00%</v>
      </c>
      <c r="AB8" t="str">
        <f>AB5&amp;": "&amp;TEXT(AB6,"0,00%")</f>
        <v>MIN: -0,16%</v>
      </c>
      <c r="AM8" s="4" t="s">
        <v>79</v>
      </c>
      <c r="AN8" t="s">
        <v>80</v>
      </c>
      <c r="AO8" t="s">
        <v>1</v>
      </c>
      <c r="AQ8" s="15" t="s">
        <v>40</v>
      </c>
      <c r="AR8" s="15" t="s">
        <v>82</v>
      </c>
      <c r="BL8" s="27" t="str">
        <f>IFERROR(IF(#REF!=#REF!,"- Los criterios de estrategia utilizados han tenido el mismo rendimiento","- El criterio de estrategia con mejores resultados ha sido "&amp;#REF!&amp;", el cual ha dado resultados positivos en un "&amp;TEXT(#REF!,"0%")&amp;" de las veces en las que se ha utilizado."),"- Los criterios de estrategia utilizados han tenido el mismo rendimiento")</f>
        <v>- Los criterios de estrategia utilizados han tenido el mismo rendimiento</v>
      </c>
      <c r="BP8" t="str">
        <f>BP3</f>
        <v>GBPUSD</v>
      </c>
      <c r="BQ8" s="17">
        <f>BQ3</f>
        <v>2150.5</v>
      </c>
      <c r="BS8" t="str">
        <f>BS3</f>
        <v>EURUSD</v>
      </c>
      <c r="BT8" s="17">
        <f>BT3</f>
        <v>-155</v>
      </c>
      <c r="CJ8" s="4"/>
      <c r="DT8" s="58" t="s">
        <v>48</v>
      </c>
      <c r="DU8" s="56" t="str">
        <f>VLOOKUP(DT8,Tabla10[],2,0)</f>
        <v>Criterio 5</v>
      </c>
      <c r="DV8" s="56">
        <f>DJ10</f>
        <v>2</v>
      </c>
      <c r="DW8" s="57">
        <f t="shared" si="6"/>
        <v>1</v>
      </c>
      <c r="DX8" s="56">
        <f>DI10</f>
        <v>1</v>
      </c>
      <c r="DY8" s="59">
        <f t="shared" si="7"/>
        <v>0.5</v>
      </c>
      <c r="EZ8" s="15" t="s">
        <v>117</v>
      </c>
      <c r="FA8" s="15" t="s">
        <v>80</v>
      </c>
      <c r="FB8" s="15" t="s">
        <v>1</v>
      </c>
    </row>
    <row r="9" spans="2:162" x14ac:dyDescent="0.3">
      <c r="O9"/>
      <c r="T9" t="s">
        <v>26</v>
      </c>
      <c r="U9">
        <f>IF(OR(VLOOKUP(T9,$T$3:$U$5,2,0)="",VLOOKUP(T9,$T$3:$U$5,2,0)=0),"",VLOOKUP(T9,$T$3:$U$5,2,0))</f>
        <v>2150.5</v>
      </c>
      <c r="AI9" s="13"/>
      <c r="AM9" t="s">
        <v>0</v>
      </c>
      <c r="AN9" t="str">
        <f>IFERROR(VLOOKUP(Tabla8[[#This Row],[Resultado]],$AM$3:$AN$5,2,0),"")</f>
        <v/>
      </c>
      <c r="AO9" s="23" t="str">
        <f>IFERROR(AN9/$AN$12,"")</f>
        <v/>
      </c>
      <c r="AQ9" s="22">
        <f>AQ3</f>
        <v>0.875</v>
      </c>
      <c r="AR9" s="3">
        <f>1-AQ9</f>
        <v>0.125</v>
      </c>
      <c r="BL9" s="27" t="str">
        <f>IFERROR(IF(#REF!=#REF!,"","- El criterio de estrategia con peores resultados ha sido "&amp;#REF!&amp;", el cual ha dado resultados positivos en un "&amp;TEXT(#REF!,"0%")&amp;" de las veces en las que se ha utilizado. Debe evaluarse su impacto en la estrategia y tomar medidas en caso de que sea necesario."),"- Los criterios de estrategia utilizados han tenido el mismo rendimiento")</f>
        <v>- Los criterios de estrategia utilizados han tenido el mismo rendimiento</v>
      </c>
      <c r="CJ9" s="4" t="s">
        <v>91</v>
      </c>
      <c r="CK9" t="s">
        <v>26</v>
      </c>
      <c r="CL9" t="s">
        <v>127</v>
      </c>
      <c r="CP9" s="4" t="s">
        <v>91</v>
      </c>
      <c r="CQ9" t="s">
        <v>26</v>
      </c>
      <c r="CR9" t="s">
        <v>127</v>
      </c>
      <c r="CV9" s="4" t="s">
        <v>91</v>
      </c>
      <c r="CW9" t="s">
        <v>26</v>
      </c>
      <c r="CX9" t="s">
        <v>127</v>
      </c>
      <c r="DB9" s="4" t="s">
        <v>91</v>
      </c>
      <c r="DC9" t="s">
        <v>26</v>
      </c>
      <c r="DD9" t="s">
        <v>127</v>
      </c>
      <c r="DH9" s="4" t="s">
        <v>91</v>
      </c>
      <c r="DI9" t="s">
        <v>26</v>
      </c>
      <c r="DJ9" t="s">
        <v>127</v>
      </c>
      <c r="DN9" s="4" t="s">
        <v>91</v>
      </c>
      <c r="DO9" t="s">
        <v>26</v>
      </c>
      <c r="DP9" t="s">
        <v>127</v>
      </c>
      <c r="DT9" s="63" t="s">
        <v>49</v>
      </c>
      <c r="DU9" s="64" t="str">
        <f>VLOOKUP(DT9,Tabla10[],2,0)</f>
        <v>Criterio 6</v>
      </c>
      <c r="DV9" s="64">
        <f>DP10</f>
        <v>1</v>
      </c>
      <c r="DW9" s="65">
        <f t="shared" si="6"/>
        <v>0.5</v>
      </c>
      <c r="DX9" s="64">
        <f>DO10</f>
        <v>1</v>
      </c>
      <c r="DY9" s="66">
        <f t="shared" si="7"/>
        <v>1</v>
      </c>
      <c r="ER9" t="s">
        <v>112</v>
      </c>
      <c r="ES9" t="s">
        <v>135</v>
      </c>
      <c r="EZ9" t="s">
        <v>136</v>
      </c>
      <c r="FA9" t="str">
        <f>IFERROR(IF(OR(VLOOKUP(Tabla7[[#This Row],[Tipo]],$EZ$4:$FC$6,2,0)="",VLOOKUP(Tabla7[[#This Row],[Tipo]],$EZ$4:$FC$6,2,0))=0,"",VLOOKUP(Tabla7[[#This Row],[Tipo]],$EZ$4:$FC$6,2,0)),"")</f>
        <v/>
      </c>
      <c r="FB9" s="33" t="str">
        <f>IFERROR(IF(Tabla7[[#This Row],[Cantidad]]=0,"",Tabla7[[#This Row],[Cantidad]]/SUM($FA$4:$FA$6)),"")</f>
        <v/>
      </c>
    </row>
    <row r="10" spans="2:162" x14ac:dyDescent="0.3">
      <c r="J10" s="19"/>
      <c r="O10"/>
      <c r="T10" t="s">
        <v>27</v>
      </c>
      <c r="U10">
        <f>IF(OR(VLOOKUP(T10,$T$3:$U$5,2,0)="",VLOOKUP(T10,$T$3:$U$5,2,0)=0),"",VLOOKUP(T10,$T$3:$U$5,2,0))</f>
        <v>-155</v>
      </c>
      <c r="AI10" s="21"/>
      <c r="AM10" t="s">
        <v>27</v>
      </c>
      <c r="AN10">
        <f>IFERROR(VLOOKUP(Tabla8[[#This Row],[Resultado]],$AM$3:$AN$5,2,0),"")</f>
        <v>1</v>
      </c>
      <c r="AO10" s="23">
        <f>IFERROR(AN10/$AN$12,"")</f>
        <v>0.5</v>
      </c>
      <c r="BL10" s="27" t="str">
        <f>IF(AH31=0,"",IF(EB57="","Pero estas no han comprometido el resultado de tus operaciones, considera llevar a cabo esfuerzos para no repetir estas fallas.","- La falla emocional que mas influye en tus resultados es "&amp;EB57&amp;" ya que cuando esta presente en tu operativa, pierdes el "&amp;TEXT(EC57,"0%")&amp;" de tus operaciones."))</f>
        <v/>
      </c>
      <c r="CJ10" s="4" t="s">
        <v>44</v>
      </c>
      <c r="CK10">
        <f>IFERROR(INDEX(CK5:CM7,MATCH("SI",CJ5:CJ7,0),MATCH("TP",CK4:CM4,0)),0)</f>
        <v>1</v>
      </c>
      <c r="CL10">
        <f>IFERROR(SUM(INDEX(CK5:CM7,MATCH("SI",CJ5:CJ7,0),0)),0)</f>
        <v>2</v>
      </c>
      <c r="CP10" s="4" t="s">
        <v>45</v>
      </c>
      <c r="CQ10">
        <f>IFERROR(INDEX(CQ5:CS7,MATCH("SI",CP5:CP7,0),MATCH("TP",CQ4:CS4,0)),0)</f>
        <v>1</v>
      </c>
      <c r="CR10">
        <f>IFERROR(SUM(INDEX(CQ5:CS7,MATCH("SI",CP5:CP7,0),0)),0)</f>
        <v>2</v>
      </c>
      <c r="CV10" s="4" t="s">
        <v>46</v>
      </c>
      <c r="CW10">
        <f>IFERROR(INDEX(CW5:CY7,MATCH("SI",CV5:CV7,0),MATCH("TP",CW4:CY4,0)),0)</f>
        <v>1</v>
      </c>
      <c r="CX10">
        <f>IFERROR(SUM(INDEX(CW5:CY7,MATCH("SI",CV5:CV7,0),0)),0)</f>
        <v>1</v>
      </c>
      <c r="DB10" s="4" t="s">
        <v>47</v>
      </c>
      <c r="DC10">
        <f>IFERROR(INDEX(DC5:DE7,MATCH("SI",DB5:DB7,0),MATCH("TP",DC4:DE4,0)),0)</f>
        <v>1</v>
      </c>
      <c r="DD10">
        <f>IFERROR(SUM(INDEX(DC5:DE7,MATCH("SI",DB5:DB7,0),0)),0)</f>
        <v>2</v>
      </c>
      <c r="DH10" s="4" t="s">
        <v>48</v>
      </c>
      <c r="DI10">
        <f>IFERROR(INDEX(DI5:DK7,MATCH("SI",DH5:DH7,0),MATCH("TP",DI4:DK4,0)),0)</f>
        <v>1</v>
      </c>
      <c r="DJ10">
        <f>IFERROR(SUM(INDEX(DI5:DK7,MATCH("SI",DH5:DH7,0),0)),0)</f>
        <v>2</v>
      </c>
      <c r="DN10" s="4" t="s">
        <v>49</v>
      </c>
      <c r="DO10">
        <f>IFERROR(INDEX(DO5:DQ7,MATCH("SI",DN5:DN7,0),MATCH("TP",DO4:DQ4,0)),0)</f>
        <v>1</v>
      </c>
      <c r="DP10">
        <f>IFERROR(SUM(INDEX(DO5:DQ7,MATCH("SI",DN5:DN7,0),0)),0)</f>
        <v>1</v>
      </c>
      <c r="ER10" s="17">
        <f>IFERROR(VLOOKUP("sl",$ER$4:$ES$6,2,0),"")</f>
        <v>-155</v>
      </c>
      <c r="ES10" s="13">
        <f>IF(ER10="","",ABS(ER10/CUENTA!$B$11))</f>
        <v>1.5499999999999999E-3</v>
      </c>
      <c r="EZ10" t="s">
        <v>115</v>
      </c>
      <c r="FA10">
        <f>IFERROR(IF(OR(VLOOKUP(Tabla7[[#This Row],[Tipo]],$EZ$4:$FC$6,2,0)="",VLOOKUP(Tabla7[[#This Row],[Tipo]],$EZ$4:$FC$6,2,0))=0,"",VLOOKUP(Tabla7[[#This Row],[Tipo]],$EZ$4:$FC$6,2,0)),"")</f>
        <v>1</v>
      </c>
      <c r="FB10" s="33">
        <f>IFERROR(IF(Tabla7[[#This Row],[Cantidad]]=0,"",Tabla7[[#This Row],[Cantidad]]/SUM($FA$4:$FA$6)),"")</f>
        <v>1</v>
      </c>
    </row>
    <row r="11" spans="2:162" x14ac:dyDescent="0.3">
      <c r="O11"/>
      <c r="AI11" s="13"/>
      <c r="AM11" t="s">
        <v>26</v>
      </c>
      <c r="AN11">
        <f>IFERROR(VLOOKUP(Tabla8[[#This Row],[Resultado]],$AM$3:$AN$5,2,0),"")</f>
        <v>1</v>
      </c>
      <c r="AO11" s="23">
        <f>IFERROR(AN11/$AN$12,"")</f>
        <v>0.5</v>
      </c>
      <c r="BL11" s="27" t="str">
        <f>IF(AK31=0,"",IF(EH57="","Sin embargo, estas no han comprometido el resultado de tus operaciones, considera llevar a cabo esfuerzos para no repetir estas fallas.","- La falla tecnica que mas influye en tus resultados es "&amp;EH57&amp;" ya que cuando esta presente en tu operativa, pierdes el "&amp;TEXT(EI57,"0%")&amp;" de tus operaciones."))</f>
        <v>- La falla tecnica que mas influye en tus resultados es Deslizamiento ya que cuando esta presente en tu operativa, pierdes el 100% de tus operaciones.</v>
      </c>
      <c r="DT11" t="str">
        <f>"+ Usado"</f>
        <v>+ Usado</v>
      </c>
      <c r="DU11" s="15" t="s">
        <v>91</v>
      </c>
      <c r="DV11" s="15" t="s">
        <v>1</v>
      </c>
      <c r="DW11" s="15" t="s">
        <v>94</v>
      </c>
      <c r="EZ11" t="s">
        <v>114</v>
      </c>
      <c r="FA11" t="str">
        <f>IFERROR(IF(OR(VLOOKUP(Tabla7[[#This Row],[Tipo]],$EZ$4:$FC$6,2,0)="",VLOOKUP(Tabla7[[#This Row],[Tipo]],$EZ$4:$FC$6,2,0))=0,"",VLOOKUP(Tabla7[[#This Row],[Tipo]],$EZ$4:$FC$6,2,0)),"")</f>
        <v/>
      </c>
      <c r="FB11" s="33" t="str">
        <f>IFERROR(IF(Tabla7[[#This Row],[Cantidad]]=0,"",Tabla7[[#This Row],[Cantidad]]/SUM($FA$4:$FA$6)),"")</f>
        <v/>
      </c>
    </row>
    <row r="12" spans="2:162" x14ac:dyDescent="0.3">
      <c r="O12"/>
      <c r="T12" s="15" t="s">
        <v>70</v>
      </c>
      <c r="AI12" s="13"/>
      <c r="AN12">
        <f>SUM(AN9:AN11)</f>
        <v>2</v>
      </c>
      <c r="BL12" s="27" t="str">
        <f>IFERROR(#REF!,"- No hay diferencias de rendimiento en el periodo seleccionado")</f>
        <v>- No hay diferencias de rendimiento en el periodo seleccionado</v>
      </c>
      <c r="DU12" t="str">
        <f>INDEX(Tabla11[],MATCH(MAX(Tabla11[% Uso]),Tabla11[% Uso],0),2)</f>
        <v>Criterio 1</v>
      </c>
      <c r="DV12" s="23">
        <f>VLOOKUP(DU12,Tabla11[[Descripcion]:[Rel]],3,0)</f>
        <v>1</v>
      </c>
      <c r="DW12" s="23">
        <f>VLOOKUP(DU12,Tabla11[[Descripcion]:[Rel]],5,0)</f>
        <v>0.5</v>
      </c>
    </row>
    <row r="13" spans="2:162" x14ac:dyDescent="0.3">
      <c r="E13" s="15"/>
      <c r="O13"/>
      <c r="T13" s="20">
        <f>IFERROR(ABS(U9/U10),"")</f>
        <v>13.874193548387098</v>
      </c>
      <c r="U13" t="str">
        <f>IF(T13="","","1:"&amp;TEXT(T13,"0,0"))</f>
        <v>1:13,9</v>
      </c>
      <c r="AI13" s="13"/>
      <c r="BL13" s="27" t="str">
        <f>IFERROR(#REF!,"- No hay diferencias de rendimiento en el periodo seleccionado")</f>
        <v>- No hay diferencias de rendimiento en el periodo seleccionado</v>
      </c>
      <c r="DT13" t="str">
        <f>"- Usado"</f>
        <v>- Usado</v>
      </c>
      <c r="DU13" s="15" t="s">
        <v>91</v>
      </c>
      <c r="DV13" s="15" t="s">
        <v>1</v>
      </c>
      <c r="DW13" s="15" t="s">
        <v>94</v>
      </c>
      <c r="EG13" s="67"/>
      <c r="EZ13" s="23">
        <f>MAX(Tabla7[%])</f>
        <v>1</v>
      </c>
    </row>
    <row r="14" spans="2:162" x14ac:dyDescent="0.3">
      <c r="E14" s="13"/>
      <c r="O14"/>
      <c r="AI14" s="13"/>
      <c r="BL14" s="27" t="str">
        <f>IF(ER10="","No hay suficiente informacion","- Usted arriesga en promedio "&amp;TEXT(ER10,"$0.0")&amp;" para cada operación, lo que equivale a un "&amp;TEXT(ES10,"0,00%")&amp;" de su cuenta.")</f>
        <v>- Usted arriesga en promedio -$155 para cada operación, lo que equivale a un 0,16% de su cuenta.</v>
      </c>
      <c r="DU14" t="str">
        <f>INDEX(Tabla11[],MATCH(MIN(Tabla11[% Uso]),Tabla11[% Uso],0),2)</f>
        <v>Criterio 3</v>
      </c>
      <c r="DV14" s="23">
        <f>VLOOKUP(DU14,Tabla11[[Descripcion]:[Rel]],3,0)</f>
        <v>0.5</v>
      </c>
      <c r="DW14" s="23">
        <f>VLOOKUP(DU14,Tabla11[[Descripcion]:[Rel]],5,0)</f>
        <v>1</v>
      </c>
      <c r="EG14" s="67"/>
    </row>
    <row r="15" spans="2:162" x14ac:dyDescent="0.3">
      <c r="O15"/>
    </row>
    <row r="16" spans="2:162" x14ac:dyDescent="0.3">
      <c r="C16" t="s">
        <v>26</v>
      </c>
      <c r="D16" t="s">
        <v>27</v>
      </c>
      <c r="O16"/>
    </row>
    <row r="17" spans="2:141" x14ac:dyDescent="0.3">
      <c r="B17" t="s">
        <v>148</v>
      </c>
      <c r="C17" s="13" t="e">
        <f>IF(INDEX($B$3:$E$10,MATCH($B17,$B$3:$B$10,0),MATCH(C$16,$B$3:$E$3,0))="",NA(),INDEX($B$3:$E$10,MATCH($B17,$B$3:$B$10,0),MATCH(C$16,$B$3:$E$3,0)))</f>
        <v>#N/A</v>
      </c>
      <c r="D17" s="13" t="e">
        <f>IF(INDEX($B$3:$E$10,MATCH($B17,$B$3:$B$10,0),MATCH(D$16,$B$3:$E$3,0))="",NA(),INDEX($B$3:$E$10,MATCH($B17,$B$3:$B$10,0),MATCH(D$16,$B$3:$E$3,0)))</f>
        <v>#N/A</v>
      </c>
      <c r="O17"/>
      <c r="BL17" s="27">
        <v>1000</v>
      </c>
    </row>
    <row r="18" spans="2:141" x14ac:dyDescent="0.3">
      <c r="B18" t="s">
        <v>25</v>
      </c>
      <c r="C18" s="13">
        <f t="shared" ref="C18:D23" si="10">IF(INDEX($B$3:$E$10,MATCH($B18,$B$3:$B$10,0),MATCH(C$16,$B$3:$E$3,0))="",NA(),INDEX($B$3:$E$10,MATCH($B18,$B$3:$B$10,0),MATCH(C$16,$B$3:$E$3,0)))</f>
        <v>2.1505E-2</v>
      </c>
      <c r="D18" s="13" t="e">
        <f t="shared" si="10"/>
        <v>#N/A</v>
      </c>
      <c r="O18"/>
    </row>
    <row r="19" spans="2:141" x14ac:dyDescent="0.3">
      <c r="B19" t="s">
        <v>57</v>
      </c>
      <c r="C19" s="13" t="e">
        <f t="shared" si="10"/>
        <v>#N/A</v>
      </c>
      <c r="D19" s="13" t="e">
        <f t="shared" si="10"/>
        <v>#N/A</v>
      </c>
      <c r="O19"/>
    </row>
    <row r="20" spans="2:141" x14ac:dyDescent="0.3">
      <c r="B20" t="s">
        <v>58</v>
      </c>
      <c r="C20" s="13" t="e">
        <f t="shared" si="10"/>
        <v>#N/A</v>
      </c>
      <c r="D20" s="13">
        <f t="shared" si="10"/>
        <v>-1.5499999999999999E-3</v>
      </c>
      <c r="O20"/>
    </row>
    <row r="21" spans="2:141" x14ac:dyDescent="0.3">
      <c r="B21" t="s">
        <v>59</v>
      </c>
      <c r="C21" s="13" t="e">
        <f t="shared" si="10"/>
        <v>#N/A</v>
      </c>
      <c r="D21" s="13" t="e">
        <f t="shared" si="10"/>
        <v>#N/A</v>
      </c>
      <c r="O21"/>
    </row>
    <row r="22" spans="2:141" x14ac:dyDescent="0.3">
      <c r="B22" t="s">
        <v>60</v>
      </c>
      <c r="C22" s="13" t="e">
        <f t="shared" si="10"/>
        <v>#N/A</v>
      </c>
      <c r="D22" s="13" t="e">
        <f t="shared" si="10"/>
        <v>#N/A</v>
      </c>
      <c r="O22"/>
    </row>
    <row r="23" spans="2:141" x14ac:dyDescent="0.3">
      <c r="B23" t="s">
        <v>149</v>
      </c>
      <c r="C23" s="13" t="e">
        <f t="shared" si="10"/>
        <v>#N/A</v>
      </c>
      <c r="D23" s="13" t="e">
        <f t="shared" si="10"/>
        <v>#N/A</v>
      </c>
      <c r="O23"/>
    </row>
    <row r="24" spans="2:141" x14ac:dyDescent="0.3">
      <c r="O24"/>
      <c r="AG24" s="15" t="s">
        <v>95</v>
      </c>
      <c r="AH24" s="15" t="s">
        <v>80</v>
      </c>
      <c r="AJ24" s="15" t="s">
        <v>95</v>
      </c>
      <c r="AK24" s="15" t="s">
        <v>80</v>
      </c>
    </row>
    <row r="25" spans="2:141" x14ac:dyDescent="0.3">
      <c r="O25"/>
      <c r="AF25">
        <v>1</v>
      </c>
      <c r="AG25" t="str">
        <f>IF(OR(AG3="",AG3="(en blanco)"),"-",AG3)</f>
        <v>-</v>
      </c>
      <c r="AH25" t="e">
        <f>IF(AH3="",NA(),AH3)</f>
        <v>#N/A</v>
      </c>
      <c r="AI25">
        <v>1</v>
      </c>
      <c r="AJ25" t="str">
        <f>IF(OR(AJ3="",AJ3="(en blanco)"),"-",AJ3)</f>
        <v>Deslizamiento</v>
      </c>
      <c r="AK25">
        <f>IF(AK3="",NA(),AK3)</f>
        <v>1</v>
      </c>
      <c r="EA25" s="56"/>
      <c r="EB25" s="56" t="s">
        <v>126</v>
      </c>
      <c r="EC25" s="56" t="s">
        <v>27</v>
      </c>
      <c r="ED25" s="56" t="s">
        <v>127</v>
      </c>
      <c r="EE25" s="56" t="s">
        <v>105</v>
      </c>
      <c r="EG25" s="56"/>
      <c r="EH25" s="56" t="s">
        <v>126</v>
      </c>
      <c r="EI25" s="56" t="s">
        <v>27</v>
      </c>
      <c r="EJ25" s="56" t="s">
        <v>127</v>
      </c>
      <c r="EK25" s="56" t="s">
        <v>105</v>
      </c>
    </row>
    <row r="26" spans="2:141" x14ac:dyDescent="0.3">
      <c r="O26"/>
      <c r="AF26">
        <v>2</v>
      </c>
      <c r="AG26" t="str">
        <f>IF(OR(AG4="",AG4="(en blanco)"),"-",AG4)</f>
        <v>-</v>
      </c>
      <c r="AH26" t="e">
        <f>IF(AH4="",NA(),AH4)</f>
        <v>#N/A</v>
      </c>
      <c r="AI26">
        <v>2</v>
      </c>
      <c r="AJ26" t="str">
        <f>IF(OR(AJ4="",AJ4="(en blanco)"),"-",AJ4)</f>
        <v>-</v>
      </c>
      <c r="AK26" t="e">
        <f>IF(AK4="",NA(),AK4)</f>
        <v>#N/A</v>
      </c>
      <c r="EA26" s="56">
        <v>1</v>
      </c>
      <c r="EB26" s="56" t="str">
        <f t="shared" ref="EB26:EB36" si="11">IF(EB4="","",EB4)</f>
        <v>(en blanco)</v>
      </c>
      <c r="EC26" s="56">
        <f t="shared" ref="EC26:EC56" si="12">IFERROR(INDEX($EC$4:$EF$24,MATCH(EB26,$EB$4:$EB$24,0),MATCH("SL",$EC$3:$EF$3,0)),"")</f>
        <v>0</v>
      </c>
      <c r="ED26" s="56">
        <f t="shared" ref="ED26:ED55" si="13">IFERROR(INDEX($EC$4:$EF$24,MATCH(EB26,$EB$4:$EB$24,0),MATCH("Total",$EC$3:$EF$3,0)),"")</f>
        <v>0</v>
      </c>
      <c r="EE26" s="57" t="str">
        <f>IF(OR(EC26="",EC26=0),"",EC26/ED26)</f>
        <v/>
      </c>
      <c r="EG26" s="56">
        <v>1</v>
      </c>
      <c r="EH26" s="56" t="str">
        <f t="shared" ref="EH26:EH36" si="14">IF(EH4="","",EH4)</f>
        <v>(en blanco)</v>
      </c>
      <c r="EI26" s="56">
        <f t="shared" ref="EI26:EI56" si="15">IFERROR(INDEX($EI$4:$EL$24,MATCH(EH26,$EH$4:$EH$24,0),MATCH("SL",$EI$3:$EL$3,0)),"")</f>
        <v>0</v>
      </c>
      <c r="EJ26" s="56">
        <f t="shared" ref="EJ26:EJ55" si="16">IFERROR(INDEX($EI$4:$EL$24,MATCH(EH26,$EH$4:$EH$24,0),MATCH("Total",$EI$3:$EL$3,0)),"")</f>
        <v>0</v>
      </c>
      <c r="EK26" s="57" t="str">
        <f>IF(OR(EI26="",EI26=0),"",EI26/EJ26)</f>
        <v/>
      </c>
    </row>
    <row r="27" spans="2:141" x14ac:dyDescent="0.3">
      <c r="O27"/>
      <c r="AF27">
        <v>3</v>
      </c>
      <c r="AG27" t="str">
        <f>IF(OR(AG5="",AG5="(en blanco)"),"-",AG5)</f>
        <v>-</v>
      </c>
      <c r="AH27" t="e">
        <f>IF(AH5="",NA(),AH5)</f>
        <v>#N/A</v>
      </c>
      <c r="AI27">
        <v>3</v>
      </c>
      <c r="AJ27" t="str">
        <f>IF(OR(AJ5="",AJ5="(en blanco)"),"-",AJ5)</f>
        <v>-</v>
      </c>
      <c r="AK27" t="e">
        <f>IF(AK5="",NA(),AK5)</f>
        <v>#N/A</v>
      </c>
      <c r="EA27" s="56">
        <v>2</v>
      </c>
      <c r="EB27" s="56" t="str">
        <f t="shared" si="11"/>
        <v/>
      </c>
      <c r="EC27" s="56" t="str">
        <f t="shared" si="12"/>
        <v/>
      </c>
      <c r="ED27" s="56" t="str">
        <f t="shared" si="13"/>
        <v/>
      </c>
      <c r="EE27" s="57" t="str">
        <f t="shared" ref="EE27:EE55" si="17">IF(OR(EC27="",EC27=0),"",EC27/ED27)</f>
        <v/>
      </c>
      <c r="EG27" s="56">
        <v>2</v>
      </c>
      <c r="EH27" s="56" t="str">
        <f t="shared" si="14"/>
        <v>Deslizamiento</v>
      </c>
      <c r="EI27" s="56">
        <f t="shared" si="15"/>
        <v>1</v>
      </c>
      <c r="EJ27" s="56">
        <f t="shared" si="16"/>
        <v>1</v>
      </c>
      <c r="EK27" s="57">
        <f t="shared" ref="EK27:EK55" si="18">IF(OR(EI27="",EI27=0),"",EI27/EJ27)</f>
        <v>1</v>
      </c>
    </row>
    <row r="28" spans="2:141" x14ac:dyDescent="0.3">
      <c r="O28"/>
      <c r="AF28">
        <v>4</v>
      </c>
      <c r="AG28" t="str">
        <f>IF(OR(AG6="",AG6="(en blanco)"),"-",AG6)</f>
        <v>-</v>
      </c>
      <c r="AH28" t="e">
        <f>IF(AH6="",NA(),AH6)</f>
        <v>#N/A</v>
      </c>
      <c r="AI28">
        <v>4</v>
      </c>
      <c r="AJ28" t="str">
        <f>IF(OR(AJ6="",AJ6="(en blanco)"),"-",AJ6)</f>
        <v>-</v>
      </c>
      <c r="AK28" t="e">
        <f>IF(AK6="",NA(),AK6)</f>
        <v>#N/A</v>
      </c>
      <c r="EA28" s="56">
        <v>3</v>
      </c>
      <c r="EB28" s="56" t="str">
        <f t="shared" si="11"/>
        <v/>
      </c>
      <c r="EC28" s="56" t="str">
        <f t="shared" si="12"/>
        <v/>
      </c>
      <c r="ED28" s="56" t="str">
        <f t="shared" si="13"/>
        <v/>
      </c>
      <c r="EE28" s="57" t="str">
        <f t="shared" si="17"/>
        <v/>
      </c>
      <c r="EG28" s="56">
        <v>3</v>
      </c>
      <c r="EH28" s="56" t="str">
        <f t="shared" si="14"/>
        <v/>
      </c>
      <c r="EI28" s="56" t="str">
        <f t="shared" si="15"/>
        <v/>
      </c>
      <c r="EJ28" s="56" t="str">
        <f t="shared" si="16"/>
        <v/>
      </c>
      <c r="EK28" s="57" t="str">
        <f t="shared" si="18"/>
        <v/>
      </c>
    </row>
    <row r="29" spans="2:141" x14ac:dyDescent="0.3">
      <c r="O29"/>
      <c r="AF29">
        <v>5</v>
      </c>
      <c r="AG29" t="str">
        <f>IF(OR(AG7="",AG7="(en blanco)"),"-",AG7)</f>
        <v>-</v>
      </c>
      <c r="AH29" t="e">
        <f>IF(AH7="",NA(),AH7)</f>
        <v>#N/A</v>
      </c>
      <c r="AI29">
        <v>5</v>
      </c>
      <c r="AJ29" t="str">
        <f>IF(OR(AJ7="",AJ7="(en blanco)"),"-",AJ7)</f>
        <v>-</v>
      </c>
      <c r="AK29" t="e">
        <f>IF(AK7="",NA(),AK7)</f>
        <v>#N/A</v>
      </c>
      <c r="EA29" s="56">
        <v>4</v>
      </c>
      <c r="EB29" s="56" t="str">
        <f t="shared" si="11"/>
        <v/>
      </c>
      <c r="EC29" s="56" t="str">
        <f t="shared" si="12"/>
        <v/>
      </c>
      <c r="ED29" s="56" t="str">
        <f t="shared" si="13"/>
        <v/>
      </c>
      <c r="EE29" s="57" t="str">
        <f t="shared" si="17"/>
        <v/>
      </c>
      <c r="EG29" s="56">
        <v>4</v>
      </c>
      <c r="EH29" s="56" t="str">
        <f t="shared" si="14"/>
        <v/>
      </c>
      <c r="EI29" s="56" t="str">
        <f t="shared" si="15"/>
        <v/>
      </c>
      <c r="EJ29" s="56" t="str">
        <f t="shared" si="16"/>
        <v/>
      </c>
      <c r="EK29" s="57" t="str">
        <f t="shared" si="18"/>
        <v/>
      </c>
    </row>
    <row r="30" spans="2:141" x14ac:dyDescent="0.3">
      <c r="O30"/>
      <c r="EA30" s="56">
        <v>5</v>
      </c>
      <c r="EB30" s="56" t="str">
        <f t="shared" si="11"/>
        <v/>
      </c>
      <c r="EC30" s="56" t="str">
        <f t="shared" si="12"/>
        <v/>
      </c>
      <c r="ED30" s="56" t="str">
        <f t="shared" si="13"/>
        <v/>
      </c>
      <c r="EE30" s="57" t="str">
        <f t="shared" si="17"/>
        <v/>
      </c>
      <c r="EG30" s="56">
        <v>5</v>
      </c>
      <c r="EH30" s="56" t="str">
        <f t="shared" si="14"/>
        <v/>
      </c>
      <c r="EI30" s="56" t="str">
        <f t="shared" si="15"/>
        <v/>
      </c>
      <c r="EJ30" s="56" t="str">
        <f t="shared" si="16"/>
        <v/>
      </c>
      <c r="EK30" s="57" t="str">
        <f t="shared" si="18"/>
        <v/>
      </c>
    </row>
    <row r="31" spans="2:141" x14ac:dyDescent="0.3">
      <c r="B31" s="127"/>
      <c r="C31" s="127"/>
      <c r="D31" s="127"/>
      <c r="E31" s="128"/>
      <c r="F31" s="128"/>
      <c r="G31" s="128"/>
      <c r="H31" s="128"/>
      <c r="I31" s="128"/>
      <c r="J31" s="128"/>
      <c r="K31" s="128"/>
      <c r="L31" s="128"/>
      <c r="M31" s="128"/>
      <c r="O31"/>
      <c r="AG31" t="s">
        <v>96</v>
      </c>
      <c r="AH31">
        <f>SUM(AH3:AH23)</f>
        <v>0</v>
      </c>
      <c r="AJ31" t="s">
        <v>96</v>
      </c>
      <c r="AK31">
        <f>SUM(AK3:AK23)</f>
        <v>1</v>
      </c>
      <c r="EA31" s="56">
        <v>6</v>
      </c>
      <c r="EB31" s="56" t="str">
        <f t="shared" si="11"/>
        <v/>
      </c>
      <c r="EC31" s="56" t="str">
        <f t="shared" si="12"/>
        <v/>
      </c>
      <c r="ED31" s="56" t="str">
        <f t="shared" si="13"/>
        <v/>
      </c>
      <c r="EE31" s="57" t="str">
        <f t="shared" si="17"/>
        <v/>
      </c>
      <c r="EG31" s="56">
        <v>6</v>
      </c>
      <c r="EH31" s="56" t="str">
        <f t="shared" si="14"/>
        <v/>
      </c>
      <c r="EI31" s="56" t="str">
        <f t="shared" si="15"/>
        <v/>
      </c>
      <c r="EJ31" s="56" t="str">
        <f t="shared" si="16"/>
        <v/>
      </c>
      <c r="EK31" s="57" t="str">
        <f t="shared" si="18"/>
        <v/>
      </c>
    </row>
    <row r="32" spans="2:141" x14ac:dyDescent="0.3">
      <c r="O32"/>
      <c r="EA32" s="56">
        <v>7</v>
      </c>
      <c r="EB32" s="56" t="str">
        <f t="shared" si="11"/>
        <v/>
      </c>
      <c r="EC32" s="56" t="str">
        <f t="shared" si="12"/>
        <v/>
      </c>
      <c r="ED32" s="56" t="str">
        <f t="shared" si="13"/>
        <v/>
      </c>
      <c r="EE32" s="57" t="str">
        <f t="shared" si="17"/>
        <v/>
      </c>
      <c r="EG32" s="56">
        <v>7</v>
      </c>
      <c r="EH32" s="56" t="str">
        <f t="shared" si="14"/>
        <v/>
      </c>
      <c r="EI32" s="56" t="str">
        <f t="shared" si="15"/>
        <v/>
      </c>
      <c r="EJ32" s="56" t="str">
        <f t="shared" si="16"/>
        <v/>
      </c>
      <c r="EK32" s="57" t="str">
        <f t="shared" si="18"/>
        <v/>
      </c>
    </row>
    <row r="33" spans="15:141" x14ac:dyDescent="0.3">
      <c r="O33"/>
      <c r="AG33">
        <f>IFERROR(ROUND($H$3/(AH31+AK31),0),"")</f>
        <v>2</v>
      </c>
      <c r="EA33" s="56">
        <v>8</v>
      </c>
      <c r="EB33" s="56" t="str">
        <f t="shared" si="11"/>
        <v/>
      </c>
      <c r="EC33" s="56" t="str">
        <f t="shared" si="12"/>
        <v/>
      </c>
      <c r="ED33" s="56" t="str">
        <f t="shared" si="13"/>
        <v/>
      </c>
      <c r="EE33" s="57" t="str">
        <f t="shared" si="17"/>
        <v/>
      </c>
      <c r="EG33" s="56">
        <v>8</v>
      </c>
      <c r="EH33" s="56" t="str">
        <f t="shared" si="14"/>
        <v/>
      </c>
      <c r="EI33" s="56" t="str">
        <f t="shared" si="15"/>
        <v/>
      </c>
      <c r="EJ33" s="56" t="str">
        <f t="shared" si="16"/>
        <v/>
      </c>
      <c r="EK33" s="57" t="str">
        <f t="shared" si="18"/>
        <v/>
      </c>
    </row>
    <row r="34" spans="15:141" x14ac:dyDescent="0.3">
      <c r="O34"/>
      <c r="EA34" s="56">
        <v>9</v>
      </c>
      <c r="EB34" s="56" t="str">
        <f t="shared" si="11"/>
        <v/>
      </c>
      <c r="EC34" s="56" t="str">
        <f t="shared" si="12"/>
        <v/>
      </c>
      <c r="ED34" s="56" t="str">
        <f t="shared" si="13"/>
        <v/>
      </c>
      <c r="EE34" s="57" t="str">
        <f t="shared" si="17"/>
        <v/>
      </c>
      <c r="EG34" s="56">
        <v>9</v>
      </c>
      <c r="EH34" s="56" t="str">
        <f t="shared" si="14"/>
        <v/>
      </c>
      <c r="EI34" s="56" t="str">
        <f t="shared" si="15"/>
        <v/>
      </c>
      <c r="EJ34" s="56" t="str">
        <f t="shared" si="16"/>
        <v/>
      </c>
      <c r="EK34" s="57" t="str">
        <f t="shared" si="18"/>
        <v/>
      </c>
    </row>
    <row r="35" spans="15:141" x14ac:dyDescent="0.3">
      <c r="O35"/>
      <c r="AG35" t="str">
        <f>IF(OR(AG33=0,AG33=""),"No has cometido fallas",IF(AG33&gt;1,"En promedio, cometes 1 FALLA cada "&amp;AG33&amp;" OPERACIONES.","Actualmente promedias 1 FALLA POR OPERACION."))</f>
        <v>En promedio, cometes 1 FALLA cada 2 OPERACIONES.</v>
      </c>
      <c r="EA35" s="56">
        <v>10</v>
      </c>
      <c r="EB35" s="56" t="str">
        <f t="shared" si="11"/>
        <v/>
      </c>
      <c r="EC35" s="56" t="str">
        <f t="shared" si="12"/>
        <v/>
      </c>
      <c r="ED35" s="56" t="str">
        <f t="shared" si="13"/>
        <v/>
      </c>
      <c r="EE35" s="57" t="str">
        <f t="shared" si="17"/>
        <v/>
      </c>
      <c r="EG35" s="56">
        <v>10</v>
      </c>
      <c r="EH35" s="56" t="str">
        <f t="shared" si="14"/>
        <v/>
      </c>
      <c r="EI35" s="56" t="str">
        <f t="shared" si="15"/>
        <v/>
      </c>
      <c r="EJ35" s="56" t="str">
        <f t="shared" si="16"/>
        <v/>
      </c>
      <c r="EK35" s="57" t="str">
        <f t="shared" si="18"/>
        <v/>
      </c>
    </row>
    <row r="36" spans="15:141" x14ac:dyDescent="0.3">
      <c r="O36"/>
      <c r="EA36" s="56">
        <v>11</v>
      </c>
      <c r="EB36" s="56" t="str">
        <f t="shared" si="11"/>
        <v/>
      </c>
      <c r="EC36" s="56" t="str">
        <f t="shared" si="12"/>
        <v/>
      </c>
      <c r="ED36" s="56" t="str">
        <f t="shared" si="13"/>
        <v/>
      </c>
      <c r="EE36" s="57" t="str">
        <f t="shared" si="17"/>
        <v/>
      </c>
      <c r="EG36" s="56">
        <v>11</v>
      </c>
      <c r="EH36" s="56" t="str">
        <f t="shared" si="14"/>
        <v/>
      </c>
      <c r="EI36" s="56" t="str">
        <f t="shared" si="15"/>
        <v/>
      </c>
      <c r="EJ36" s="56" t="str">
        <f t="shared" si="16"/>
        <v/>
      </c>
      <c r="EK36" s="57" t="str">
        <f t="shared" si="18"/>
        <v/>
      </c>
    </row>
    <row r="37" spans="15:141" x14ac:dyDescent="0.3">
      <c r="O37"/>
      <c r="EA37" s="56">
        <v>12</v>
      </c>
      <c r="EB37" s="56" t="e">
        <f>IF(#REF!="","",#REF!)</f>
        <v>#REF!</v>
      </c>
      <c r="EC37" s="56" t="str">
        <f t="shared" si="12"/>
        <v/>
      </c>
      <c r="ED37" s="56" t="str">
        <f t="shared" si="13"/>
        <v/>
      </c>
      <c r="EE37" s="57" t="str">
        <f t="shared" si="17"/>
        <v/>
      </c>
      <c r="EG37" s="56">
        <v>12</v>
      </c>
      <c r="EH37" s="56" t="e">
        <f>IF(#REF!="","",#REF!)</f>
        <v>#REF!</v>
      </c>
      <c r="EI37" s="56" t="str">
        <f t="shared" si="15"/>
        <v/>
      </c>
      <c r="EJ37" s="56" t="str">
        <f t="shared" si="16"/>
        <v/>
      </c>
      <c r="EK37" s="57" t="str">
        <f t="shared" si="18"/>
        <v/>
      </c>
    </row>
    <row r="38" spans="15:141" x14ac:dyDescent="0.3">
      <c r="O38"/>
      <c r="EA38" s="56">
        <v>13</v>
      </c>
      <c r="EB38" s="56" t="e">
        <f>IF(#REF!="","",#REF!)</f>
        <v>#REF!</v>
      </c>
      <c r="EC38" s="56" t="str">
        <f t="shared" si="12"/>
        <v/>
      </c>
      <c r="ED38" s="56" t="str">
        <f t="shared" si="13"/>
        <v/>
      </c>
      <c r="EE38" s="57" t="str">
        <f t="shared" si="17"/>
        <v/>
      </c>
      <c r="EG38" s="56">
        <v>13</v>
      </c>
      <c r="EH38" s="56" t="e">
        <f>IF(#REF!="","",#REF!)</f>
        <v>#REF!</v>
      </c>
      <c r="EI38" s="56" t="str">
        <f t="shared" si="15"/>
        <v/>
      </c>
      <c r="EJ38" s="56" t="str">
        <f t="shared" si="16"/>
        <v/>
      </c>
      <c r="EK38" s="57" t="str">
        <f t="shared" si="18"/>
        <v/>
      </c>
    </row>
    <row r="39" spans="15:141" x14ac:dyDescent="0.3">
      <c r="O39"/>
      <c r="EA39" s="56">
        <v>14</v>
      </c>
      <c r="EB39" s="56" t="e">
        <f>IF(#REF!="","",#REF!)</f>
        <v>#REF!</v>
      </c>
      <c r="EC39" s="56" t="str">
        <f t="shared" si="12"/>
        <v/>
      </c>
      <c r="ED39" s="56" t="str">
        <f t="shared" si="13"/>
        <v/>
      </c>
      <c r="EE39" s="57" t="str">
        <f t="shared" si="17"/>
        <v/>
      </c>
      <c r="EG39" s="56">
        <v>14</v>
      </c>
      <c r="EH39" s="56" t="e">
        <f>IF(#REF!="","",#REF!)</f>
        <v>#REF!</v>
      </c>
      <c r="EI39" s="56" t="str">
        <f t="shared" si="15"/>
        <v/>
      </c>
      <c r="EJ39" s="56" t="str">
        <f t="shared" si="16"/>
        <v/>
      </c>
      <c r="EK39" s="57" t="str">
        <f t="shared" si="18"/>
        <v/>
      </c>
    </row>
    <row r="40" spans="15:141" ht="15" customHeight="1" x14ac:dyDescent="0.3">
      <c r="O40"/>
      <c r="EA40" s="56">
        <v>15</v>
      </c>
      <c r="EB40" s="56" t="e">
        <f>IF(#REF!="","",#REF!)</f>
        <v>#REF!</v>
      </c>
      <c r="EC40" s="56" t="str">
        <f t="shared" si="12"/>
        <v/>
      </c>
      <c r="ED40" s="56" t="str">
        <f t="shared" si="13"/>
        <v/>
      </c>
      <c r="EE40" s="57" t="str">
        <f t="shared" si="17"/>
        <v/>
      </c>
      <c r="EG40" s="56">
        <v>15</v>
      </c>
      <c r="EH40" s="56" t="e">
        <f>IF(#REF!="","",#REF!)</f>
        <v>#REF!</v>
      </c>
      <c r="EI40" s="56" t="str">
        <f t="shared" si="15"/>
        <v/>
      </c>
      <c r="EJ40" s="56" t="str">
        <f t="shared" si="16"/>
        <v/>
      </c>
      <c r="EK40" s="57" t="str">
        <f t="shared" si="18"/>
        <v/>
      </c>
    </row>
    <row r="41" spans="15:141" x14ac:dyDescent="0.3">
      <c r="O41"/>
      <c r="EA41" s="56">
        <v>16</v>
      </c>
      <c r="EB41" s="56" t="e">
        <f>IF(#REF!="","",#REF!)</f>
        <v>#REF!</v>
      </c>
      <c r="EC41" s="56" t="str">
        <f t="shared" si="12"/>
        <v/>
      </c>
      <c r="ED41" s="56" t="str">
        <f t="shared" si="13"/>
        <v/>
      </c>
      <c r="EE41" s="57" t="str">
        <f t="shared" si="17"/>
        <v/>
      </c>
      <c r="EG41" s="56">
        <v>16</v>
      </c>
      <c r="EH41" s="56" t="e">
        <f>IF(#REF!="","",#REF!)</f>
        <v>#REF!</v>
      </c>
      <c r="EI41" s="56" t="str">
        <f t="shared" si="15"/>
        <v/>
      </c>
      <c r="EJ41" s="56" t="str">
        <f t="shared" si="16"/>
        <v/>
      </c>
      <c r="EK41" s="57" t="str">
        <f t="shared" si="18"/>
        <v/>
      </c>
    </row>
    <row r="42" spans="15:141" x14ac:dyDescent="0.3">
      <c r="O42"/>
      <c r="EA42" s="56">
        <v>17</v>
      </c>
      <c r="EB42" s="56" t="e">
        <f>IF(#REF!="","",#REF!)</f>
        <v>#REF!</v>
      </c>
      <c r="EC42" s="56" t="str">
        <f t="shared" si="12"/>
        <v/>
      </c>
      <c r="ED42" s="56" t="str">
        <f t="shared" si="13"/>
        <v/>
      </c>
      <c r="EE42" s="57" t="str">
        <f t="shared" si="17"/>
        <v/>
      </c>
      <c r="EG42" s="56">
        <v>17</v>
      </c>
      <c r="EH42" s="56" t="e">
        <f>IF(#REF!="","",#REF!)</f>
        <v>#REF!</v>
      </c>
      <c r="EI42" s="56" t="str">
        <f t="shared" si="15"/>
        <v/>
      </c>
      <c r="EJ42" s="56" t="str">
        <f t="shared" si="16"/>
        <v/>
      </c>
      <c r="EK42" s="57" t="str">
        <f t="shared" si="18"/>
        <v/>
      </c>
    </row>
    <row r="43" spans="15:141" x14ac:dyDescent="0.3">
      <c r="O43"/>
      <c r="EA43" s="56">
        <v>18</v>
      </c>
      <c r="EB43" s="56" t="e">
        <f>IF(#REF!="","",#REF!)</f>
        <v>#REF!</v>
      </c>
      <c r="EC43" s="56" t="str">
        <f t="shared" si="12"/>
        <v/>
      </c>
      <c r="ED43" s="56" t="str">
        <f t="shared" si="13"/>
        <v/>
      </c>
      <c r="EE43" s="57" t="str">
        <f t="shared" si="17"/>
        <v/>
      </c>
      <c r="EG43" s="56">
        <v>18</v>
      </c>
      <c r="EH43" s="56" t="e">
        <f>IF(#REF!="","",#REF!)</f>
        <v>#REF!</v>
      </c>
      <c r="EI43" s="56" t="str">
        <f t="shared" si="15"/>
        <v/>
      </c>
      <c r="EJ43" s="56" t="str">
        <f t="shared" si="16"/>
        <v/>
      </c>
      <c r="EK43" s="57" t="str">
        <f t="shared" si="18"/>
        <v/>
      </c>
    </row>
    <row r="44" spans="15:141" x14ac:dyDescent="0.3">
      <c r="O44"/>
      <c r="EA44" s="56">
        <v>19</v>
      </c>
      <c r="EB44" s="56" t="e">
        <f>IF(#REF!="","",#REF!)</f>
        <v>#REF!</v>
      </c>
      <c r="EC44" s="56" t="str">
        <f t="shared" si="12"/>
        <v/>
      </c>
      <c r="ED44" s="56" t="str">
        <f t="shared" si="13"/>
        <v/>
      </c>
      <c r="EE44" s="57" t="str">
        <f t="shared" si="17"/>
        <v/>
      </c>
      <c r="EG44" s="56">
        <v>19</v>
      </c>
      <c r="EH44" s="56" t="e">
        <f>IF(#REF!="","",#REF!)</f>
        <v>#REF!</v>
      </c>
      <c r="EI44" s="56" t="str">
        <f t="shared" si="15"/>
        <v/>
      </c>
      <c r="EJ44" s="56" t="str">
        <f t="shared" si="16"/>
        <v/>
      </c>
      <c r="EK44" s="57" t="str">
        <f t="shared" si="18"/>
        <v/>
      </c>
    </row>
    <row r="45" spans="15:141" x14ac:dyDescent="0.3">
      <c r="O45"/>
      <c r="EA45" s="56">
        <v>20</v>
      </c>
      <c r="EB45" s="56" t="e">
        <f>IF(#REF!="","",#REF!)</f>
        <v>#REF!</v>
      </c>
      <c r="EC45" s="56" t="str">
        <f t="shared" si="12"/>
        <v/>
      </c>
      <c r="ED45" s="56" t="str">
        <f t="shared" si="13"/>
        <v/>
      </c>
      <c r="EE45" s="57" t="str">
        <f t="shared" si="17"/>
        <v/>
      </c>
      <c r="EG45" s="56">
        <v>20</v>
      </c>
      <c r="EH45" s="56" t="e">
        <f>IF(#REF!="","",#REF!)</f>
        <v>#REF!</v>
      </c>
      <c r="EI45" s="56" t="str">
        <f t="shared" si="15"/>
        <v/>
      </c>
      <c r="EJ45" s="56" t="str">
        <f t="shared" si="16"/>
        <v/>
      </c>
      <c r="EK45" s="57" t="str">
        <f t="shared" si="18"/>
        <v/>
      </c>
    </row>
    <row r="46" spans="15:141" x14ac:dyDescent="0.3">
      <c r="O46"/>
      <c r="EA46" s="56">
        <v>21</v>
      </c>
      <c r="EB46" s="56" t="str">
        <f t="shared" ref="EB46:EB55" si="19">IF(EB15="","",EB15)</f>
        <v/>
      </c>
      <c r="EC46" s="56" t="str">
        <f t="shared" si="12"/>
        <v/>
      </c>
      <c r="ED46" s="56" t="str">
        <f t="shared" si="13"/>
        <v/>
      </c>
      <c r="EE46" s="57" t="str">
        <f t="shared" si="17"/>
        <v/>
      </c>
      <c r="EG46" s="56">
        <v>21</v>
      </c>
      <c r="EH46" s="56" t="str">
        <f t="shared" ref="EH46" si="20">IF(EH15="","",EH15)</f>
        <v/>
      </c>
      <c r="EI46" s="56" t="str">
        <f t="shared" si="15"/>
        <v/>
      </c>
      <c r="EJ46" s="56" t="str">
        <f t="shared" si="16"/>
        <v/>
      </c>
      <c r="EK46" s="57" t="str">
        <f t="shared" si="18"/>
        <v/>
      </c>
    </row>
    <row r="47" spans="15:141" x14ac:dyDescent="0.3">
      <c r="O47"/>
      <c r="EA47" s="56">
        <v>22</v>
      </c>
      <c r="EB47" s="56" t="str">
        <f t="shared" si="19"/>
        <v/>
      </c>
      <c r="EC47" s="56" t="str">
        <f t="shared" si="12"/>
        <v/>
      </c>
      <c r="ED47" s="56" t="str">
        <f t="shared" si="13"/>
        <v/>
      </c>
      <c r="EE47" s="57" t="str">
        <f t="shared" si="17"/>
        <v/>
      </c>
      <c r="EG47" s="56">
        <v>22</v>
      </c>
      <c r="EH47" s="56" t="str">
        <f t="shared" ref="EH47" si="21">IF(EH16="","",EH16)</f>
        <v/>
      </c>
      <c r="EI47" s="56" t="str">
        <f t="shared" si="15"/>
        <v/>
      </c>
      <c r="EJ47" s="56" t="str">
        <f t="shared" si="16"/>
        <v/>
      </c>
      <c r="EK47" s="57" t="str">
        <f t="shared" si="18"/>
        <v/>
      </c>
    </row>
    <row r="48" spans="15:141" x14ac:dyDescent="0.3">
      <c r="O48"/>
      <c r="EA48" s="56">
        <v>23</v>
      </c>
      <c r="EB48" s="56" t="str">
        <f t="shared" si="19"/>
        <v/>
      </c>
      <c r="EC48" s="56" t="str">
        <f t="shared" si="12"/>
        <v/>
      </c>
      <c r="ED48" s="56" t="str">
        <f t="shared" si="13"/>
        <v/>
      </c>
      <c r="EE48" s="57" t="str">
        <f t="shared" si="17"/>
        <v/>
      </c>
      <c r="EG48" s="56">
        <v>23</v>
      </c>
      <c r="EH48" s="56"/>
      <c r="EI48" s="56" t="str">
        <f t="shared" si="15"/>
        <v/>
      </c>
      <c r="EJ48" s="56" t="str">
        <f t="shared" si="16"/>
        <v/>
      </c>
      <c r="EK48" s="57" t="str">
        <f t="shared" si="18"/>
        <v/>
      </c>
    </row>
    <row r="49" spans="15:141" x14ac:dyDescent="0.3">
      <c r="O49"/>
      <c r="EA49" s="56">
        <v>24</v>
      </c>
      <c r="EB49" s="56" t="str">
        <f t="shared" si="19"/>
        <v/>
      </c>
      <c r="EC49" s="56" t="str">
        <f t="shared" si="12"/>
        <v/>
      </c>
      <c r="ED49" s="56" t="str">
        <f t="shared" si="13"/>
        <v/>
      </c>
      <c r="EE49" s="57" t="str">
        <f t="shared" si="17"/>
        <v/>
      </c>
      <c r="EG49" s="56">
        <v>24</v>
      </c>
      <c r="EH49" s="56"/>
      <c r="EI49" s="56" t="str">
        <f t="shared" si="15"/>
        <v/>
      </c>
      <c r="EJ49" s="56" t="str">
        <f t="shared" si="16"/>
        <v/>
      </c>
      <c r="EK49" s="57" t="str">
        <f t="shared" si="18"/>
        <v/>
      </c>
    </row>
    <row r="50" spans="15:141" x14ac:dyDescent="0.3">
      <c r="O50"/>
      <c r="EA50" s="56">
        <v>25</v>
      </c>
      <c r="EB50" s="56" t="str">
        <f t="shared" si="19"/>
        <v/>
      </c>
      <c r="EC50" s="56" t="str">
        <f t="shared" si="12"/>
        <v/>
      </c>
      <c r="ED50" s="56" t="str">
        <f t="shared" si="13"/>
        <v/>
      </c>
      <c r="EE50" s="57" t="str">
        <f t="shared" si="17"/>
        <v/>
      </c>
      <c r="EG50" s="56">
        <v>25</v>
      </c>
      <c r="EH50" s="56"/>
      <c r="EI50" s="56" t="str">
        <f t="shared" si="15"/>
        <v/>
      </c>
      <c r="EJ50" s="56" t="str">
        <f t="shared" si="16"/>
        <v/>
      </c>
      <c r="EK50" s="57" t="str">
        <f t="shared" si="18"/>
        <v/>
      </c>
    </row>
    <row r="51" spans="15:141" x14ac:dyDescent="0.3">
      <c r="O51"/>
      <c r="EA51" s="56">
        <v>26</v>
      </c>
      <c r="EB51" s="56" t="str">
        <f t="shared" si="19"/>
        <v/>
      </c>
      <c r="EC51" s="56" t="str">
        <f t="shared" si="12"/>
        <v/>
      </c>
      <c r="ED51" s="56" t="str">
        <f t="shared" si="13"/>
        <v/>
      </c>
      <c r="EE51" s="57" t="str">
        <f t="shared" si="17"/>
        <v/>
      </c>
      <c r="EG51" s="56">
        <v>26</v>
      </c>
      <c r="EH51" s="56"/>
      <c r="EI51" s="56" t="str">
        <f t="shared" si="15"/>
        <v/>
      </c>
      <c r="EJ51" s="56" t="str">
        <f t="shared" si="16"/>
        <v/>
      </c>
      <c r="EK51" s="57" t="str">
        <f t="shared" si="18"/>
        <v/>
      </c>
    </row>
    <row r="52" spans="15:141" x14ac:dyDescent="0.3">
      <c r="O52"/>
      <c r="EA52" s="56">
        <v>27</v>
      </c>
      <c r="EB52" s="56" t="str">
        <f t="shared" si="19"/>
        <v/>
      </c>
      <c r="EC52" s="56" t="str">
        <f t="shared" si="12"/>
        <v/>
      </c>
      <c r="ED52" s="56" t="str">
        <f t="shared" si="13"/>
        <v/>
      </c>
      <c r="EE52" s="57" t="str">
        <f t="shared" si="17"/>
        <v/>
      </c>
      <c r="EG52" s="56">
        <v>27</v>
      </c>
      <c r="EH52" s="56"/>
      <c r="EI52" s="56" t="str">
        <f t="shared" si="15"/>
        <v/>
      </c>
      <c r="EJ52" s="56" t="str">
        <f t="shared" si="16"/>
        <v/>
      </c>
      <c r="EK52" s="57" t="str">
        <f t="shared" si="18"/>
        <v/>
      </c>
    </row>
    <row r="53" spans="15:141" x14ac:dyDescent="0.3">
      <c r="O53"/>
      <c r="EA53" s="56">
        <v>28</v>
      </c>
      <c r="EB53" s="56" t="str">
        <f t="shared" si="19"/>
        <v/>
      </c>
      <c r="EC53" s="56" t="str">
        <f t="shared" si="12"/>
        <v/>
      </c>
      <c r="ED53" s="56" t="str">
        <f t="shared" si="13"/>
        <v/>
      </c>
      <c r="EE53" s="57" t="str">
        <f t="shared" si="17"/>
        <v/>
      </c>
      <c r="EG53" s="56">
        <v>28</v>
      </c>
      <c r="EH53" s="56"/>
      <c r="EI53" s="56" t="str">
        <f t="shared" si="15"/>
        <v/>
      </c>
      <c r="EJ53" s="56" t="str">
        <f t="shared" si="16"/>
        <v/>
      </c>
      <c r="EK53" s="57" t="str">
        <f t="shared" si="18"/>
        <v/>
      </c>
    </row>
    <row r="54" spans="15:141" x14ac:dyDescent="0.3">
      <c r="O54"/>
      <c r="EA54" s="56">
        <v>29</v>
      </c>
      <c r="EB54" s="56" t="str">
        <f t="shared" si="19"/>
        <v/>
      </c>
      <c r="EC54" s="56" t="str">
        <f t="shared" si="12"/>
        <v/>
      </c>
      <c r="ED54" s="56" t="str">
        <f t="shared" si="13"/>
        <v/>
      </c>
      <c r="EE54" s="57" t="str">
        <f t="shared" si="17"/>
        <v/>
      </c>
      <c r="EG54" s="56">
        <v>29</v>
      </c>
      <c r="EH54" s="56"/>
      <c r="EI54" s="56" t="str">
        <f t="shared" si="15"/>
        <v/>
      </c>
      <c r="EJ54" s="56" t="str">
        <f t="shared" si="16"/>
        <v/>
      </c>
      <c r="EK54" s="57" t="str">
        <f t="shared" si="18"/>
        <v/>
      </c>
    </row>
    <row r="55" spans="15:141" x14ac:dyDescent="0.3">
      <c r="O55"/>
      <c r="EA55" s="56">
        <v>30</v>
      </c>
      <c r="EB55" s="56" t="str">
        <f t="shared" si="19"/>
        <v/>
      </c>
      <c r="EC55" s="56" t="str">
        <f t="shared" si="12"/>
        <v/>
      </c>
      <c r="ED55" s="56" t="str">
        <f t="shared" si="13"/>
        <v/>
      </c>
      <c r="EE55" s="57" t="str">
        <f t="shared" si="17"/>
        <v/>
      </c>
      <c r="EG55" s="56">
        <v>30</v>
      </c>
      <c r="EH55" s="56"/>
      <c r="EI55" s="56" t="str">
        <f t="shared" si="15"/>
        <v/>
      </c>
      <c r="EJ55" s="56" t="str">
        <f t="shared" si="16"/>
        <v/>
      </c>
      <c r="EK55" s="57" t="str">
        <f t="shared" si="18"/>
        <v/>
      </c>
    </row>
    <row r="56" spans="15:141" x14ac:dyDescent="0.3">
      <c r="O56"/>
      <c r="EB56" s="15" t="s">
        <v>95</v>
      </c>
      <c r="EC56" s="56" t="str">
        <f t="shared" si="12"/>
        <v/>
      </c>
      <c r="EH56" s="15" t="s">
        <v>95</v>
      </c>
      <c r="EI56" s="56" t="str">
        <f t="shared" si="15"/>
        <v/>
      </c>
    </row>
    <row r="57" spans="15:141" x14ac:dyDescent="0.3">
      <c r="O57"/>
      <c r="EB57" s="16" t="str">
        <f>IFERROR(INDEX(EB26:EE55,MATCH(MAX(EE26:EE55),EE26:EE55,0),1),"")</f>
        <v/>
      </c>
      <c r="EC57" s="57" t="str">
        <f>VLOOKUP(EB57,EB26:EE55,4,0)</f>
        <v/>
      </c>
      <c r="EH57" s="16" t="str">
        <f>IFERROR(INDEX(EH26:EK55,MATCH(MAX(EK26:EK55),EK26:EK55,0),1),"")</f>
        <v>Deslizamiento</v>
      </c>
      <c r="EI57" s="57">
        <f>VLOOKUP(EH57,EH26:EK55,4,0)</f>
        <v>1</v>
      </c>
    </row>
    <row r="58" spans="15:141" x14ac:dyDescent="0.3">
      <c r="O58"/>
    </row>
    <row r="59" spans="15:141" x14ac:dyDescent="0.3">
      <c r="O59"/>
    </row>
    <row r="60" spans="15:141" x14ac:dyDescent="0.3">
      <c r="O60"/>
    </row>
    <row r="61" spans="15:141" x14ac:dyDescent="0.3">
      <c r="O61"/>
    </row>
    <row r="62" spans="15:141" x14ac:dyDescent="0.3">
      <c r="O62"/>
    </row>
    <row r="63" spans="15:141" x14ac:dyDescent="0.3">
      <c r="O63"/>
    </row>
    <row r="64" spans="15:141" x14ac:dyDescent="0.3">
      <c r="O64"/>
    </row>
    <row r="65" spans="15:15" x14ac:dyDescent="0.3">
      <c r="O65"/>
    </row>
    <row r="66" spans="15:15" x14ac:dyDescent="0.3">
      <c r="O66"/>
    </row>
    <row r="67" spans="15:15" x14ac:dyDescent="0.3">
      <c r="O67"/>
    </row>
    <row r="68" spans="15:15" x14ac:dyDescent="0.3">
      <c r="O68"/>
    </row>
    <row r="69" spans="15:15" x14ac:dyDescent="0.3">
      <c r="O69"/>
    </row>
    <row r="70" spans="15:15" x14ac:dyDescent="0.3">
      <c r="O70"/>
    </row>
    <row r="71" spans="15:15" x14ac:dyDescent="0.3">
      <c r="O71"/>
    </row>
    <row r="72" spans="15:15" x14ac:dyDescent="0.3">
      <c r="O72"/>
    </row>
    <row r="73" spans="15:15" x14ac:dyDescent="0.3">
      <c r="O73"/>
    </row>
    <row r="74" spans="15:15" x14ac:dyDescent="0.3">
      <c r="O74"/>
    </row>
    <row r="75" spans="15:15" x14ac:dyDescent="0.3">
      <c r="O75"/>
    </row>
    <row r="76" spans="15:15" x14ac:dyDescent="0.3">
      <c r="O76"/>
    </row>
    <row r="77" spans="15:15" x14ac:dyDescent="0.3">
      <c r="O77"/>
    </row>
    <row r="78" spans="15:15" x14ac:dyDescent="0.3">
      <c r="O78"/>
    </row>
    <row r="79" spans="15:15" x14ac:dyDescent="0.3">
      <c r="O79"/>
    </row>
    <row r="80" spans="15:15" x14ac:dyDescent="0.3">
      <c r="O80"/>
    </row>
    <row r="81" spans="15:15" x14ac:dyDescent="0.3">
      <c r="O81"/>
    </row>
    <row r="82" spans="15:15" x14ac:dyDescent="0.3">
      <c r="O82"/>
    </row>
    <row r="83" spans="15:15" x14ac:dyDescent="0.3">
      <c r="O83"/>
    </row>
    <row r="84" spans="15:15" x14ac:dyDescent="0.3">
      <c r="O84"/>
    </row>
    <row r="85" spans="15:15" x14ac:dyDescent="0.3">
      <c r="O85"/>
    </row>
    <row r="86" spans="15:15" x14ac:dyDescent="0.3">
      <c r="O86"/>
    </row>
    <row r="87" spans="15:15" x14ac:dyDescent="0.3">
      <c r="O87"/>
    </row>
    <row r="88" spans="15:15" x14ac:dyDescent="0.3">
      <c r="O88"/>
    </row>
    <row r="89" spans="15:15" x14ac:dyDescent="0.3">
      <c r="O89"/>
    </row>
    <row r="90" spans="15:15" x14ac:dyDescent="0.3">
      <c r="O90"/>
    </row>
    <row r="91" spans="15:15" x14ac:dyDescent="0.3">
      <c r="O91"/>
    </row>
    <row r="92" spans="15:15" x14ac:dyDescent="0.3">
      <c r="O92"/>
    </row>
    <row r="93" spans="15:15" x14ac:dyDescent="0.3">
      <c r="O93"/>
    </row>
    <row r="94" spans="15:15" x14ac:dyDescent="0.3">
      <c r="O94"/>
    </row>
    <row r="95" spans="15:15" x14ac:dyDescent="0.3">
      <c r="O95"/>
    </row>
    <row r="96" spans="15:15" x14ac:dyDescent="0.3">
      <c r="O96"/>
    </row>
    <row r="97" spans="15:15" x14ac:dyDescent="0.3">
      <c r="O97"/>
    </row>
    <row r="98" spans="15:15" x14ac:dyDescent="0.3">
      <c r="O98"/>
    </row>
    <row r="99" spans="15:15" x14ac:dyDescent="0.3">
      <c r="O99"/>
    </row>
    <row r="100" spans="15:15" x14ac:dyDescent="0.3">
      <c r="O100"/>
    </row>
    <row r="101" spans="15:15" x14ac:dyDescent="0.3">
      <c r="O101"/>
    </row>
    <row r="102" spans="15:15" x14ac:dyDescent="0.3">
      <c r="O102"/>
    </row>
    <row r="103" spans="15:15" x14ac:dyDescent="0.3">
      <c r="O103"/>
    </row>
    <row r="104" spans="15:15" x14ac:dyDescent="0.3">
      <c r="O104"/>
    </row>
    <row r="105" spans="15:15" x14ac:dyDescent="0.3">
      <c r="O105"/>
    </row>
    <row r="106" spans="15:15" x14ac:dyDescent="0.3">
      <c r="O106"/>
    </row>
    <row r="107" spans="15:15" x14ac:dyDescent="0.3">
      <c r="O107"/>
    </row>
    <row r="108" spans="15:15" x14ac:dyDescent="0.3">
      <c r="O108"/>
    </row>
    <row r="109" spans="15:15" x14ac:dyDescent="0.3">
      <c r="O109"/>
    </row>
    <row r="110" spans="15:15" x14ac:dyDescent="0.3">
      <c r="O110"/>
    </row>
    <row r="111" spans="15:15" x14ac:dyDescent="0.3">
      <c r="O111"/>
    </row>
    <row r="112" spans="15:15" x14ac:dyDescent="0.3">
      <c r="O112"/>
    </row>
    <row r="113" spans="15:15" x14ac:dyDescent="0.3">
      <c r="O113"/>
    </row>
    <row r="114" spans="15:15" x14ac:dyDescent="0.3">
      <c r="O114"/>
    </row>
    <row r="115" spans="15:15" x14ac:dyDescent="0.3">
      <c r="O115"/>
    </row>
    <row r="116" spans="15:15" x14ac:dyDescent="0.3">
      <c r="O116"/>
    </row>
    <row r="117" spans="15:15" x14ac:dyDescent="0.3">
      <c r="O117"/>
    </row>
    <row r="118" spans="15:15" x14ac:dyDescent="0.3">
      <c r="O118"/>
    </row>
    <row r="119" spans="15:15" x14ac:dyDescent="0.3">
      <c r="O119"/>
    </row>
    <row r="120" spans="15:15" x14ac:dyDescent="0.3">
      <c r="O120"/>
    </row>
    <row r="121" spans="15:15" x14ac:dyDescent="0.3">
      <c r="O121"/>
    </row>
    <row r="122" spans="15:15" x14ac:dyDescent="0.3">
      <c r="O122"/>
    </row>
    <row r="123" spans="15:15" x14ac:dyDescent="0.3">
      <c r="O123"/>
    </row>
    <row r="124" spans="15:15" x14ac:dyDescent="0.3">
      <c r="O124"/>
    </row>
    <row r="125" spans="15:15" x14ac:dyDescent="0.3">
      <c r="O125"/>
    </row>
    <row r="126" spans="15:15" x14ac:dyDescent="0.3">
      <c r="O126"/>
    </row>
    <row r="127" spans="15:15" x14ac:dyDescent="0.3">
      <c r="O127"/>
    </row>
    <row r="128" spans="15:15" x14ac:dyDescent="0.3">
      <c r="O128"/>
    </row>
    <row r="129" spans="15:15" x14ac:dyDescent="0.3">
      <c r="O129"/>
    </row>
    <row r="130" spans="15:15" x14ac:dyDescent="0.3">
      <c r="O130"/>
    </row>
    <row r="131" spans="15:15" x14ac:dyDescent="0.3">
      <c r="O131"/>
    </row>
    <row r="132" spans="15:15" x14ac:dyDescent="0.3">
      <c r="O132"/>
    </row>
    <row r="133" spans="15:15" x14ac:dyDescent="0.3">
      <c r="O133"/>
    </row>
    <row r="134" spans="15:15" x14ac:dyDescent="0.3">
      <c r="O134"/>
    </row>
    <row r="135" spans="15:15" x14ac:dyDescent="0.3">
      <c r="O135"/>
    </row>
    <row r="136" spans="15:15" x14ac:dyDescent="0.3">
      <c r="O136"/>
    </row>
    <row r="137" spans="15:15" x14ac:dyDescent="0.3">
      <c r="O137"/>
    </row>
    <row r="138" spans="15:15" x14ac:dyDescent="0.3">
      <c r="O138"/>
    </row>
    <row r="139" spans="15:15" x14ac:dyDescent="0.3">
      <c r="O139"/>
    </row>
    <row r="140" spans="15:15" x14ac:dyDescent="0.3">
      <c r="O140"/>
    </row>
    <row r="141" spans="15:15" x14ac:dyDescent="0.3">
      <c r="O141"/>
    </row>
    <row r="142" spans="15:15" x14ac:dyDescent="0.3">
      <c r="O142"/>
    </row>
    <row r="143" spans="15:15" x14ac:dyDescent="0.3">
      <c r="O143"/>
    </row>
    <row r="144" spans="15:15" x14ac:dyDescent="0.3">
      <c r="O144"/>
    </row>
    <row r="145" spans="15:15" x14ac:dyDescent="0.3">
      <c r="O145"/>
    </row>
    <row r="146" spans="15:15" x14ac:dyDescent="0.3">
      <c r="O146"/>
    </row>
    <row r="147" spans="15:15" x14ac:dyDescent="0.3">
      <c r="O147"/>
    </row>
    <row r="148" spans="15:15" x14ac:dyDescent="0.3">
      <c r="O148"/>
    </row>
    <row r="149" spans="15:15" x14ac:dyDescent="0.3">
      <c r="O149"/>
    </row>
    <row r="150" spans="15:15" x14ac:dyDescent="0.3">
      <c r="O150"/>
    </row>
    <row r="151" spans="15:15" x14ac:dyDescent="0.3">
      <c r="O151"/>
    </row>
    <row r="152" spans="15:15" x14ac:dyDescent="0.3">
      <c r="O152"/>
    </row>
    <row r="153" spans="15:15" x14ac:dyDescent="0.3">
      <c r="O153"/>
    </row>
    <row r="154" spans="15:15" x14ac:dyDescent="0.3">
      <c r="O154"/>
    </row>
    <row r="155" spans="15:15" x14ac:dyDescent="0.3">
      <c r="O155"/>
    </row>
    <row r="156" spans="15:15" x14ac:dyDescent="0.3">
      <c r="O156"/>
    </row>
    <row r="157" spans="15:15" x14ac:dyDescent="0.3">
      <c r="O157"/>
    </row>
    <row r="158" spans="15:15" x14ac:dyDescent="0.3">
      <c r="O158"/>
    </row>
    <row r="159" spans="15:15" x14ac:dyDescent="0.3">
      <c r="O159"/>
    </row>
    <row r="160" spans="15:15" x14ac:dyDescent="0.3">
      <c r="O160"/>
    </row>
    <row r="161" spans="15:15" x14ac:dyDescent="0.3">
      <c r="O161"/>
    </row>
    <row r="162" spans="15:15" x14ac:dyDescent="0.3">
      <c r="O162"/>
    </row>
    <row r="163" spans="15:15" x14ac:dyDescent="0.3">
      <c r="O163"/>
    </row>
    <row r="164" spans="15:15" x14ac:dyDescent="0.3">
      <c r="O164"/>
    </row>
    <row r="165" spans="15:15" x14ac:dyDescent="0.3">
      <c r="O165"/>
    </row>
    <row r="166" spans="15:15" x14ac:dyDescent="0.3">
      <c r="O166"/>
    </row>
    <row r="167" spans="15:15" x14ac:dyDescent="0.3">
      <c r="O167"/>
    </row>
    <row r="168" spans="15:15" x14ac:dyDescent="0.3">
      <c r="O168"/>
    </row>
    <row r="169" spans="15:15" x14ac:dyDescent="0.3">
      <c r="O169"/>
    </row>
    <row r="170" spans="15:15" x14ac:dyDescent="0.3">
      <c r="O170"/>
    </row>
    <row r="171" spans="15:15" x14ac:dyDescent="0.3">
      <c r="O171"/>
    </row>
    <row r="172" spans="15:15" x14ac:dyDescent="0.3">
      <c r="O172"/>
    </row>
    <row r="173" spans="15:15" x14ac:dyDescent="0.3">
      <c r="O173"/>
    </row>
    <row r="174" spans="15:15" x14ac:dyDescent="0.3">
      <c r="O174"/>
    </row>
    <row r="175" spans="15:15" x14ac:dyDescent="0.3">
      <c r="O175"/>
    </row>
    <row r="176" spans="15:15" x14ac:dyDescent="0.3">
      <c r="O176"/>
    </row>
    <row r="177" spans="15:15" x14ac:dyDescent="0.3">
      <c r="O177"/>
    </row>
    <row r="178" spans="15:15" x14ac:dyDescent="0.3">
      <c r="O178"/>
    </row>
    <row r="179" spans="15:15" x14ac:dyDescent="0.3">
      <c r="O179"/>
    </row>
    <row r="180" spans="15:15" x14ac:dyDescent="0.3">
      <c r="O180"/>
    </row>
    <row r="181" spans="15:15" x14ac:dyDescent="0.3">
      <c r="O181"/>
    </row>
    <row r="182" spans="15:15" x14ac:dyDescent="0.3">
      <c r="O182"/>
    </row>
    <row r="183" spans="15:15" x14ac:dyDescent="0.3">
      <c r="O183"/>
    </row>
    <row r="184" spans="15:15" x14ac:dyDescent="0.3">
      <c r="O184"/>
    </row>
    <row r="185" spans="15:15" x14ac:dyDescent="0.3">
      <c r="O185"/>
    </row>
    <row r="186" spans="15:15" x14ac:dyDescent="0.3">
      <c r="O186"/>
    </row>
    <row r="187" spans="15:15" x14ac:dyDescent="0.3">
      <c r="O187"/>
    </row>
    <row r="188" spans="15:15" x14ac:dyDescent="0.3">
      <c r="O188"/>
    </row>
    <row r="189" spans="15:15" x14ac:dyDescent="0.3">
      <c r="O189"/>
    </row>
    <row r="190" spans="15:15" x14ac:dyDescent="0.3">
      <c r="O190"/>
    </row>
    <row r="191" spans="15:15" x14ac:dyDescent="0.3">
      <c r="O191"/>
    </row>
    <row r="192" spans="15:15" x14ac:dyDescent="0.3">
      <c r="O192"/>
    </row>
    <row r="193" spans="15:15" x14ac:dyDescent="0.3">
      <c r="O193"/>
    </row>
    <row r="194" spans="15:15" x14ac:dyDescent="0.3">
      <c r="O194"/>
    </row>
    <row r="195" spans="15:15" x14ac:dyDescent="0.3">
      <c r="O195"/>
    </row>
    <row r="196" spans="15:15" x14ac:dyDescent="0.3">
      <c r="O196"/>
    </row>
    <row r="197" spans="15:15" x14ac:dyDescent="0.3">
      <c r="O197"/>
    </row>
    <row r="198" spans="15:15" x14ac:dyDescent="0.3">
      <c r="O198"/>
    </row>
    <row r="199" spans="15:15" x14ac:dyDescent="0.3">
      <c r="O199"/>
    </row>
    <row r="200" spans="15:15" x14ac:dyDescent="0.3">
      <c r="O200"/>
    </row>
    <row r="201" spans="15:15" x14ac:dyDescent="0.3">
      <c r="O201"/>
    </row>
    <row r="202" spans="15:15" x14ac:dyDescent="0.3">
      <c r="O202"/>
    </row>
    <row r="203" spans="15:15" x14ac:dyDescent="0.3">
      <c r="O203"/>
    </row>
    <row r="204" spans="15:15" x14ac:dyDescent="0.3">
      <c r="O204"/>
    </row>
    <row r="205" spans="15:15" x14ac:dyDescent="0.3">
      <c r="O205"/>
    </row>
    <row r="206" spans="15:15" x14ac:dyDescent="0.3">
      <c r="O206"/>
    </row>
    <row r="207" spans="15:15" x14ac:dyDescent="0.3">
      <c r="O207"/>
    </row>
    <row r="208" spans="15:15" x14ac:dyDescent="0.3">
      <c r="O208"/>
    </row>
    <row r="209" spans="15:15" x14ac:dyDescent="0.3">
      <c r="O209"/>
    </row>
    <row r="210" spans="15:15" x14ac:dyDescent="0.3">
      <c r="O210"/>
    </row>
    <row r="211" spans="15:15" x14ac:dyDescent="0.3">
      <c r="O211"/>
    </row>
    <row r="212" spans="15:15" x14ac:dyDescent="0.3">
      <c r="O212"/>
    </row>
    <row r="213" spans="15:15" x14ac:dyDescent="0.3">
      <c r="O213"/>
    </row>
    <row r="214" spans="15:15" x14ac:dyDescent="0.3">
      <c r="O214"/>
    </row>
    <row r="215" spans="15:15" x14ac:dyDescent="0.3">
      <c r="O215"/>
    </row>
    <row r="216" spans="15:15" x14ac:dyDescent="0.3">
      <c r="O216"/>
    </row>
    <row r="217" spans="15:15" x14ac:dyDescent="0.3">
      <c r="O217"/>
    </row>
    <row r="218" spans="15:15" x14ac:dyDescent="0.3">
      <c r="O218"/>
    </row>
    <row r="219" spans="15:15" x14ac:dyDescent="0.3">
      <c r="O219"/>
    </row>
    <row r="220" spans="15:15" x14ac:dyDescent="0.3">
      <c r="O220"/>
    </row>
    <row r="221" spans="15:15" x14ac:dyDescent="0.3">
      <c r="O221"/>
    </row>
    <row r="222" spans="15:15" x14ac:dyDescent="0.3">
      <c r="O222"/>
    </row>
    <row r="223" spans="15:15" x14ac:dyDescent="0.3">
      <c r="O223"/>
    </row>
    <row r="224" spans="15:15" x14ac:dyDescent="0.3">
      <c r="O224"/>
    </row>
    <row r="225" spans="15:15" x14ac:dyDescent="0.3">
      <c r="O225"/>
    </row>
    <row r="226" spans="15:15" x14ac:dyDescent="0.3">
      <c r="O226"/>
    </row>
    <row r="227" spans="15:15" x14ac:dyDescent="0.3">
      <c r="O227"/>
    </row>
    <row r="228" spans="15:15" x14ac:dyDescent="0.3">
      <c r="O228"/>
    </row>
    <row r="229" spans="15:15" x14ac:dyDescent="0.3">
      <c r="O229"/>
    </row>
    <row r="230" spans="15:15" x14ac:dyDescent="0.3">
      <c r="O230"/>
    </row>
    <row r="231" spans="15:15" x14ac:dyDescent="0.3">
      <c r="O231"/>
    </row>
    <row r="232" spans="15:15" x14ac:dyDescent="0.3">
      <c r="O232"/>
    </row>
    <row r="233" spans="15:15" x14ac:dyDescent="0.3">
      <c r="O233"/>
    </row>
    <row r="234" spans="15:15" x14ac:dyDescent="0.3">
      <c r="O234"/>
    </row>
    <row r="235" spans="15:15" x14ac:dyDescent="0.3">
      <c r="O235"/>
    </row>
    <row r="236" spans="15:15" x14ac:dyDescent="0.3">
      <c r="O236"/>
    </row>
    <row r="237" spans="15:15" x14ac:dyDescent="0.3">
      <c r="O237"/>
    </row>
    <row r="238" spans="15:15" x14ac:dyDescent="0.3">
      <c r="O238"/>
    </row>
    <row r="239" spans="15:15" x14ac:dyDescent="0.3">
      <c r="O239"/>
    </row>
    <row r="240" spans="15:15" x14ac:dyDescent="0.3">
      <c r="O240"/>
    </row>
    <row r="241" spans="15:15" x14ac:dyDescent="0.3">
      <c r="O241"/>
    </row>
    <row r="242" spans="15:15" x14ac:dyDescent="0.3">
      <c r="O242"/>
    </row>
    <row r="243" spans="15:15" x14ac:dyDescent="0.3">
      <c r="O243"/>
    </row>
    <row r="244" spans="15:15" x14ac:dyDescent="0.3">
      <c r="O244"/>
    </row>
    <row r="245" spans="15:15" x14ac:dyDescent="0.3">
      <c r="O245"/>
    </row>
    <row r="246" spans="15:15" x14ac:dyDescent="0.3">
      <c r="O246"/>
    </row>
    <row r="247" spans="15:15" x14ac:dyDescent="0.3">
      <c r="O247"/>
    </row>
    <row r="248" spans="15:15" x14ac:dyDescent="0.3">
      <c r="O248"/>
    </row>
    <row r="249" spans="15:15" x14ac:dyDescent="0.3">
      <c r="O249"/>
    </row>
    <row r="250" spans="15:15" x14ac:dyDescent="0.3">
      <c r="O250"/>
    </row>
    <row r="251" spans="15:15" x14ac:dyDescent="0.3">
      <c r="O251"/>
    </row>
    <row r="252" spans="15:15" x14ac:dyDescent="0.3">
      <c r="O252"/>
    </row>
    <row r="253" spans="15:15" x14ac:dyDescent="0.3">
      <c r="O253"/>
    </row>
    <row r="254" spans="15:15" x14ac:dyDescent="0.3">
      <c r="O254"/>
    </row>
    <row r="255" spans="15:15" x14ac:dyDescent="0.3">
      <c r="O255"/>
    </row>
    <row r="256" spans="15:15" x14ac:dyDescent="0.3">
      <c r="O256"/>
    </row>
    <row r="257" spans="15:15" x14ac:dyDescent="0.3">
      <c r="O257"/>
    </row>
    <row r="258" spans="15:15" x14ac:dyDescent="0.3">
      <c r="O258"/>
    </row>
    <row r="259" spans="15:15" x14ac:dyDescent="0.3">
      <c r="O259"/>
    </row>
    <row r="260" spans="15:15" x14ac:dyDescent="0.3">
      <c r="O260"/>
    </row>
    <row r="261" spans="15:15" x14ac:dyDescent="0.3">
      <c r="O261"/>
    </row>
    <row r="262" spans="15:15" x14ac:dyDescent="0.3">
      <c r="O262"/>
    </row>
    <row r="263" spans="15:15" x14ac:dyDescent="0.3">
      <c r="O263"/>
    </row>
    <row r="264" spans="15:15" x14ac:dyDescent="0.3">
      <c r="O264"/>
    </row>
    <row r="265" spans="15:15" x14ac:dyDescent="0.3">
      <c r="O265"/>
    </row>
    <row r="266" spans="15:15" x14ac:dyDescent="0.3">
      <c r="O266"/>
    </row>
    <row r="267" spans="15:15" x14ac:dyDescent="0.3">
      <c r="O267"/>
    </row>
    <row r="268" spans="15:15" x14ac:dyDescent="0.3">
      <c r="O268"/>
    </row>
    <row r="269" spans="15:15" x14ac:dyDescent="0.3">
      <c r="O269"/>
    </row>
    <row r="270" spans="15:15" x14ac:dyDescent="0.3">
      <c r="O270"/>
    </row>
    <row r="271" spans="15:15" x14ac:dyDescent="0.3">
      <c r="O271"/>
    </row>
    <row r="272" spans="15:15" x14ac:dyDescent="0.3">
      <c r="O272"/>
    </row>
    <row r="273" spans="15:15" x14ac:dyDescent="0.3">
      <c r="O273"/>
    </row>
    <row r="274" spans="15:15" x14ac:dyDescent="0.3">
      <c r="O274"/>
    </row>
    <row r="275" spans="15:15" x14ac:dyDescent="0.3">
      <c r="O275"/>
    </row>
    <row r="276" spans="15:15" x14ac:dyDescent="0.3">
      <c r="O276"/>
    </row>
    <row r="277" spans="15:15" x14ac:dyDescent="0.3">
      <c r="O277"/>
    </row>
    <row r="278" spans="15:15" x14ac:dyDescent="0.3">
      <c r="O278"/>
    </row>
    <row r="279" spans="15:15" x14ac:dyDescent="0.3">
      <c r="O279"/>
    </row>
    <row r="280" spans="15:15" x14ac:dyDescent="0.3">
      <c r="O280"/>
    </row>
    <row r="281" spans="15:15" x14ac:dyDescent="0.3">
      <c r="O281"/>
    </row>
    <row r="282" spans="15:15" x14ac:dyDescent="0.3">
      <c r="O282"/>
    </row>
    <row r="283" spans="15:15" x14ac:dyDescent="0.3">
      <c r="O283"/>
    </row>
    <row r="284" spans="15:15" x14ac:dyDescent="0.3">
      <c r="O284"/>
    </row>
    <row r="285" spans="15:15" x14ac:dyDescent="0.3">
      <c r="O285"/>
    </row>
    <row r="286" spans="15:15" x14ac:dyDescent="0.3">
      <c r="O286"/>
    </row>
    <row r="287" spans="15:15" x14ac:dyDescent="0.3">
      <c r="O287"/>
    </row>
    <row r="288" spans="15:15" x14ac:dyDescent="0.3">
      <c r="O288"/>
    </row>
    <row r="289" spans="15:15" x14ac:dyDescent="0.3">
      <c r="O289"/>
    </row>
    <row r="290" spans="15:15" x14ac:dyDescent="0.3">
      <c r="O290"/>
    </row>
    <row r="291" spans="15:15" x14ac:dyDescent="0.3">
      <c r="O291"/>
    </row>
    <row r="292" spans="15:15" x14ac:dyDescent="0.3">
      <c r="O292"/>
    </row>
    <row r="293" spans="15:15" x14ac:dyDescent="0.3">
      <c r="O293"/>
    </row>
    <row r="294" spans="15:15" x14ac:dyDescent="0.3">
      <c r="O294"/>
    </row>
    <row r="295" spans="15:15" x14ac:dyDescent="0.3">
      <c r="O295"/>
    </row>
    <row r="296" spans="15:15" x14ac:dyDescent="0.3">
      <c r="O296"/>
    </row>
    <row r="297" spans="15:15" x14ac:dyDescent="0.3">
      <c r="O297"/>
    </row>
    <row r="298" spans="15:15" x14ac:dyDescent="0.3">
      <c r="O298"/>
    </row>
    <row r="299" spans="15:15" x14ac:dyDescent="0.3">
      <c r="O299"/>
    </row>
    <row r="300" spans="15:15" x14ac:dyDescent="0.3">
      <c r="O300"/>
    </row>
    <row r="301" spans="15:15" x14ac:dyDescent="0.3">
      <c r="O301"/>
    </row>
    <row r="302" spans="15:15" x14ac:dyDescent="0.3">
      <c r="O302"/>
    </row>
    <row r="303" spans="15:15" x14ac:dyDescent="0.3">
      <c r="O303"/>
    </row>
    <row r="304" spans="15:15" x14ac:dyDescent="0.3">
      <c r="O304"/>
    </row>
    <row r="305" spans="15:15" x14ac:dyDescent="0.3">
      <c r="O305"/>
    </row>
    <row r="306" spans="15:15" x14ac:dyDescent="0.3">
      <c r="O306"/>
    </row>
    <row r="307" spans="15:15" x14ac:dyDescent="0.3">
      <c r="O307"/>
    </row>
    <row r="308" spans="15:15" x14ac:dyDescent="0.3">
      <c r="O308"/>
    </row>
    <row r="309" spans="15:15" x14ac:dyDescent="0.3">
      <c r="O309"/>
    </row>
    <row r="310" spans="15:15" x14ac:dyDescent="0.3">
      <c r="O310"/>
    </row>
    <row r="311" spans="15:15" x14ac:dyDescent="0.3">
      <c r="O311"/>
    </row>
    <row r="312" spans="15:15" x14ac:dyDescent="0.3">
      <c r="O312"/>
    </row>
    <row r="313" spans="15:15" x14ac:dyDescent="0.3">
      <c r="O313"/>
    </row>
    <row r="314" spans="15:15" x14ac:dyDescent="0.3">
      <c r="O314"/>
    </row>
    <row r="315" spans="15:15" x14ac:dyDescent="0.3">
      <c r="O315"/>
    </row>
    <row r="316" spans="15:15" x14ac:dyDescent="0.3">
      <c r="O316"/>
    </row>
    <row r="317" spans="15:15" x14ac:dyDescent="0.3">
      <c r="O317"/>
    </row>
    <row r="318" spans="15:15" x14ac:dyDescent="0.3">
      <c r="O318"/>
    </row>
    <row r="319" spans="15:15" x14ac:dyDescent="0.3">
      <c r="O319"/>
    </row>
    <row r="320" spans="15:15" x14ac:dyDescent="0.3">
      <c r="O320"/>
    </row>
    <row r="321" spans="15:15" x14ac:dyDescent="0.3">
      <c r="O321"/>
    </row>
    <row r="322" spans="15:15" x14ac:dyDescent="0.3">
      <c r="O322"/>
    </row>
    <row r="323" spans="15:15" x14ac:dyDescent="0.3">
      <c r="O323"/>
    </row>
    <row r="324" spans="15:15" x14ac:dyDescent="0.3">
      <c r="O324"/>
    </row>
    <row r="325" spans="15:15" x14ac:dyDescent="0.3">
      <c r="O325"/>
    </row>
    <row r="326" spans="15:15" x14ac:dyDescent="0.3">
      <c r="O326"/>
    </row>
    <row r="327" spans="15:15" x14ac:dyDescent="0.3">
      <c r="O327"/>
    </row>
    <row r="328" spans="15:15" x14ac:dyDescent="0.3">
      <c r="O328"/>
    </row>
    <row r="329" spans="15:15" x14ac:dyDescent="0.3">
      <c r="O329"/>
    </row>
    <row r="330" spans="15:15" x14ac:dyDescent="0.3">
      <c r="O330"/>
    </row>
    <row r="331" spans="15:15" x14ac:dyDescent="0.3">
      <c r="O331"/>
    </row>
    <row r="332" spans="15:15" x14ac:dyDescent="0.3">
      <c r="O332"/>
    </row>
    <row r="333" spans="15:15" x14ac:dyDescent="0.3">
      <c r="O333"/>
    </row>
    <row r="334" spans="15:15" x14ac:dyDescent="0.3">
      <c r="O334"/>
    </row>
    <row r="335" spans="15:15" x14ac:dyDescent="0.3">
      <c r="O335"/>
    </row>
    <row r="336" spans="15:15" x14ac:dyDescent="0.3">
      <c r="O336"/>
    </row>
    <row r="337" spans="15:15" x14ac:dyDescent="0.3">
      <c r="O337"/>
    </row>
    <row r="338" spans="15:15" x14ac:dyDescent="0.3">
      <c r="O338"/>
    </row>
    <row r="339" spans="15:15" x14ac:dyDescent="0.3">
      <c r="O339"/>
    </row>
    <row r="340" spans="15:15" x14ac:dyDescent="0.3">
      <c r="O340"/>
    </row>
    <row r="341" spans="15:15" x14ac:dyDescent="0.3">
      <c r="O341"/>
    </row>
    <row r="342" spans="15:15" x14ac:dyDescent="0.3">
      <c r="O342"/>
    </row>
    <row r="343" spans="15:15" x14ac:dyDescent="0.3">
      <c r="O343"/>
    </row>
    <row r="344" spans="15:15" x14ac:dyDescent="0.3">
      <c r="O344"/>
    </row>
    <row r="345" spans="15:15" x14ac:dyDescent="0.3">
      <c r="O345"/>
    </row>
    <row r="346" spans="15:15" x14ac:dyDescent="0.3">
      <c r="O346"/>
    </row>
    <row r="347" spans="15:15" x14ac:dyDescent="0.3">
      <c r="O347"/>
    </row>
    <row r="348" spans="15:15" x14ac:dyDescent="0.3">
      <c r="O348"/>
    </row>
    <row r="349" spans="15:15" x14ac:dyDescent="0.3">
      <c r="O349"/>
    </row>
    <row r="350" spans="15:15" x14ac:dyDescent="0.3">
      <c r="O350"/>
    </row>
    <row r="351" spans="15:15" x14ac:dyDescent="0.3">
      <c r="O351"/>
    </row>
    <row r="352" spans="15:15" x14ac:dyDescent="0.3">
      <c r="O352"/>
    </row>
    <row r="353" spans="15:15" x14ac:dyDescent="0.3">
      <c r="O353"/>
    </row>
    <row r="354" spans="15:15" x14ac:dyDescent="0.3">
      <c r="O354"/>
    </row>
    <row r="355" spans="15:15" x14ac:dyDescent="0.3">
      <c r="O355"/>
    </row>
    <row r="356" spans="15:15" x14ac:dyDescent="0.3">
      <c r="O356"/>
    </row>
    <row r="357" spans="15:15" x14ac:dyDescent="0.3">
      <c r="O357"/>
    </row>
    <row r="358" spans="15:15" x14ac:dyDescent="0.3">
      <c r="O358"/>
    </row>
    <row r="359" spans="15:15" x14ac:dyDescent="0.3">
      <c r="O359"/>
    </row>
    <row r="360" spans="15:15" x14ac:dyDescent="0.3">
      <c r="O360"/>
    </row>
    <row r="361" spans="15:15" x14ac:dyDescent="0.3">
      <c r="O361"/>
    </row>
    <row r="362" spans="15:15" x14ac:dyDescent="0.3">
      <c r="O362"/>
    </row>
    <row r="363" spans="15:15" x14ac:dyDescent="0.3">
      <c r="O363"/>
    </row>
    <row r="364" spans="15:15" x14ac:dyDescent="0.3">
      <c r="O364"/>
    </row>
    <row r="365" spans="15:15" x14ac:dyDescent="0.3">
      <c r="O365"/>
    </row>
    <row r="366" spans="15:15" x14ac:dyDescent="0.3">
      <c r="O366"/>
    </row>
    <row r="367" spans="15:15" x14ac:dyDescent="0.3">
      <c r="O367"/>
    </row>
    <row r="368" spans="15:15" x14ac:dyDescent="0.3">
      <c r="O368"/>
    </row>
    <row r="369" spans="15:15" x14ac:dyDescent="0.3">
      <c r="O369"/>
    </row>
    <row r="370" spans="15:15" x14ac:dyDescent="0.3">
      <c r="O370"/>
    </row>
    <row r="371" spans="15:15" x14ac:dyDescent="0.3">
      <c r="O371"/>
    </row>
    <row r="372" spans="15:15" x14ac:dyDescent="0.3">
      <c r="O372"/>
    </row>
    <row r="373" spans="15:15" x14ac:dyDescent="0.3">
      <c r="O373"/>
    </row>
    <row r="374" spans="15:15" x14ac:dyDescent="0.3">
      <c r="O374"/>
    </row>
    <row r="375" spans="15:15" x14ac:dyDescent="0.3">
      <c r="O375"/>
    </row>
    <row r="376" spans="15:15" x14ac:dyDescent="0.3">
      <c r="O376"/>
    </row>
    <row r="377" spans="15:15" x14ac:dyDescent="0.3">
      <c r="O377"/>
    </row>
    <row r="378" spans="15:15" x14ac:dyDescent="0.3">
      <c r="O378"/>
    </row>
    <row r="379" spans="15:15" x14ac:dyDescent="0.3">
      <c r="O379"/>
    </row>
    <row r="380" spans="15:15" x14ac:dyDescent="0.3">
      <c r="O380"/>
    </row>
    <row r="381" spans="15:15" x14ac:dyDescent="0.3">
      <c r="O381"/>
    </row>
    <row r="382" spans="15:15" x14ac:dyDescent="0.3">
      <c r="O382"/>
    </row>
    <row r="383" spans="15:15" x14ac:dyDescent="0.3">
      <c r="O383"/>
    </row>
    <row r="384" spans="15:15" x14ac:dyDescent="0.3">
      <c r="O384"/>
    </row>
    <row r="385" spans="15:15" x14ac:dyDescent="0.3">
      <c r="O385"/>
    </row>
    <row r="386" spans="15:15" x14ac:dyDescent="0.3">
      <c r="O386"/>
    </row>
    <row r="387" spans="15:15" x14ac:dyDescent="0.3">
      <c r="O387"/>
    </row>
    <row r="388" spans="15:15" x14ac:dyDescent="0.3">
      <c r="O388"/>
    </row>
    <row r="389" spans="15:15" x14ac:dyDescent="0.3">
      <c r="O389"/>
    </row>
    <row r="390" spans="15:15" x14ac:dyDescent="0.3">
      <c r="O390"/>
    </row>
    <row r="391" spans="15:15" x14ac:dyDescent="0.3">
      <c r="O391"/>
    </row>
    <row r="392" spans="15:15" x14ac:dyDescent="0.3">
      <c r="O392"/>
    </row>
    <row r="393" spans="15:15" x14ac:dyDescent="0.3">
      <c r="O393"/>
    </row>
    <row r="394" spans="15:15" x14ac:dyDescent="0.3">
      <c r="O394"/>
    </row>
    <row r="395" spans="15:15" x14ac:dyDescent="0.3">
      <c r="O395"/>
    </row>
    <row r="396" spans="15:15" x14ac:dyDescent="0.3">
      <c r="O396"/>
    </row>
    <row r="397" spans="15:15" x14ac:dyDescent="0.3">
      <c r="O397"/>
    </row>
    <row r="398" spans="15:15" x14ac:dyDescent="0.3">
      <c r="O398"/>
    </row>
    <row r="399" spans="15:15" x14ac:dyDescent="0.3">
      <c r="O399"/>
    </row>
    <row r="400" spans="15:15" x14ac:dyDescent="0.3">
      <c r="O400"/>
    </row>
    <row r="401" spans="15:15" x14ac:dyDescent="0.3">
      <c r="O401"/>
    </row>
    <row r="402" spans="15:15" x14ac:dyDescent="0.3">
      <c r="O402"/>
    </row>
    <row r="403" spans="15:15" x14ac:dyDescent="0.3">
      <c r="O403"/>
    </row>
    <row r="404" spans="15:15" x14ac:dyDescent="0.3">
      <c r="O404"/>
    </row>
    <row r="405" spans="15:15" x14ac:dyDescent="0.3">
      <c r="O405"/>
    </row>
    <row r="406" spans="15:15" x14ac:dyDescent="0.3">
      <c r="O406"/>
    </row>
    <row r="407" spans="15:15" x14ac:dyDescent="0.3">
      <c r="O407"/>
    </row>
    <row r="408" spans="15:15" x14ac:dyDescent="0.3">
      <c r="O408"/>
    </row>
    <row r="409" spans="15:15" x14ac:dyDescent="0.3">
      <c r="O409"/>
    </row>
    <row r="410" spans="15:15" x14ac:dyDescent="0.3">
      <c r="O410"/>
    </row>
    <row r="411" spans="15:15" x14ac:dyDescent="0.3">
      <c r="O411"/>
    </row>
    <row r="412" spans="15:15" x14ac:dyDescent="0.3">
      <c r="O412"/>
    </row>
    <row r="413" spans="15:15" x14ac:dyDescent="0.3">
      <c r="O413"/>
    </row>
    <row r="414" spans="15:15" x14ac:dyDescent="0.3">
      <c r="O414"/>
    </row>
    <row r="415" spans="15:15" x14ac:dyDescent="0.3">
      <c r="O415"/>
    </row>
    <row r="416" spans="15:15" x14ac:dyDescent="0.3">
      <c r="O416"/>
    </row>
    <row r="417" spans="15:15" x14ac:dyDescent="0.3">
      <c r="O417"/>
    </row>
    <row r="418" spans="15:15" x14ac:dyDescent="0.3">
      <c r="O418"/>
    </row>
    <row r="419" spans="15:15" x14ac:dyDescent="0.3">
      <c r="O419"/>
    </row>
    <row r="420" spans="15:15" x14ac:dyDescent="0.3">
      <c r="O420"/>
    </row>
    <row r="421" spans="15:15" x14ac:dyDescent="0.3">
      <c r="O421"/>
    </row>
    <row r="422" spans="15:15" x14ac:dyDescent="0.3">
      <c r="O422"/>
    </row>
    <row r="423" spans="15:15" x14ac:dyDescent="0.3">
      <c r="O423"/>
    </row>
    <row r="424" spans="15:15" x14ac:dyDescent="0.3">
      <c r="O424"/>
    </row>
    <row r="425" spans="15:15" x14ac:dyDescent="0.3">
      <c r="O425"/>
    </row>
    <row r="426" spans="15:15" x14ac:dyDescent="0.3">
      <c r="O426"/>
    </row>
    <row r="427" spans="15:15" x14ac:dyDescent="0.3">
      <c r="O427"/>
    </row>
    <row r="428" spans="15:15" x14ac:dyDescent="0.3">
      <c r="O428"/>
    </row>
    <row r="429" spans="15:15" x14ac:dyDescent="0.3">
      <c r="O429"/>
    </row>
    <row r="430" spans="15:15" x14ac:dyDescent="0.3">
      <c r="O430"/>
    </row>
    <row r="431" spans="15:15" x14ac:dyDescent="0.3">
      <c r="O431"/>
    </row>
    <row r="432" spans="15:15" x14ac:dyDescent="0.3">
      <c r="O432"/>
    </row>
    <row r="433" spans="15:15" x14ac:dyDescent="0.3">
      <c r="O433"/>
    </row>
    <row r="434" spans="15:15" x14ac:dyDescent="0.3">
      <c r="O434"/>
    </row>
    <row r="435" spans="15:15" x14ac:dyDescent="0.3">
      <c r="O435"/>
    </row>
    <row r="436" spans="15:15" x14ac:dyDescent="0.3">
      <c r="O436"/>
    </row>
    <row r="437" spans="15:15" x14ac:dyDescent="0.3">
      <c r="O437"/>
    </row>
    <row r="438" spans="15:15" x14ac:dyDescent="0.3">
      <c r="O438"/>
    </row>
    <row r="439" spans="15:15" x14ac:dyDescent="0.3">
      <c r="O439"/>
    </row>
    <row r="440" spans="15:15" x14ac:dyDescent="0.3">
      <c r="O440"/>
    </row>
    <row r="441" spans="15:15" x14ac:dyDescent="0.3">
      <c r="O441"/>
    </row>
    <row r="442" spans="15:15" x14ac:dyDescent="0.3">
      <c r="O442"/>
    </row>
    <row r="443" spans="15:15" x14ac:dyDescent="0.3">
      <c r="O443"/>
    </row>
    <row r="444" spans="15:15" x14ac:dyDescent="0.3">
      <c r="O444"/>
    </row>
    <row r="445" spans="15:15" x14ac:dyDescent="0.3">
      <c r="O445"/>
    </row>
    <row r="446" spans="15:15" x14ac:dyDescent="0.3">
      <c r="O446"/>
    </row>
    <row r="447" spans="15:15" x14ac:dyDescent="0.3">
      <c r="O447"/>
    </row>
    <row r="448" spans="15:15" x14ac:dyDescent="0.3">
      <c r="O448"/>
    </row>
    <row r="449" spans="15:15" x14ac:dyDescent="0.3">
      <c r="O449"/>
    </row>
    <row r="450" spans="15:15" x14ac:dyDescent="0.3">
      <c r="O450"/>
    </row>
    <row r="451" spans="15:15" x14ac:dyDescent="0.3">
      <c r="O451"/>
    </row>
    <row r="452" spans="15:15" x14ac:dyDescent="0.3">
      <c r="O452"/>
    </row>
    <row r="453" spans="15:15" x14ac:dyDescent="0.3">
      <c r="O453"/>
    </row>
    <row r="454" spans="15:15" x14ac:dyDescent="0.3">
      <c r="O454"/>
    </row>
    <row r="455" spans="15:15" x14ac:dyDescent="0.3">
      <c r="O455"/>
    </row>
    <row r="456" spans="15:15" x14ac:dyDescent="0.3">
      <c r="O456"/>
    </row>
    <row r="457" spans="15:15" x14ac:dyDescent="0.3">
      <c r="O457"/>
    </row>
    <row r="458" spans="15:15" x14ac:dyDescent="0.3">
      <c r="O458"/>
    </row>
    <row r="459" spans="15:15" x14ac:dyDescent="0.3">
      <c r="O459"/>
    </row>
    <row r="460" spans="15:15" x14ac:dyDescent="0.3">
      <c r="O460"/>
    </row>
    <row r="461" spans="15:15" x14ac:dyDescent="0.3">
      <c r="O461"/>
    </row>
    <row r="462" spans="15:15" x14ac:dyDescent="0.3">
      <c r="O462"/>
    </row>
    <row r="463" spans="15:15" x14ac:dyDescent="0.3">
      <c r="O463"/>
    </row>
    <row r="464" spans="15:15" x14ac:dyDescent="0.3">
      <c r="O464"/>
    </row>
    <row r="465" spans="15:15" x14ac:dyDescent="0.3">
      <c r="O465"/>
    </row>
    <row r="466" spans="15:15" x14ac:dyDescent="0.3">
      <c r="O466"/>
    </row>
    <row r="467" spans="15:15" x14ac:dyDescent="0.3">
      <c r="O467"/>
    </row>
    <row r="468" spans="15:15" x14ac:dyDescent="0.3">
      <c r="O468"/>
    </row>
    <row r="469" spans="15:15" x14ac:dyDescent="0.3">
      <c r="O469"/>
    </row>
    <row r="470" spans="15:15" x14ac:dyDescent="0.3">
      <c r="O470"/>
    </row>
    <row r="471" spans="15:15" x14ac:dyDescent="0.3">
      <c r="O471"/>
    </row>
    <row r="472" spans="15:15" x14ac:dyDescent="0.3">
      <c r="O472"/>
    </row>
    <row r="473" spans="15:15" x14ac:dyDescent="0.3">
      <c r="O473"/>
    </row>
    <row r="474" spans="15:15" x14ac:dyDescent="0.3">
      <c r="O474"/>
    </row>
    <row r="475" spans="15:15" x14ac:dyDescent="0.3">
      <c r="O475"/>
    </row>
    <row r="476" spans="15:15" x14ac:dyDescent="0.3">
      <c r="O476"/>
    </row>
    <row r="477" spans="15:15" x14ac:dyDescent="0.3">
      <c r="O477"/>
    </row>
    <row r="478" spans="15:15" x14ac:dyDescent="0.3">
      <c r="O478"/>
    </row>
    <row r="479" spans="15:15" x14ac:dyDescent="0.3">
      <c r="O479"/>
    </row>
    <row r="480" spans="15:15" x14ac:dyDescent="0.3">
      <c r="O480"/>
    </row>
    <row r="481" spans="15:15" x14ac:dyDescent="0.3">
      <c r="O481"/>
    </row>
    <row r="482" spans="15:15" x14ac:dyDescent="0.3">
      <c r="O482"/>
    </row>
    <row r="483" spans="15:15" x14ac:dyDescent="0.3">
      <c r="O483"/>
    </row>
    <row r="484" spans="15:15" x14ac:dyDescent="0.3">
      <c r="O484"/>
    </row>
    <row r="485" spans="15:15" x14ac:dyDescent="0.3">
      <c r="O485"/>
    </row>
    <row r="486" spans="15:15" x14ac:dyDescent="0.3">
      <c r="O486"/>
    </row>
    <row r="487" spans="15:15" x14ac:dyDescent="0.3">
      <c r="O487"/>
    </row>
    <row r="488" spans="15:15" x14ac:dyDescent="0.3">
      <c r="O488"/>
    </row>
    <row r="489" spans="15:15" x14ac:dyDescent="0.3">
      <c r="O489"/>
    </row>
    <row r="490" spans="15:15" x14ac:dyDescent="0.3">
      <c r="O490"/>
    </row>
    <row r="491" spans="15:15" x14ac:dyDescent="0.3">
      <c r="O491"/>
    </row>
    <row r="492" spans="15:15" x14ac:dyDescent="0.3">
      <c r="O492"/>
    </row>
    <row r="493" spans="15:15" x14ac:dyDescent="0.3">
      <c r="O493"/>
    </row>
    <row r="494" spans="15:15" x14ac:dyDescent="0.3">
      <c r="O494"/>
    </row>
    <row r="495" spans="15:15" x14ac:dyDescent="0.3">
      <c r="O495"/>
    </row>
    <row r="496" spans="15:15" x14ac:dyDescent="0.3">
      <c r="O496"/>
    </row>
    <row r="497" spans="15:15" x14ac:dyDescent="0.3">
      <c r="O497"/>
    </row>
    <row r="498" spans="15:15" x14ac:dyDescent="0.3">
      <c r="O498"/>
    </row>
    <row r="499" spans="15:15" x14ac:dyDescent="0.3">
      <c r="O499"/>
    </row>
    <row r="500" spans="15:15" x14ac:dyDescent="0.3">
      <c r="O500"/>
    </row>
    <row r="501" spans="15:15" x14ac:dyDescent="0.3">
      <c r="O501"/>
    </row>
    <row r="502" spans="15:15" x14ac:dyDescent="0.3">
      <c r="O502"/>
    </row>
    <row r="503" spans="15:15" x14ac:dyDescent="0.3">
      <c r="O503"/>
    </row>
    <row r="504" spans="15:15" x14ac:dyDescent="0.3">
      <c r="O504"/>
    </row>
    <row r="505" spans="15:15" x14ac:dyDescent="0.3">
      <c r="O505"/>
    </row>
    <row r="506" spans="15:15" x14ac:dyDescent="0.3">
      <c r="O506"/>
    </row>
    <row r="507" spans="15:15" x14ac:dyDescent="0.3">
      <c r="O507"/>
    </row>
    <row r="508" spans="15:15" x14ac:dyDescent="0.3">
      <c r="O508"/>
    </row>
    <row r="509" spans="15:15" x14ac:dyDescent="0.3">
      <c r="O509"/>
    </row>
    <row r="510" spans="15:15" x14ac:dyDescent="0.3">
      <c r="O510"/>
    </row>
    <row r="511" spans="15:15" x14ac:dyDescent="0.3">
      <c r="O511"/>
    </row>
    <row r="512" spans="15:15" x14ac:dyDescent="0.3">
      <c r="O512"/>
    </row>
    <row r="513" spans="15:15" x14ac:dyDescent="0.3">
      <c r="O513"/>
    </row>
    <row r="514" spans="15:15" x14ac:dyDescent="0.3">
      <c r="O514"/>
    </row>
    <row r="515" spans="15:15" x14ac:dyDescent="0.3">
      <c r="O515"/>
    </row>
    <row r="516" spans="15:15" x14ac:dyDescent="0.3">
      <c r="O516"/>
    </row>
    <row r="517" spans="15:15" x14ac:dyDescent="0.3">
      <c r="O517"/>
    </row>
    <row r="518" spans="15:15" x14ac:dyDescent="0.3">
      <c r="O518"/>
    </row>
    <row r="519" spans="15:15" x14ac:dyDescent="0.3">
      <c r="O519"/>
    </row>
    <row r="520" spans="15:15" x14ac:dyDescent="0.3">
      <c r="O520"/>
    </row>
    <row r="521" spans="15:15" x14ac:dyDescent="0.3">
      <c r="O521"/>
    </row>
    <row r="522" spans="15:15" x14ac:dyDescent="0.3">
      <c r="O522"/>
    </row>
    <row r="523" spans="15:15" x14ac:dyDescent="0.3">
      <c r="O523"/>
    </row>
    <row r="524" spans="15:15" x14ac:dyDescent="0.3">
      <c r="O524"/>
    </row>
    <row r="525" spans="15:15" x14ac:dyDescent="0.3">
      <c r="O525"/>
    </row>
    <row r="526" spans="15:15" x14ac:dyDescent="0.3">
      <c r="O526"/>
    </row>
    <row r="527" spans="15:15" x14ac:dyDescent="0.3">
      <c r="O527"/>
    </row>
    <row r="528" spans="15:15" x14ac:dyDescent="0.3">
      <c r="O528"/>
    </row>
    <row r="529" spans="15:15" x14ac:dyDescent="0.3">
      <c r="O529"/>
    </row>
    <row r="530" spans="15:15" x14ac:dyDescent="0.3">
      <c r="O530"/>
    </row>
    <row r="531" spans="15:15" x14ac:dyDescent="0.3">
      <c r="O531"/>
    </row>
    <row r="532" spans="15:15" x14ac:dyDescent="0.3">
      <c r="O532"/>
    </row>
    <row r="533" spans="15:15" x14ac:dyDescent="0.3">
      <c r="O533"/>
    </row>
    <row r="534" spans="15:15" x14ac:dyDescent="0.3">
      <c r="O534"/>
    </row>
    <row r="535" spans="15:15" x14ac:dyDescent="0.3">
      <c r="O535"/>
    </row>
    <row r="536" spans="15:15" x14ac:dyDescent="0.3">
      <c r="O536"/>
    </row>
    <row r="537" spans="15:15" x14ac:dyDescent="0.3">
      <c r="O537"/>
    </row>
    <row r="538" spans="15:15" x14ac:dyDescent="0.3">
      <c r="O538"/>
    </row>
    <row r="539" spans="15:15" x14ac:dyDescent="0.3">
      <c r="O539"/>
    </row>
    <row r="540" spans="15:15" x14ac:dyDescent="0.3">
      <c r="O540"/>
    </row>
    <row r="541" spans="15:15" x14ac:dyDescent="0.3">
      <c r="O541"/>
    </row>
    <row r="542" spans="15:15" x14ac:dyDescent="0.3">
      <c r="O542"/>
    </row>
    <row r="543" spans="15:15" x14ac:dyDescent="0.3">
      <c r="O543"/>
    </row>
    <row r="544" spans="15:15" x14ac:dyDescent="0.3">
      <c r="O544"/>
    </row>
    <row r="545" spans="15:15" x14ac:dyDescent="0.3">
      <c r="O545"/>
    </row>
    <row r="546" spans="15:15" x14ac:dyDescent="0.3">
      <c r="O546"/>
    </row>
    <row r="547" spans="15:15" x14ac:dyDescent="0.3">
      <c r="O547"/>
    </row>
    <row r="548" spans="15:15" x14ac:dyDescent="0.3">
      <c r="O548"/>
    </row>
    <row r="549" spans="15:15" x14ac:dyDescent="0.3">
      <c r="O549"/>
    </row>
    <row r="550" spans="15:15" x14ac:dyDescent="0.3">
      <c r="O550"/>
    </row>
    <row r="551" spans="15:15" x14ac:dyDescent="0.3">
      <c r="O551"/>
    </row>
    <row r="552" spans="15:15" x14ac:dyDescent="0.3">
      <c r="O552"/>
    </row>
    <row r="553" spans="15:15" x14ac:dyDescent="0.3">
      <c r="O553"/>
    </row>
    <row r="554" spans="15:15" x14ac:dyDescent="0.3">
      <c r="O554"/>
    </row>
    <row r="555" spans="15:15" x14ac:dyDescent="0.3">
      <c r="O555"/>
    </row>
    <row r="556" spans="15:15" x14ac:dyDescent="0.3">
      <c r="O556"/>
    </row>
    <row r="557" spans="15:15" x14ac:dyDescent="0.3">
      <c r="O557"/>
    </row>
    <row r="558" spans="15:15" x14ac:dyDescent="0.3">
      <c r="O558"/>
    </row>
    <row r="559" spans="15:15" x14ac:dyDescent="0.3">
      <c r="O559"/>
    </row>
    <row r="560" spans="15:15" x14ac:dyDescent="0.3">
      <c r="O560"/>
    </row>
    <row r="561" spans="15:15" x14ac:dyDescent="0.3">
      <c r="O561"/>
    </row>
    <row r="562" spans="15:15" x14ac:dyDescent="0.3">
      <c r="O562"/>
    </row>
    <row r="563" spans="15:15" x14ac:dyDescent="0.3">
      <c r="O563"/>
    </row>
    <row r="564" spans="15:15" x14ac:dyDescent="0.3">
      <c r="O564"/>
    </row>
    <row r="565" spans="15:15" x14ac:dyDescent="0.3">
      <c r="O565"/>
    </row>
    <row r="566" spans="15:15" x14ac:dyDescent="0.3">
      <c r="O566"/>
    </row>
    <row r="567" spans="15:15" x14ac:dyDescent="0.3">
      <c r="O567"/>
    </row>
    <row r="568" spans="15:15" x14ac:dyDescent="0.3">
      <c r="O568"/>
    </row>
    <row r="569" spans="15:15" x14ac:dyDescent="0.3">
      <c r="O569"/>
    </row>
    <row r="570" spans="15:15" x14ac:dyDescent="0.3">
      <c r="O570"/>
    </row>
    <row r="571" spans="15:15" x14ac:dyDescent="0.3">
      <c r="O571"/>
    </row>
    <row r="572" spans="15:15" x14ac:dyDescent="0.3">
      <c r="O572"/>
    </row>
    <row r="573" spans="15:15" x14ac:dyDescent="0.3">
      <c r="O573"/>
    </row>
    <row r="574" spans="15:15" x14ac:dyDescent="0.3">
      <c r="O574"/>
    </row>
    <row r="575" spans="15:15" x14ac:dyDescent="0.3">
      <c r="O575"/>
    </row>
    <row r="576" spans="15:15" x14ac:dyDescent="0.3">
      <c r="O576"/>
    </row>
    <row r="577" spans="15:15" x14ac:dyDescent="0.3">
      <c r="O577"/>
    </row>
    <row r="578" spans="15:15" x14ac:dyDescent="0.3">
      <c r="O578"/>
    </row>
    <row r="579" spans="15:15" x14ac:dyDescent="0.3">
      <c r="O579"/>
    </row>
    <row r="580" spans="15:15" x14ac:dyDescent="0.3">
      <c r="O580"/>
    </row>
    <row r="581" spans="15:15" x14ac:dyDescent="0.3">
      <c r="O581"/>
    </row>
    <row r="582" spans="15:15" x14ac:dyDescent="0.3">
      <c r="O582"/>
    </row>
    <row r="583" spans="15:15" x14ac:dyDescent="0.3">
      <c r="O583"/>
    </row>
    <row r="584" spans="15:15" x14ac:dyDescent="0.3">
      <c r="O584"/>
    </row>
    <row r="585" spans="15:15" x14ac:dyDescent="0.3">
      <c r="O585"/>
    </row>
    <row r="586" spans="15:15" x14ac:dyDescent="0.3">
      <c r="O586"/>
    </row>
    <row r="587" spans="15:15" x14ac:dyDescent="0.3">
      <c r="O587"/>
    </row>
    <row r="588" spans="15:15" x14ac:dyDescent="0.3">
      <c r="O588"/>
    </row>
    <row r="589" spans="15:15" x14ac:dyDescent="0.3">
      <c r="O589"/>
    </row>
    <row r="590" spans="15:15" x14ac:dyDescent="0.3">
      <c r="O590"/>
    </row>
    <row r="591" spans="15:15" x14ac:dyDescent="0.3">
      <c r="O591"/>
    </row>
    <row r="592" spans="15:15" x14ac:dyDescent="0.3">
      <c r="O592"/>
    </row>
    <row r="593" spans="15:15" x14ac:dyDescent="0.3">
      <c r="O593"/>
    </row>
    <row r="594" spans="15:15" x14ac:dyDescent="0.3">
      <c r="O594"/>
    </row>
    <row r="595" spans="15:15" x14ac:dyDescent="0.3">
      <c r="O595"/>
    </row>
    <row r="596" spans="15:15" x14ac:dyDescent="0.3">
      <c r="O596"/>
    </row>
    <row r="597" spans="15:15" x14ac:dyDescent="0.3">
      <c r="O597"/>
    </row>
    <row r="598" spans="15:15" x14ac:dyDescent="0.3">
      <c r="O598"/>
    </row>
    <row r="599" spans="15:15" x14ac:dyDescent="0.3">
      <c r="O599"/>
    </row>
    <row r="600" spans="15:15" x14ac:dyDescent="0.3">
      <c r="O600"/>
    </row>
    <row r="601" spans="15:15" x14ac:dyDescent="0.3">
      <c r="O601"/>
    </row>
    <row r="602" spans="15:15" x14ac:dyDescent="0.3">
      <c r="O602"/>
    </row>
    <row r="603" spans="15:15" x14ac:dyDescent="0.3">
      <c r="O603"/>
    </row>
    <row r="604" spans="15:15" x14ac:dyDescent="0.3">
      <c r="O604"/>
    </row>
    <row r="605" spans="15:15" x14ac:dyDescent="0.3">
      <c r="O605"/>
    </row>
    <row r="606" spans="15:15" x14ac:dyDescent="0.3">
      <c r="O606"/>
    </row>
    <row r="607" spans="15:15" x14ac:dyDescent="0.3">
      <c r="O607"/>
    </row>
    <row r="608" spans="15:15" x14ac:dyDescent="0.3">
      <c r="O608"/>
    </row>
    <row r="609" spans="15:15" x14ac:dyDescent="0.3">
      <c r="O609"/>
    </row>
    <row r="610" spans="15:15" x14ac:dyDescent="0.3">
      <c r="O610"/>
    </row>
    <row r="611" spans="15:15" x14ac:dyDescent="0.3">
      <c r="O611"/>
    </row>
    <row r="612" spans="15:15" x14ac:dyDescent="0.3">
      <c r="O612"/>
    </row>
    <row r="613" spans="15:15" x14ac:dyDescent="0.3">
      <c r="O613"/>
    </row>
    <row r="614" spans="15:15" x14ac:dyDescent="0.3">
      <c r="O614"/>
    </row>
    <row r="615" spans="15:15" x14ac:dyDescent="0.3">
      <c r="O615"/>
    </row>
    <row r="616" spans="15:15" x14ac:dyDescent="0.3">
      <c r="O616"/>
    </row>
    <row r="617" spans="15:15" x14ac:dyDescent="0.3">
      <c r="O617"/>
    </row>
    <row r="618" spans="15:15" x14ac:dyDescent="0.3">
      <c r="O618"/>
    </row>
    <row r="619" spans="15:15" x14ac:dyDescent="0.3">
      <c r="O619"/>
    </row>
    <row r="620" spans="15:15" x14ac:dyDescent="0.3">
      <c r="O620"/>
    </row>
    <row r="621" spans="15:15" x14ac:dyDescent="0.3">
      <c r="O621"/>
    </row>
    <row r="622" spans="15:15" x14ac:dyDescent="0.3">
      <c r="O622"/>
    </row>
    <row r="623" spans="15:15" x14ac:dyDescent="0.3">
      <c r="O623"/>
    </row>
    <row r="624" spans="15:15" x14ac:dyDescent="0.3">
      <c r="O624"/>
    </row>
    <row r="625" spans="15:15" x14ac:dyDescent="0.3">
      <c r="O625"/>
    </row>
    <row r="626" spans="15:15" x14ac:dyDescent="0.3">
      <c r="O626"/>
    </row>
    <row r="627" spans="15:15" x14ac:dyDescent="0.3">
      <c r="O627"/>
    </row>
    <row r="628" spans="15:15" x14ac:dyDescent="0.3">
      <c r="O628"/>
    </row>
    <row r="629" spans="15:15" x14ac:dyDescent="0.3">
      <c r="O629"/>
    </row>
    <row r="630" spans="15:15" x14ac:dyDescent="0.3">
      <c r="O630"/>
    </row>
    <row r="631" spans="15:15" x14ac:dyDescent="0.3">
      <c r="O631"/>
    </row>
    <row r="632" spans="15:15" x14ac:dyDescent="0.3">
      <c r="O632"/>
    </row>
    <row r="633" spans="15:15" x14ac:dyDescent="0.3">
      <c r="O633"/>
    </row>
    <row r="634" spans="15:15" x14ac:dyDescent="0.3">
      <c r="O634"/>
    </row>
    <row r="635" spans="15:15" x14ac:dyDescent="0.3">
      <c r="O635"/>
    </row>
    <row r="636" spans="15:15" x14ac:dyDescent="0.3">
      <c r="O636"/>
    </row>
    <row r="637" spans="15:15" x14ac:dyDescent="0.3">
      <c r="O637"/>
    </row>
    <row r="638" spans="15:15" x14ac:dyDescent="0.3">
      <c r="O638"/>
    </row>
    <row r="639" spans="15:15" x14ac:dyDescent="0.3">
      <c r="O639"/>
    </row>
    <row r="640" spans="15:15" x14ac:dyDescent="0.3">
      <c r="O640"/>
    </row>
    <row r="641" spans="15:15" x14ac:dyDescent="0.3">
      <c r="O641"/>
    </row>
    <row r="642" spans="15:15" x14ac:dyDescent="0.3">
      <c r="O642"/>
    </row>
    <row r="643" spans="15:15" x14ac:dyDescent="0.3">
      <c r="O643"/>
    </row>
    <row r="644" spans="15:15" x14ac:dyDescent="0.3">
      <c r="O644"/>
    </row>
    <row r="645" spans="15:15" x14ac:dyDescent="0.3">
      <c r="O645"/>
    </row>
    <row r="646" spans="15:15" x14ac:dyDescent="0.3">
      <c r="O646"/>
    </row>
    <row r="647" spans="15:15" x14ac:dyDescent="0.3">
      <c r="O647"/>
    </row>
    <row r="648" spans="15:15" x14ac:dyDescent="0.3">
      <c r="O648"/>
    </row>
    <row r="649" spans="15:15" x14ac:dyDescent="0.3">
      <c r="O649"/>
    </row>
    <row r="650" spans="15:15" x14ac:dyDescent="0.3">
      <c r="O650"/>
    </row>
    <row r="651" spans="15:15" x14ac:dyDescent="0.3">
      <c r="O651"/>
    </row>
    <row r="652" spans="15:15" x14ac:dyDescent="0.3">
      <c r="O652"/>
    </row>
    <row r="653" spans="15:15" x14ac:dyDescent="0.3">
      <c r="O653"/>
    </row>
    <row r="654" spans="15:15" x14ac:dyDescent="0.3">
      <c r="O654"/>
    </row>
    <row r="655" spans="15:15" x14ac:dyDescent="0.3">
      <c r="O655"/>
    </row>
    <row r="656" spans="15:15" x14ac:dyDescent="0.3">
      <c r="O656"/>
    </row>
    <row r="657" spans="15:15" x14ac:dyDescent="0.3">
      <c r="O657"/>
    </row>
    <row r="658" spans="15:15" x14ac:dyDescent="0.3">
      <c r="O658"/>
    </row>
    <row r="659" spans="15:15" x14ac:dyDescent="0.3">
      <c r="O659"/>
    </row>
    <row r="660" spans="15:15" x14ac:dyDescent="0.3">
      <c r="O660"/>
    </row>
    <row r="661" spans="15:15" x14ac:dyDescent="0.3">
      <c r="O661"/>
    </row>
    <row r="662" spans="15:15" x14ac:dyDescent="0.3">
      <c r="O662"/>
    </row>
    <row r="663" spans="15:15" x14ac:dyDescent="0.3">
      <c r="O663"/>
    </row>
    <row r="664" spans="15:15" x14ac:dyDescent="0.3">
      <c r="O664"/>
    </row>
    <row r="665" spans="15:15" x14ac:dyDescent="0.3">
      <c r="O665"/>
    </row>
    <row r="666" spans="15:15" x14ac:dyDescent="0.3">
      <c r="O666"/>
    </row>
    <row r="667" spans="15:15" x14ac:dyDescent="0.3">
      <c r="O667"/>
    </row>
    <row r="668" spans="15:15" x14ac:dyDescent="0.3">
      <c r="O668"/>
    </row>
    <row r="669" spans="15:15" x14ac:dyDescent="0.3">
      <c r="O669"/>
    </row>
    <row r="670" spans="15:15" x14ac:dyDescent="0.3">
      <c r="O670"/>
    </row>
    <row r="671" spans="15:15" x14ac:dyDescent="0.3">
      <c r="O671"/>
    </row>
    <row r="672" spans="15:15" x14ac:dyDescent="0.3">
      <c r="O672"/>
    </row>
    <row r="673" spans="15:15" x14ac:dyDescent="0.3">
      <c r="O673"/>
    </row>
    <row r="674" spans="15:15" x14ac:dyDescent="0.3">
      <c r="O674"/>
    </row>
    <row r="675" spans="15:15" x14ac:dyDescent="0.3">
      <c r="O675"/>
    </row>
    <row r="676" spans="15:15" x14ac:dyDescent="0.3">
      <c r="O676"/>
    </row>
    <row r="677" spans="15:15" x14ac:dyDescent="0.3">
      <c r="O677"/>
    </row>
    <row r="678" spans="15:15" x14ac:dyDescent="0.3">
      <c r="O678"/>
    </row>
    <row r="679" spans="15:15" x14ac:dyDescent="0.3">
      <c r="O679"/>
    </row>
    <row r="680" spans="15:15" x14ac:dyDescent="0.3">
      <c r="O680"/>
    </row>
    <row r="681" spans="15:15" x14ac:dyDescent="0.3">
      <c r="O681"/>
    </row>
    <row r="682" spans="15:15" x14ac:dyDescent="0.3">
      <c r="O682"/>
    </row>
    <row r="683" spans="15:15" x14ac:dyDescent="0.3">
      <c r="O683"/>
    </row>
  </sheetData>
  <mergeCells count="2">
    <mergeCell ref="B31:D31"/>
    <mergeCell ref="E31:M31"/>
  </mergeCells>
  <phoneticPr fontId="5" type="noConversion"/>
  <conditionalFormatting sqref="DU12 DU14">
    <cfRule type="duplicateValues" dxfId="0" priority="85"/>
  </conditionalFormatting>
  <pageMargins left="0.7" right="0.7" top="0.75" bottom="0.75" header="0.3" footer="0.3"/>
  <pageSetup orientation="portrait" r:id="rId35"/>
  <drawing r:id="rId36"/>
  <tableParts count="3">
    <tablePart r:id="rId37"/>
    <tablePart r:id="rId38"/>
    <tablePart r:id="rId39"/>
  </tableParts>
  <extLst>
    <ext xmlns:x14="http://schemas.microsoft.com/office/spreadsheetml/2009/9/main" uri="{A8765BA9-456A-4dab-B4F3-ACF838C121DE}">
      <x14:slicerList>
        <x14:slicer r:id="rId40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252A-2322-49D1-A6B5-30C4A9C0CA17}">
  <sheetPr codeName="Hoja7"/>
  <dimension ref="A1:L46"/>
  <sheetViews>
    <sheetView showGridLines="0" workbookViewId="0">
      <selection activeCell="B4" sqref="B4"/>
    </sheetView>
  </sheetViews>
  <sheetFormatPr baseColWidth="10" defaultRowHeight="14.4" x14ac:dyDescent="0.3"/>
  <cols>
    <col min="1" max="1" width="17" style="108" customWidth="1"/>
    <col min="2" max="2" width="74.21875" style="111" customWidth="1"/>
    <col min="3" max="3" width="53.109375" style="111" customWidth="1"/>
    <col min="4" max="16384" width="11.5546875" style="108"/>
  </cols>
  <sheetData>
    <row r="1" spans="1:12" x14ac:dyDescent="0.3">
      <c r="A1" s="108" t="s">
        <v>31</v>
      </c>
      <c r="B1" s="111" t="s">
        <v>150</v>
      </c>
      <c r="C1" s="111" t="s">
        <v>151</v>
      </c>
    </row>
    <row r="2" spans="1:12" ht="60" customHeight="1" x14ac:dyDescent="0.3">
      <c r="A2" s="109">
        <v>45789</v>
      </c>
      <c r="B2" s="112" t="s">
        <v>154</v>
      </c>
      <c r="C2" s="113" t="s">
        <v>152</v>
      </c>
      <c r="D2" s="110"/>
      <c r="E2" s="110"/>
      <c r="F2" s="110"/>
      <c r="G2" s="110"/>
      <c r="H2" s="110"/>
      <c r="I2" s="110"/>
      <c r="J2" s="110"/>
      <c r="K2" s="110"/>
      <c r="L2" s="110"/>
    </row>
    <row r="3" spans="1:12" ht="60" customHeight="1" x14ac:dyDescent="0.3">
      <c r="A3" s="120">
        <v>45797</v>
      </c>
      <c r="B3" s="112" t="s">
        <v>155</v>
      </c>
      <c r="C3" s="112" t="s">
        <v>156</v>
      </c>
    </row>
    <row r="4" spans="1:12" ht="60" customHeight="1" x14ac:dyDescent="0.3"/>
    <row r="5" spans="1:12" ht="60" customHeight="1" x14ac:dyDescent="0.3"/>
    <row r="6" spans="1:12" ht="60" customHeight="1" x14ac:dyDescent="0.3"/>
    <row r="7" spans="1:12" ht="60" customHeight="1" x14ac:dyDescent="0.3"/>
    <row r="8" spans="1:12" ht="60" customHeight="1" x14ac:dyDescent="0.3"/>
    <row r="9" spans="1:12" ht="60" customHeight="1" x14ac:dyDescent="0.3"/>
    <row r="10" spans="1:12" ht="60" customHeight="1" x14ac:dyDescent="0.3"/>
    <row r="11" spans="1:12" ht="60" customHeight="1" x14ac:dyDescent="0.3"/>
    <row r="12" spans="1:12" ht="60" customHeight="1" x14ac:dyDescent="0.3"/>
    <row r="13" spans="1:12" ht="60" customHeight="1" x14ac:dyDescent="0.3"/>
    <row r="14" spans="1:12" ht="60" customHeight="1" x14ac:dyDescent="0.3"/>
    <row r="15" spans="1:12" ht="60" customHeight="1" x14ac:dyDescent="0.3"/>
    <row r="16" spans="1:12" ht="60" customHeight="1" x14ac:dyDescent="0.3"/>
    <row r="17" ht="60" customHeight="1" x14ac:dyDescent="0.3"/>
    <row r="18" ht="60" customHeight="1" x14ac:dyDescent="0.3"/>
    <row r="19" ht="60" customHeight="1" x14ac:dyDescent="0.3"/>
    <row r="20" ht="60" customHeight="1" x14ac:dyDescent="0.3"/>
    <row r="21" ht="60" customHeight="1" x14ac:dyDescent="0.3"/>
    <row r="22" ht="60" customHeight="1" x14ac:dyDescent="0.3"/>
    <row r="23" ht="60" customHeight="1" x14ac:dyDescent="0.3"/>
    <row r="24" ht="60" customHeight="1" x14ac:dyDescent="0.3"/>
    <row r="25" ht="60" customHeight="1" x14ac:dyDescent="0.3"/>
    <row r="26" ht="60" customHeight="1" x14ac:dyDescent="0.3"/>
    <row r="27" ht="60" customHeight="1" x14ac:dyDescent="0.3"/>
    <row r="28" ht="60" customHeight="1" x14ac:dyDescent="0.3"/>
    <row r="29" ht="60" customHeight="1" x14ac:dyDescent="0.3"/>
    <row r="30" ht="60" customHeight="1" x14ac:dyDescent="0.3"/>
    <row r="31" ht="60" customHeight="1" x14ac:dyDescent="0.3"/>
    <row r="32" ht="60" customHeight="1" x14ac:dyDescent="0.3"/>
    <row r="33" ht="60" customHeight="1" x14ac:dyDescent="0.3"/>
    <row r="34" ht="60" customHeight="1" x14ac:dyDescent="0.3"/>
    <row r="35" ht="60" customHeight="1" x14ac:dyDescent="0.3"/>
    <row r="36" ht="60" customHeight="1" x14ac:dyDescent="0.3"/>
    <row r="37" ht="60" customHeight="1" x14ac:dyDescent="0.3"/>
    <row r="38" ht="60" customHeight="1" x14ac:dyDescent="0.3"/>
    <row r="39" ht="60" customHeight="1" x14ac:dyDescent="0.3"/>
    <row r="40" ht="60" customHeight="1" x14ac:dyDescent="0.3"/>
    <row r="41" ht="60" customHeight="1" x14ac:dyDescent="0.3"/>
    <row r="42" ht="60" customHeight="1" x14ac:dyDescent="0.3"/>
    <row r="43" ht="60" customHeight="1" x14ac:dyDescent="0.3"/>
    <row r="44" ht="60" customHeight="1" x14ac:dyDescent="0.3"/>
    <row r="45" ht="60" customHeight="1" x14ac:dyDescent="0.3"/>
    <row r="46" ht="60" customHeight="1" x14ac:dyDescent="0.3"/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4936-4839-4A29-AACD-5D65FFB15AE8}">
  <sheetPr codeName="Hoja5"/>
  <dimension ref="A1:AB11"/>
  <sheetViews>
    <sheetView zoomScale="96" zoomScaleNormal="96" workbookViewId="0">
      <selection activeCell="I3" sqref="I3"/>
    </sheetView>
  </sheetViews>
  <sheetFormatPr baseColWidth="10" defaultRowHeight="14.4" x14ac:dyDescent="0.3"/>
  <cols>
    <col min="1" max="1" width="20.109375" style="2" customWidth="1"/>
    <col min="2" max="2" width="20.88671875" style="2" customWidth="1"/>
    <col min="3" max="3" width="23.6640625" style="2" customWidth="1"/>
    <col min="4" max="4" width="3.109375" style="2" customWidth="1"/>
    <col min="5" max="5" width="3.33203125" style="2" customWidth="1"/>
    <col min="6" max="6" width="11.77734375" style="2" customWidth="1"/>
    <col min="7" max="7" width="3.33203125" style="2" customWidth="1"/>
    <col min="8" max="9" width="11.5546875" style="2"/>
    <col min="10" max="10" width="2.77734375" style="2" customWidth="1"/>
    <col min="11" max="11" width="17.109375" style="2" customWidth="1"/>
    <col min="12" max="12" width="11.5546875" style="2"/>
    <col min="13" max="13" width="12.6640625" style="2" customWidth="1"/>
    <col min="14" max="14" width="2.44140625" style="2" customWidth="1"/>
    <col min="15" max="15" width="17.6640625" style="26" customWidth="1"/>
    <col min="16" max="16" width="2.77734375" style="2" customWidth="1"/>
    <col min="17" max="17" width="11.5546875" style="2"/>
    <col min="18" max="18" width="19.21875" style="2" customWidth="1"/>
    <col min="19" max="19" width="11.5546875" style="2"/>
    <col min="20" max="20" width="2.77734375" style="2" customWidth="1"/>
    <col min="21" max="21" width="11.5546875" style="2"/>
    <col min="22" max="22" width="2.109375" style="2" bestFit="1" customWidth="1"/>
    <col min="23" max="24" width="11.5546875" style="2"/>
    <col min="25" max="25" width="3.109375" style="2" customWidth="1"/>
    <col min="26" max="26" width="14.5546875" style="2" customWidth="1"/>
    <col min="27" max="16384" width="11.5546875" style="2"/>
  </cols>
  <sheetData>
    <row r="1" spans="1:28" x14ac:dyDescent="0.3">
      <c r="A1" s="2" t="s">
        <v>11</v>
      </c>
      <c r="B1" s="2" t="s">
        <v>15</v>
      </c>
      <c r="C1" s="2" t="s">
        <v>16</v>
      </c>
      <c r="F1" s="2" t="s">
        <v>23</v>
      </c>
      <c r="H1" s="7"/>
      <c r="I1" s="2" t="s">
        <v>41</v>
      </c>
      <c r="K1" s="2" t="s">
        <v>54</v>
      </c>
      <c r="L1" s="2" t="s">
        <v>55</v>
      </c>
      <c r="M1" s="2" t="s">
        <v>29</v>
      </c>
      <c r="O1" s="26" t="str">
        <f>"Hola "&amp;CUENTA!B9</f>
        <v xml:space="preserve">Hola </v>
      </c>
      <c r="Q1" s="2" t="s">
        <v>92</v>
      </c>
      <c r="R1" s="2" t="s">
        <v>93</v>
      </c>
      <c r="S1" s="2" t="s">
        <v>101</v>
      </c>
      <c r="W1" s="2" t="s">
        <v>0</v>
      </c>
      <c r="X1" s="28">
        <v>0.01</v>
      </c>
      <c r="Z1" t="s">
        <v>114</v>
      </c>
      <c r="AA1" s="31">
        <v>6.9444444444444441E-3</v>
      </c>
      <c r="AB1" s="32"/>
    </row>
    <row r="2" spans="1:28" x14ac:dyDescent="0.3">
      <c r="F2" s="2" t="s">
        <v>2</v>
      </c>
      <c r="H2" s="8"/>
      <c r="I2" s="2">
        <v>444054</v>
      </c>
      <c r="K2" s="5">
        <f>CUENTA!B11</f>
        <v>100000</v>
      </c>
      <c r="L2" s="5">
        <f>K2*SUM(JOURNAL[%])</f>
        <v>1995.5</v>
      </c>
      <c r="M2" s="5">
        <f>K2+L2</f>
        <v>101995.5</v>
      </c>
      <c r="O2" s="26" t="str">
        <f>"Este es un resumen de los resultados obtenidos en tu cuenta "&amp;CUENTA!B12&amp;" de "&amp;TEXT(CUENTA!B11,"$#.##")</f>
        <v>Este es un resumen de los resultados obtenidos en tu cuenta  de $100.000</v>
      </c>
      <c r="Q2" s="2" t="s">
        <v>44</v>
      </c>
      <c r="R2" s="2" t="str">
        <f>IF(CUENTA!D9&lt;&gt;"",IF(CUENTA!E9&lt;&gt;0,CUENTA!D9,""),"")</f>
        <v>Criterio 1</v>
      </c>
      <c r="S2" s="2">
        <f>IF(Tabla10[[#This Row],[Descripcion]]="","",CUENTA!E9)</f>
        <v>3</v>
      </c>
      <c r="U2" s="2">
        <f>CUENTA!E20</f>
        <v>100</v>
      </c>
      <c r="V2" s="2" t="s">
        <v>106</v>
      </c>
      <c r="W2" s="5">
        <f>$U$2</f>
        <v>100</v>
      </c>
      <c r="X2" s="5">
        <f>$U$4*0.01</f>
        <v>1000</v>
      </c>
      <c r="Z2" s="2" t="s">
        <v>115</v>
      </c>
      <c r="AA2" s="32">
        <v>0.25</v>
      </c>
    </row>
    <row r="3" spans="1:28" x14ac:dyDescent="0.3">
      <c r="A3" s="2" t="s">
        <v>18</v>
      </c>
      <c r="B3" s="5">
        <v>5000</v>
      </c>
      <c r="C3" s="2" t="s">
        <v>19</v>
      </c>
      <c r="F3" s="2" t="s">
        <v>3</v>
      </c>
      <c r="H3" s="9"/>
      <c r="I3" s="2" t="s">
        <v>42</v>
      </c>
      <c r="Q3" s="2" t="s">
        <v>45</v>
      </c>
      <c r="R3" s="2" t="str">
        <f>IF(CUENTA!D10&lt;&gt;"",IF(CUENTA!E10&lt;&gt;0,CUENTA!D10,""),"")</f>
        <v>Criterio 2</v>
      </c>
      <c r="S3" s="2">
        <f>IF(Tabla10[[#This Row],[Descripcion]]="","",CUENTA!E10)</f>
        <v>2</v>
      </c>
      <c r="V3" s="2" t="s">
        <v>107</v>
      </c>
      <c r="W3" s="5">
        <f>-$U$2</f>
        <v>-100</v>
      </c>
      <c r="X3" s="5">
        <f>$U$4*-0.01</f>
        <v>-1000</v>
      </c>
      <c r="AA3" s="32"/>
    </row>
    <row r="4" spans="1:28" x14ac:dyDescent="0.3">
      <c r="A4" s="2" t="s">
        <v>9</v>
      </c>
      <c r="B4" s="5">
        <v>10000</v>
      </c>
      <c r="C4" s="2" t="s">
        <v>20</v>
      </c>
      <c r="H4" s="10"/>
      <c r="I4" s="2" t="s">
        <v>43</v>
      </c>
      <c r="Q4" s="2" t="s">
        <v>46</v>
      </c>
      <c r="R4" s="2" t="str">
        <f>IF(CUENTA!D11&lt;&gt;"",IF(CUENTA!E11&lt;&gt;0,CUENTA!D11,""),"")</f>
        <v>Criterio 3</v>
      </c>
      <c r="S4" s="2">
        <f>IF(Tabla10[[#This Row],[Descripcion]]="","",CUENTA!E11)</f>
        <v>2</v>
      </c>
      <c r="U4" s="5">
        <f>K2</f>
        <v>100000</v>
      </c>
      <c r="V4" s="5"/>
      <c r="W4" s="5"/>
    </row>
    <row r="5" spans="1:28" x14ac:dyDescent="0.3">
      <c r="A5" s="2" t="s">
        <v>12</v>
      </c>
      <c r="B5" s="5">
        <v>15000</v>
      </c>
      <c r="C5" s="2" t="s">
        <v>17</v>
      </c>
      <c r="Q5" s="2" t="s">
        <v>47</v>
      </c>
      <c r="R5" s="2" t="str">
        <f>IF(CUENTA!D12&lt;&gt;"",IF(CUENTA!E12&lt;&gt;0,CUENTA!D12,""),"")</f>
        <v>Criterio 4</v>
      </c>
      <c r="S5" s="2">
        <f>IF(Tabla10[[#This Row],[Descripcion]]="","",CUENTA!E12)</f>
        <v>3</v>
      </c>
      <c r="V5" s="5"/>
      <c r="W5" s="5"/>
    </row>
    <row r="6" spans="1:28" x14ac:dyDescent="0.3">
      <c r="A6" s="2" t="s">
        <v>13</v>
      </c>
      <c r="B6" s="5">
        <v>25000</v>
      </c>
      <c r="C6" s="2" t="s">
        <v>10</v>
      </c>
      <c r="Q6" s="2" t="s">
        <v>48</v>
      </c>
      <c r="R6" s="2" t="str">
        <f>IF(CUENTA!D13&lt;&gt;"",IF(CUENTA!E13&lt;&gt;0,CUENTA!D13,""),"")</f>
        <v>Criterio 5</v>
      </c>
      <c r="S6" s="2">
        <f>IF(Tabla10[[#This Row],[Descripcion]]="","",CUENTA!E13)</f>
        <v>1</v>
      </c>
      <c r="U6" s="5" t="str">
        <f>"+/-"&amp;TEXT(U2,"$0")</f>
        <v>+/-$100</v>
      </c>
    </row>
    <row r="7" spans="1:28" x14ac:dyDescent="0.3">
      <c r="A7" s="2" t="s">
        <v>14</v>
      </c>
      <c r="B7" s="5">
        <v>50000</v>
      </c>
      <c r="C7" s="2" t="s">
        <v>18</v>
      </c>
      <c r="Q7" s="2" t="s">
        <v>49</v>
      </c>
      <c r="R7" s="2" t="str">
        <f>IF(CUENTA!D14&lt;&gt;"",IF(CUENTA!E14&lt;&gt;0,CUENTA!D14,""),"")</f>
        <v>Criterio 6</v>
      </c>
      <c r="S7" s="2">
        <f>IF(Tabla10[[#This Row],[Descripcion]]="","",CUENTA!E14)</f>
        <v>1</v>
      </c>
    </row>
    <row r="8" spans="1:28" x14ac:dyDescent="0.3">
      <c r="A8" s="2" t="s">
        <v>21</v>
      </c>
      <c r="B8" s="5">
        <v>100000</v>
      </c>
      <c r="C8" s="2" t="s">
        <v>22</v>
      </c>
    </row>
    <row r="9" spans="1:28" x14ac:dyDescent="0.3">
      <c r="B9" s="5">
        <v>200000</v>
      </c>
    </row>
    <row r="10" spans="1:28" x14ac:dyDescent="0.3">
      <c r="B10" s="5" t="s">
        <v>22</v>
      </c>
      <c r="I10" s="11"/>
    </row>
    <row r="11" spans="1:28" x14ac:dyDescent="0.3">
      <c r="I11" s="12"/>
    </row>
  </sheetData>
  <phoneticPr fontId="5" type="noConversion"/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4FC8F7-3C57-419B-AA02-044E86D571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CUENTA</vt:lpstr>
      <vt:lpstr>JOURNAL</vt:lpstr>
      <vt:lpstr>DASHBOARD</vt:lpstr>
      <vt:lpstr>CALENDARIO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Urdaneta</dc:creator>
  <cp:keywords/>
  <dc:description/>
  <cp:lastModifiedBy>Jose Urdaneta</cp:lastModifiedBy>
  <cp:revision/>
  <dcterms:created xsi:type="dcterms:W3CDTF">2023-12-10T22:46:18Z</dcterms:created>
  <dcterms:modified xsi:type="dcterms:W3CDTF">2025-05-20T16:20:09Z</dcterms:modified>
  <cp:category/>
  <cp:contentStatus/>
</cp:coreProperties>
</file>